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drawings/drawing5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10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11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C:\Users\Besitzer\Dropbox\SdW\Neueste Version\3V9 Excel und 3V93\"/>
    </mc:Choice>
  </mc:AlternateContent>
  <bookViews>
    <workbookView xWindow="0" yWindow="0" windowWidth="28800" windowHeight="12435" tabRatio="815"/>
  </bookViews>
  <sheets>
    <sheet name="Deckblatt|Cover" sheetId="1" r:id="rId1"/>
    <sheet name="Vorwort|Preface" sheetId="12" r:id="rId2"/>
    <sheet name="Deckblatt Gruender|Data Founder" sheetId="13" r:id="rId3"/>
    <sheet name="1 Pers.Ausgaben|Pers Expenses" sheetId="2" r:id="rId4"/>
    <sheet name="2 Umsatz|Sales" sheetId="5" r:id="rId5"/>
    <sheet name="3 Anschaffungen|Investment" sheetId="6" r:id="rId6"/>
    <sheet name="4 Betriebskosten|Operation Ex" sheetId="15" r:id="rId7"/>
    <sheet name="5 Rentabilitaet|Profit" sheetId="7" r:id="rId8"/>
    <sheet name="6 Liquiditaet|Liquidity" sheetId="8" r:id="rId9"/>
    <sheet name="7 Finanzierung|Financing" sheetId="16" r:id="rId10"/>
    <sheet name="Cockpit-Chart" sheetId="21" r:id="rId11"/>
  </sheets>
  <definedNames>
    <definedName name="_ftn1" localSheetId="1">'Vorwort|Preface'!$CX$15</definedName>
    <definedName name="_ftnref1" localSheetId="1">'Vorwort|Preface'!$CX$11</definedName>
    <definedName name="_xlnm.Print_Area" localSheetId="3">'1 Pers.Ausgaben|Pers Expenses'!$B$48:$P$104</definedName>
    <definedName name="_xlnm.Print_Area" localSheetId="4">'2 Umsatz|Sales'!$B$1:$Q$69</definedName>
    <definedName name="_xlnm.Print_Area" localSheetId="5">'3 Anschaffungen|Investment'!$B$1:$P$56</definedName>
    <definedName name="_xlnm.Print_Area" localSheetId="6">'4 Betriebskosten|Operation Ex'!$B$1:$P$151</definedName>
    <definedName name="_xlnm.Print_Area" localSheetId="7">'5 Rentabilitaet|Profit'!$C$1:$P$54</definedName>
    <definedName name="_xlnm.Print_Area" localSheetId="8">'6 Liquiditaet|Liquidity'!$B$1:$P$71</definedName>
    <definedName name="_xlnm.Print_Area" localSheetId="9">'7 Finanzierung|Financing'!$B$1:$P$61</definedName>
    <definedName name="_xlnm.Print_Area" localSheetId="10">'Cockpit-Chart'!$B$1:$V$58</definedName>
    <definedName name="_xlnm.Print_Area" localSheetId="2">'Deckblatt Gruender|Data Founder'!$A$5:$K$27</definedName>
    <definedName name="_xlnm.Print_Area" localSheetId="0">'Deckblatt|Cover'!$A$1:$K$30</definedName>
    <definedName name="_xlnm.Print_Area" localSheetId="1">'Vorwort|Preface'!$B$1:$Q$32</definedName>
    <definedName name="_xlnm.Print_Titles" localSheetId="3">'1 Pers.Ausgaben|Pers Expenses'!$1:$1</definedName>
    <definedName name="_xlnm.Print_Titles" localSheetId="4">'2 Umsatz|Sales'!$1:$1</definedName>
    <definedName name="_xlnm.Print_Titles" localSheetId="5">'3 Anschaffungen|Investment'!$1:$1</definedName>
    <definedName name="_xlnm.Print_Titles" localSheetId="6">'4 Betriebskosten|Operation Ex'!$1:$1</definedName>
    <definedName name="_xlnm.Print_Titles" localSheetId="7">'5 Rentabilitaet|Profit'!$1:$1</definedName>
    <definedName name="_xlnm.Print_Titles" localSheetId="8">'6 Liquiditaet|Liquidity'!$1:$1</definedName>
    <definedName name="_xlnm.Print_Titles" localSheetId="9">'7 Finanzierung|Financing'!$1:$1</definedName>
    <definedName name="_xlnm.Print_Titles" localSheetId="10">'Cockpit-Chart'!$1:$1</definedName>
    <definedName name="_xlnm.Print_Titles" localSheetId="2">'Deckblatt Gruender|Data Founder'!$5:$5</definedName>
    <definedName name="_xlnm.Print_Titles" localSheetId="1">'Vorwort|Preface'!$1:$1</definedName>
  </definedNames>
  <calcPr calcId="152511"/>
</workbook>
</file>

<file path=xl/calcChain.xml><?xml version="1.0" encoding="utf-8"?>
<calcChain xmlns="http://schemas.openxmlformats.org/spreadsheetml/2006/main">
  <c r="I60" i="5" l="1"/>
  <c r="H60" i="5"/>
  <c r="F60" i="5"/>
  <c r="G60" i="5"/>
  <c r="AD6" i="6"/>
  <c r="AE13" i="6" s="1"/>
  <c r="AD7" i="6"/>
  <c r="AD8" i="6"/>
  <c r="AD9" i="6"/>
  <c r="AE16" i="6" s="1"/>
  <c r="AE6" i="6"/>
  <c r="AE7" i="6"/>
  <c r="AE8" i="6"/>
  <c r="AE9" i="6"/>
  <c r="AD10" i="6"/>
  <c r="AE10" i="6" s="1"/>
  <c r="AD11" i="6"/>
  <c r="AE11" i="6"/>
  <c r="AD12" i="6"/>
  <c r="AE12" i="6" s="1"/>
  <c r="AE15" i="6"/>
  <c r="AE19" i="6"/>
  <c r="AE23" i="6"/>
  <c r="M14" i="6"/>
  <c r="H54" i="8"/>
  <c r="D8" i="13"/>
  <c r="C1" i="13" s="1"/>
  <c r="C3" i="13"/>
  <c r="G2" i="13"/>
  <c r="C3" i="8"/>
  <c r="X12" i="6"/>
  <c r="X9" i="6"/>
  <c r="Y9" i="6" s="1"/>
  <c r="X11" i="6"/>
  <c r="Y11" i="6" s="1"/>
  <c r="X6" i="6"/>
  <c r="X7" i="6"/>
  <c r="X8" i="6"/>
  <c r="Y15" i="6" s="1"/>
  <c r="X10" i="6"/>
  <c r="Y23" i="6"/>
  <c r="AB11" i="6"/>
  <c r="AB12" i="6"/>
  <c r="AB9" i="6"/>
  <c r="AC9" i="6" s="1"/>
  <c r="AB6" i="6"/>
  <c r="AB7" i="6"/>
  <c r="AB8" i="6"/>
  <c r="AB10" i="6"/>
  <c r="AC23" i="6"/>
  <c r="AC11" i="6"/>
  <c r="V12" i="6"/>
  <c r="V9" i="6"/>
  <c r="V11" i="6"/>
  <c r="V6" i="6"/>
  <c r="V7" i="6"/>
  <c r="V8" i="6"/>
  <c r="W24" i="6" s="1"/>
  <c r="V10" i="6"/>
  <c r="D370" i="6"/>
  <c r="T370" i="6" s="1"/>
  <c r="D367" i="6"/>
  <c r="T367" i="6" s="1"/>
  <c r="D368" i="6"/>
  <c r="T368" i="6" s="1"/>
  <c r="D369" i="6"/>
  <c r="O369" i="6" s="1"/>
  <c r="T369" i="6"/>
  <c r="E27" i="6"/>
  <c r="E13" i="6" s="1"/>
  <c r="C374" i="6" s="1"/>
  <c r="T374" i="6" s="1"/>
  <c r="S369" i="6"/>
  <c r="S374" i="6"/>
  <c r="R369" i="6"/>
  <c r="R374" i="6"/>
  <c r="P370" i="6"/>
  <c r="P369" i="6"/>
  <c r="P374" i="6"/>
  <c r="O370" i="6"/>
  <c r="O367" i="6"/>
  <c r="O374" i="6"/>
  <c r="N368" i="6"/>
  <c r="N374" i="6"/>
  <c r="M368" i="6"/>
  <c r="M374" i="6"/>
  <c r="L370" i="6"/>
  <c r="L367" i="6"/>
  <c r="L374" i="6"/>
  <c r="W9" i="6"/>
  <c r="W16" i="6"/>
  <c r="K368" i="6"/>
  <c r="K369" i="6"/>
  <c r="K374" i="6"/>
  <c r="J368" i="6"/>
  <c r="J369" i="6"/>
  <c r="J374" i="6"/>
  <c r="I370" i="6"/>
  <c r="I369" i="6"/>
  <c r="I374" i="6"/>
  <c r="C370" i="6"/>
  <c r="C367" i="6"/>
  <c r="H367" i="6"/>
  <c r="C368" i="6"/>
  <c r="H374" i="6"/>
  <c r="AC6" i="6"/>
  <c r="AC7" i="6"/>
  <c r="AC10" i="6"/>
  <c r="AC12" i="6"/>
  <c r="Z6" i="6"/>
  <c r="Z7" i="6"/>
  <c r="Z8" i="6"/>
  <c r="AA14" i="6" s="1"/>
  <c r="Z9" i="6"/>
  <c r="AA6" i="6"/>
  <c r="AA7" i="6"/>
  <c r="AA8" i="6"/>
  <c r="AA9" i="6"/>
  <c r="Z10" i="6"/>
  <c r="AA10" i="6"/>
  <c r="Z11" i="6"/>
  <c r="AA11" i="6" s="1"/>
  <c r="Z12" i="6"/>
  <c r="AA12" i="6"/>
  <c r="AA13" i="6"/>
  <c r="AA21" i="6"/>
  <c r="Y6" i="6"/>
  <c r="Y7" i="6"/>
  <c r="Y10" i="6"/>
  <c r="Y12" i="6"/>
  <c r="W6" i="6"/>
  <c r="W7" i="6"/>
  <c r="W8" i="6"/>
  <c r="W10" i="6"/>
  <c r="W11" i="6"/>
  <c r="W12" i="6"/>
  <c r="E31" i="5"/>
  <c r="D9" i="8"/>
  <c r="D34" i="8" s="1"/>
  <c r="B105" i="6"/>
  <c r="B131" i="6" s="1"/>
  <c r="B157" i="6" s="1"/>
  <c r="B91" i="6"/>
  <c r="E96" i="6"/>
  <c r="E122" i="6" s="1"/>
  <c r="E148" i="6" s="1"/>
  <c r="E174" i="6" s="1"/>
  <c r="B107" i="6"/>
  <c r="B133" i="6" s="1"/>
  <c r="B159" i="6" s="1"/>
  <c r="B185" i="6" s="1"/>
  <c r="B118" i="6"/>
  <c r="B144" i="6" s="1"/>
  <c r="B170" i="6"/>
  <c r="B196" i="6" s="1"/>
  <c r="B116" i="6"/>
  <c r="B142" i="6" s="1"/>
  <c r="B143" i="6" s="1"/>
  <c r="B117" i="6"/>
  <c r="F78" i="6"/>
  <c r="E81" i="6"/>
  <c r="F81" i="6" s="1"/>
  <c r="E78" i="6"/>
  <c r="G176" i="6"/>
  <c r="G177" i="6"/>
  <c r="J177" i="6" s="1"/>
  <c r="G178" i="6"/>
  <c r="G179" i="6"/>
  <c r="J179" i="6" s="1"/>
  <c r="G180" i="6"/>
  <c r="J180" i="6" s="1"/>
  <c r="G181" i="6"/>
  <c r="J181" i="6" s="1"/>
  <c r="G175" i="6"/>
  <c r="J175" i="6" s="1"/>
  <c r="D176" i="6"/>
  <c r="D177" i="6"/>
  <c r="D178" i="6"/>
  <c r="F178" i="6" s="1"/>
  <c r="D179" i="6"/>
  <c r="F179" i="6" s="1"/>
  <c r="D180" i="6"/>
  <c r="F180" i="6"/>
  <c r="D181" i="6"/>
  <c r="D175" i="6"/>
  <c r="F175" i="6" s="1"/>
  <c r="D150" i="6"/>
  <c r="D151" i="6"/>
  <c r="D152" i="6"/>
  <c r="D153" i="6"/>
  <c r="D154" i="6"/>
  <c r="D155" i="6"/>
  <c r="D149" i="6"/>
  <c r="G72" i="6"/>
  <c r="G73" i="6"/>
  <c r="G74" i="6"/>
  <c r="G75" i="6"/>
  <c r="G76" i="6"/>
  <c r="J76" i="6"/>
  <c r="G77" i="6"/>
  <c r="G71" i="6"/>
  <c r="J71" i="6" s="1"/>
  <c r="G98" i="6"/>
  <c r="G99" i="6"/>
  <c r="G100" i="6"/>
  <c r="J100" i="6" s="1"/>
  <c r="G101" i="6"/>
  <c r="J101" i="6" s="1"/>
  <c r="G102" i="6"/>
  <c r="J102" i="6"/>
  <c r="G103" i="6"/>
  <c r="J103" i="6" s="1"/>
  <c r="G97" i="6"/>
  <c r="J97" i="6" s="1"/>
  <c r="G124" i="6"/>
  <c r="J124" i="6" s="1"/>
  <c r="G125" i="6"/>
  <c r="G126" i="6"/>
  <c r="J126" i="6" s="1"/>
  <c r="G127" i="6"/>
  <c r="G128" i="6"/>
  <c r="G129" i="6"/>
  <c r="G123" i="6"/>
  <c r="G149" i="6" s="1"/>
  <c r="J149" i="6" s="1"/>
  <c r="D124" i="6"/>
  <c r="D125" i="6"/>
  <c r="D126" i="6"/>
  <c r="D127" i="6"/>
  <c r="D128" i="6"/>
  <c r="D129" i="6"/>
  <c r="D123" i="6"/>
  <c r="D98" i="6"/>
  <c r="D99" i="6"/>
  <c r="D100" i="6"/>
  <c r="D101" i="6"/>
  <c r="D102" i="6"/>
  <c r="D103" i="6"/>
  <c r="D97" i="6"/>
  <c r="F72" i="6"/>
  <c r="E72" i="6"/>
  <c r="F73" i="6"/>
  <c r="E73" i="6" s="1"/>
  <c r="F74" i="6"/>
  <c r="E74" i="6" s="1"/>
  <c r="F75" i="6"/>
  <c r="E75" i="6"/>
  <c r="F76" i="6"/>
  <c r="E76" i="6" s="1"/>
  <c r="F77" i="6"/>
  <c r="E77" i="6"/>
  <c r="F71" i="6"/>
  <c r="E71" i="6" s="1"/>
  <c r="D72" i="6"/>
  <c r="D73" i="6"/>
  <c r="H73" i="6" s="1"/>
  <c r="D74" i="6"/>
  <c r="D75" i="6"/>
  <c r="I75" i="6" s="1"/>
  <c r="D76" i="6"/>
  <c r="D77" i="6"/>
  <c r="D71" i="6"/>
  <c r="T357" i="6"/>
  <c r="N357" i="6"/>
  <c r="J357" i="6"/>
  <c r="G357" i="6"/>
  <c r="E357" i="6"/>
  <c r="T356" i="6"/>
  <c r="N356" i="6"/>
  <c r="J356" i="6"/>
  <c r="G356" i="6"/>
  <c r="E356" i="6"/>
  <c r="T355" i="6"/>
  <c r="N355" i="6"/>
  <c r="J355" i="6"/>
  <c r="G355" i="6"/>
  <c r="E355" i="6"/>
  <c r="T354" i="6"/>
  <c r="N354" i="6"/>
  <c r="J354" i="6"/>
  <c r="G354" i="6"/>
  <c r="E354" i="6"/>
  <c r="T353" i="6"/>
  <c r="N353" i="6"/>
  <c r="J353" i="6"/>
  <c r="G353" i="6"/>
  <c r="E353" i="6"/>
  <c r="T352" i="6"/>
  <c r="N352" i="6"/>
  <c r="J352" i="6"/>
  <c r="G352" i="6"/>
  <c r="E352" i="6"/>
  <c r="T351" i="6"/>
  <c r="N351" i="6"/>
  <c r="J351" i="6"/>
  <c r="G351" i="6"/>
  <c r="E351" i="6"/>
  <c r="J178" i="6"/>
  <c r="J98" i="6"/>
  <c r="J176" i="6"/>
  <c r="J75" i="6"/>
  <c r="J128" i="6"/>
  <c r="J123" i="6"/>
  <c r="G153" i="6"/>
  <c r="J153" i="6"/>
  <c r="J127" i="6"/>
  <c r="H72" i="6"/>
  <c r="J72" i="6"/>
  <c r="G150" i="6"/>
  <c r="J150" i="6" s="1"/>
  <c r="J99" i="6"/>
  <c r="G151" i="6"/>
  <c r="J151" i="6" s="1"/>
  <c r="J125" i="6"/>
  <c r="H71" i="6"/>
  <c r="H77" i="6"/>
  <c r="G154" i="6"/>
  <c r="J154" i="6" s="1"/>
  <c r="I76" i="6"/>
  <c r="H76" i="6"/>
  <c r="H75" i="6"/>
  <c r="D87" i="6" s="1"/>
  <c r="G152" i="6"/>
  <c r="J152" i="6" s="1"/>
  <c r="F176" i="6"/>
  <c r="P42" i="2"/>
  <c r="E89" i="6"/>
  <c r="E87" i="6"/>
  <c r="D63" i="8"/>
  <c r="D62" i="8"/>
  <c r="F62" i="8"/>
  <c r="G62" i="8"/>
  <c r="H62" i="8"/>
  <c r="F63" i="8"/>
  <c r="G63" i="8"/>
  <c r="H63" i="8"/>
  <c r="E62" i="8"/>
  <c r="E63" i="8"/>
  <c r="E89" i="2"/>
  <c r="D87" i="2"/>
  <c r="P45" i="15"/>
  <c r="P26" i="15"/>
  <c r="D102" i="15" s="1"/>
  <c r="D33" i="15"/>
  <c r="D27" i="15"/>
  <c r="D23" i="15"/>
  <c r="D59" i="15"/>
  <c r="D54" i="15"/>
  <c r="D46" i="15"/>
  <c r="D39" i="15"/>
  <c r="P39" i="15" s="1"/>
  <c r="D115" i="15" s="1"/>
  <c r="E27" i="15"/>
  <c r="F27" i="15"/>
  <c r="G27" i="15"/>
  <c r="H27" i="15"/>
  <c r="I27" i="15"/>
  <c r="J27" i="15"/>
  <c r="K27" i="15"/>
  <c r="L27" i="15"/>
  <c r="M27" i="15"/>
  <c r="N27" i="15"/>
  <c r="O27" i="15"/>
  <c r="CE64" i="15"/>
  <c r="CD64" i="15"/>
  <c r="CC64" i="15"/>
  <c r="CB64" i="15"/>
  <c r="CA64" i="15"/>
  <c r="BZ64" i="15"/>
  <c r="BY64" i="15"/>
  <c r="BX64" i="15"/>
  <c r="BW64" i="15"/>
  <c r="BV64" i="15"/>
  <c r="BU64" i="15"/>
  <c r="BT64" i="15"/>
  <c r="CE61" i="15"/>
  <c r="CD61" i="15"/>
  <c r="CC61" i="15"/>
  <c r="CB61" i="15"/>
  <c r="CA61" i="15"/>
  <c r="BZ61" i="15"/>
  <c r="BY61" i="15"/>
  <c r="BX61" i="15"/>
  <c r="BW61" i="15"/>
  <c r="BV61" i="15"/>
  <c r="BU61" i="15"/>
  <c r="BT61" i="15"/>
  <c r="CE58" i="15"/>
  <c r="CD58" i="15"/>
  <c r="CC58" i="15"/>
  <c r="CB58" i="15"/>
  <c r="CA58" i="15"/>
  <c r="BZ58" i="15"/>
  <c r="BY58" i="15"/>
  <c r="BX58" i="15"/>
  <c r="BW58" i="15"/>
  <c r="BV58" i="15"/>
  <c r="BU58" i="15"/>
  <c r="BT58" i="15"/>
  <c r="CE57" i="15"/>
  <c r="CD57" i="15"/>
  <c r="CC57" i="15"/>
  <c r="CB57" i="15"/>
  <c r="CA57" i="15"/>
  <c r="BZ57" i="15"/>
  <c r="BY57" i="15"/>
  <c r="BX57" i="15"/>
  <c r="BW57" i="15"/>
  <c r="BV57" i="15"/>
  <c r="BU57" i="15"/>
  <c r="BT57" i="15"/>
  <c r="CE56" i="15"/>
  <c r="CE59" i="15" s="1"/>
  <c r="CD56" i="15"/>
  <c r="CD59" i="15" s="1"/>
  <c r="CC56" i="15"/>
  <c r="CB56" i="15"/>
  <c r="CB59" i="15" s="1"/>
  <c r="CA56" i="15"/>
  <c r="CA59" i="15" s="1"/>
  <c r="BZ56" i="15"/>
  <c r="BZ59" i="15" s="1"/>
  <c r="BY56" i="15"/>
  <c r="BX56" i="15"/>
  <c r="BW56" i="15"/>
  <c r="BW59" i="15" s="1"/>
  <c r="BV56" i="15"/>
  <c r="BV59" i="15" s="1"/>
  <c r="BU56" i="15"/>
  <c r="BT56" i="15"/>
  <c r="CE53" i="15"/>
  <c r="CD53" i="15"/>
  <c r="CC53" i="15"/>
  <c r="CB53" i="15"/>
  <c r="CA53" i="15"/>
  <c r="BZ53" i="15"/>
  <c r="BY53" i="15"/>
  <c r="BX53" i="15"/>
  <c r="BW53" i="15"/>
  <c r="BV53" i="15"/>
  <c r="BU53" i="15"/>
  <c r="BT53" i="15"/>
  <c r="CE52" i="15"/>
  <c r="CD52" i="15"/>
  <c r="CC52" i="15"/>
  <c r="CB52" i="15"/>
  <c r="CA52" i="15"/>
  <c r="BZ52" i="15"/>
  <c r="BY52" i="15"/>
  <c r="BX52" i="15"/>
  <c r="BW52" i="15"/>
  <c r="BV52" i="15"/>
  <c r="BU52" i="15"/>
  <c r="BT52" i="15"/>
  <c r="CE45" i="15"/>
  <c r="CD45" i="15"/>
  <c r="CC45" i="15"/>
  <c r="CB45" i="15"/>
  <c r="CA45" i="15"/>
  <c r="BZ45" i="15"/>
  <c r="BY45" i="15"/>
  <c r="BX45" i="15"/>
  <c r="BW45" i="15"/>
  <c r="BV45" i="15"/>
  <c r="BU45" i="15"/>
  <c r="BT45" i="15"/>
  <c r="CE44" i="15"/>
  <c r="CD44" i="15"/>
  <c r="CC44" i="15"/>
  <c r="CB44" i="15"/>
  <c r="CA44" i="15"/>
  <c r="BZ44" i="15"/>
  <c r="BY44" i="15"/>
  <c r="BX44" i="15"/>
  <c r="BW44" i="15"/>
  <c r="BV44" i="15"/>
  <c r="BU44" i="15"/>
  <c r="BT44" i="15"/>
  <c r="CE43" i="15"/>
  <c r="CD43" i="15"/>
  <c r="CC43" i="15"/>
  <c r="CB43" i="15"/>
  <c r="CA43" i="15"/>
  <c r="BZ43" i="15"/>
  <c r="BY43" i="15"/>
  <c r="BX43" i="15"/>
  <c r="BW43" i="15"/>
  <c r="BV43" i="15"/>
  <c r="BU43" i="15"/>
  <c r="BT43" i="15"/>
  <c r="CE42" i="15"/>
  <c r="CD42" i="15"/>
  <c r="CC42" i="15"/>
  <c r="CB42" i="15"/>
  <c r="CA42" i="15"/>
  <c r="BZ42" i="15"/>
  <c r="BY42" i="15"/>
  <c r="BX42" i="15"/>
  <c r="BW42" i="15"/>
  <c r="BV42" i="15"/>
  <c r="BU42" i="15"/>
  <c r="BT42" i="15"/>
  <c r="CE38" i="15"/>
  <c r="CD38" i="15"/>
  <c r="CC38" i="15"/>
  <c r="CB38" i="15"/>
  <c r="CA38" i="15"/>
  <c r="BZ38" i="15"/>
  <c r="BY38" i="15"/>
  <c r="BX38" i="15"/>
  <c r="BW38" i="15"/>
  <c r="BV38" i="15"/>
  <c r="BU38" i="15"/>
  <c r="BT38" i="15"/>
  <c r="CE32" i="15"/>
  <c r="CD32" i="15"/>
  <c r="CC32" i="15"/>
  <c r="CB32" i="15"/>
  <c r="CA32" i="15"/>
  <c r="BZ32" i="15"/>
  <c r="BY32" i="15"/>
  <c r="BX32" i="15"/>
  <c r="BW32" i="15"/>
  <c r="BV32" i="15"/>
  <c r="BU32" i="15"/>
  <c r="BT32" i="15"/>
  <c r="CE26" i="15"/>
  <c r="CD26" i="15"/>
  <c r="CC26" i="15"/>
  <c r="CB26" i="15"/>
  <c r="CA26" i="15"/>
  <c r="BZ26" i="15"/>
  <c r="BY26" i="15"/>
  <c r="BX26" i="15"/>
  <c r="BW26" i="15"/>
  <c r="BV26" i="15"/>
  <c r="BU26" i="15"/>
  <c r="BT26" i="15"/>
  <c r="CE25" i="15"/>
  <c r="CE27" i="15" s="1"/>
  <c r="CD25" i="15"/>
  <c r="CD27" i="15" s="1"/>
  <c r="CC25" i="15"/>
  <c r="CC27" i="15" s="1"/>
  <c r="CB25" i="15"/>
  <c r="CB27" i="15" s="1"/>
  <c r="CA25" i="15"/>
  <c r="BZ25" i="15"/>
  <c r="BY25" i="15"/>
  <c r="BX25" i="15"/>
  <c r="BX27" i="15" s="1"/>
  <c r="BW25" i="15"/>
  <c r="BW27" i="15" s="1"/>
  <c r="BV25" i="15"/>
  <c r="BU25" i="15"/>
  <c r="BT25" i="15"/>
  <c r="BT27" i="15"/>
  <c r="CE22" i="15"/>
  <c r="CD22" i="15"/>
  <c r="CC22" i="15"/>
  <c r="CB22" i="15"/>
  <c r="CA22" i="15"/>
  <c r="BZ22" i="15"/>
  <c r="BY22" i="15"/>
  <c r="BX22" i="15"/>
  <c r="BW22" i="15"/>
  <c r="CF22" i="15" s="1"/>
  <c r="BT98" i="15" s="1"/>
  <c r="BV22" i="15"/>
  <c r="BU22" i="15"/>
  <c r="BT22" i="15"/>
  <c r="CE12" i="15"/>
  <c r="CD12" i="15"/>
  <c r="CC12" i="15"/>
  <c r="CB12" i="15"/>
  <c r="CA12" i="15"/>
  <c r="BZ12" i="15"/>
  <c r="BY12" i="15"/>
  <c r="BX12" i="15"/>
  <c r="BW12" i="15"/>
  <c r="BV12" i="15"/>
  <c r="BU12" i="15"/>
  <c r="BT12" i="15"/>
  <c r="BN65" i="15"/>
  <c r="BM65" i="15"/>
  <c r="BL65" i="15"/>
  <c r="BK65" i="15"/>
  <c r="BJ65" i="15"/>
  <c r="BI65" i="15"/>
  <c r="BH65" i="15"/>
  <c r="BG65" i="15"/>
  <c r="BF65" i="15"/>
  <c r="BE65" i="15"/>
  <c r="BD65" i="15"/>
  <c r="BC65" i="15"/>
  <c r="BN63" i="15"/>
  <c r="BM63" i="15"/>
  <c r="BL63" i="15"/>
  <c r="BK63" i="15"/>
  <c r="BJ63" i="15"/>
  <c r="BI63" i="15"/>
  <c r="BH63" i="15"/>
  <c r="BG63" i="15"/>
  <c r="BF63" i="15"/>
  <c r="BE63" i="15"/>
  <c r="BD63" i="15"/>
  <c r="BC63" i="15"/>
  <c r="BN61" i="15"/>
  <c r="BM61" i="15"/>
  <c r="BL61" i="15"/>
  <c r="BK61" i="15"/>
  <c r="BJ61" i="15"/>
  <c r="BI61" i="15"/>
  <c r="BH61" i="15"/>
  <c r="BG61" i="15"/>
  <c r="BF61" i="15"/>
  <c r="BE61" i="15"/>
  <c r="BD61" i="15"/>
  <c r="BC61" i="15"/>
  <c r="BN44" i="15"/>
  <c r="BM44" i="15"/>
  <c r="BL44" i="15"/>
  <c r="BK44" i="15"/>
  <c r="BJ44" i="15"/>
  <c r="BI44" i="15"/>
  <c r="BH44" i="15"/>
  <c r="BG44" i="15"/>
  <c r="BF44" i="15"/>
  <c r="BE44" i="15"/>
  <c r="BD44" i="15"/>
  <c r="BC44" i="15"/>
  <c r="BN25" i="15"/>
  <c r="BM25" i="15"/>
  <c r="BL25" i="15"/>
  <c r="BK25" i="15"/>
  <c r="BJ25" i="15"/>
  <c r="BI25" i="15"/>
  <c r="BH25" i="15"/>
  <c r="BG25" i="15"/>
  <c r="BF25" i="15"/>
  <c r="BE25" i="15"/>
  <c r="BD25" i="15"/>
  <c r="BC25" i="15"/>
  <c r="CA27" i="15"/>
  <c r="C19" i="1"/>
  <c r="C14" i="1"/>
  <c r="C16" i="1"/>
  <c r="C17" i="1"/>
  <c r="C13" i="1"/>
  <c r="C10" i="1"/>
  <c r="C9" i="1"/>
  <c r="C6" i="1"/>
  <c r="E104" i="2"/>
  <c r="F104" i="2"/>
  <c r="G104" i="2"/>
  <c r="H104" i="2"/>
  <c r="D104" i="2"/>
  <c r="D61" i="5"/>
  <c r="D56" i="5"/>
  <c r="D48" i="5"/>
  <c r="D40" i="5"/>
  <c r="W13" i="5"/>
  <c r="W5" i="5"/>
  <c r="CW65" i="8"/>
  <c r="CW66" i="8"/>
  <c r="CW67" i="8"/>
  <c r="CW68" i="8"/>
  <c r="CW69" i="8"/>
  <c r="CW70" i="8"/>
  <c r="CW71" i="8"/>
  <c r="CW62" i="8"/>
  <c r="CW51" i="8"/>
  <c r="CW52" i="8"/>
  <c r="CW53" i="8"/>
  <c r="CW50" i="8"/>
  <c r="CW42" i="8"/>
  <c r="CW43" i="8"/>
  <c r="CW44" i="8"/>
  <c r="CW41" i="8"/>
  <c r="CX57" i="16"/>
  <c r="CX58" i="16"/>
  <c r="CX56" i="16"/>
  <c r="CX45" i="16"/>
  <c r="CX46" i="16"/>
  <c r="CX47" i="16"/>
  <c r="CZ18" i="15"/>
  <c r="CZ17" i="15"/>
  <c r="DD17" i="15" s="1"/>
  <c r="F65" i="5"/>
  <c r="I65" i="5"/>
  <c r="H65" i="5"/>
  <c r="G65" i="5"/>
  <c r="P31" i="5"/>
  <c r="O31" i="5"/>
  <c r="N31" i="5"/>
  <c r="M31" i="5"/>
  <c r="L31" i="5"/>
  <c r="K31" i="5"/>
  <c r="J31" i="5"/>
  <c r="I31" i="5"/>
  <c r="H31" i="5"/>
  <c r="G31" i="5"/>
  <c r="F31" i="5"/>
  <c r="Q29" i="5"/>
  <c r="E63" i="5" s="1"/>
  <c r="Q28" i="5"/>
  <c r="P26" i="5"/>
  <c r="O26" i="5"/>
  <c r="N26" i="5"/>
  <c r="M26" i="5"/>
  <c r="L26" i="5"/>
  <c r="K26" i="5"/>
  <c r="J26" i="5"/>
  <c r="I26" i="5"/>
  <c r="H26" i="5"/>
  <c r="G26" i="5"/>
  <c r="F26" i="5"/>
  <c r="Q26" i="5" s="1"/>
  <c r="E26" i="5"/>
  <c r="Q24" i="5"/>
  <c r="Q23" i="5"/>
  <c r="Q18" i="5"/>
  <c r="Q17" i="5"/>
  <c r="Q16" i="5"/>
  <c r="Q15" i="5"/>
  <c r="E49" i="5" s="1"/>
  <c r="Q10" i="5"/>
  <c r="E44" i="5" s="1"/>
  <c r="Q9" i="5"/>
  <c r="E43" i="5" s="1"/>
  <c r="Q8" i="5"/>
  <c r="E42" i="5" s="1"/>
  <c r="Q7" i="5"/>
  <c r="E41" i="5" s="1"/>
  <c r="D64" i="5"/>
  <c r="D59" i="5"/>
  <c r="D54" i="5"/>
  <c r="D46" i="5"/>
  <c r="BB143" i="15"/>
  <c r="BS143" i="15"/>
  <c r="BS81" i="15"/>
  <c r="BS67" i="15"/>
  <c r="BB67" i="15"/>
  <c r="BB81" i="15"/>
  <c r="BB5" i="15"/>
  <c r="BS5" i="15"/>
  <c r="CX62" i="15"/>
  <c r="A62" i="15"/>
  <c r="CX53" i="15"/>
  <c r="CX129" i="15" s="1"/>
  <c r="CX51" i="15"/>
  <c r="A51" i="15"/>
  <c r="CX50" i="15"/>
  <c r="A50" i="15"/>
  <c r="CA50" i="15" s="1"/>
  <c r="CX49" i="15"/>
  <c r="A49" i="15"/>
  <c r="CX48" i="15"/>
  <c r="A48" i="15"/>
  <c r="CD48" i="15" s="1"/>
  <c r="CX45" i="15"/>
  <c r="CX41" i="15"/>
  <c r="A41" i="15"/>
  <c r="CX38" i="15"/>
  <c r="CX37" i="15"/>
  <c r="A37" i="15"/>
  <c r="CX36" i="15"/>
  <c r="A36" i="15"/>
  <c r="BZ36" i="15" s="1"/>
  <c r="CX35" i="15"/>
  <c r="A35" i="15"/>
  <c r="CX32" i="15"/>
  <c r="CX30" i="15"/>
  <c r="A30" i="15"/>
  <c r="CX29" i="15"/>
  <c r="A29" i="15"/>
  <c r="CX26" i="15"/>
  <c r="CX22" i="15"/>
  <c r="CX21" i="15"/>
  <c r="A21" i="15"/>
  <c r="CX20" i="15"/>
  <c r="A20" i="15"/>
  <c r="CX19" i="15"/>
  <c r="A19" i="15"/>
  <c r="CY17" i="15"/>
  <c r="CX17" i="15"/>
  <c r="A17" i="15"/>
  <c r="CX16" i="15"/>
  <c r="CX92" i="15" s="1"/>
  <c r="A16" i="15"/>
  <c r="CE16" i="15" s="1"/>
  <c r="CX15" i="15"/>
  <c r="A15" i="15"/>
  <c r="CX12" i="15"/>
  <c r="CX11" i="15"/>
  <c r="A11" i="15"/>
  <c r="CX10" i="15"/>
  <c r="A10" i="15"/>
  <c r="CX9" i="15"/>
  <c r="A9" i="15"/>
  <c r="CX8" i="15"/>
  <c r="A8" i="15"/>
  <c r="CX7" i="15"/>
  <c r="A7" i="15"/>
  <c r="CX31" i="15"/>
  <c r="A31" i="15"/>
  <c r="CY18" i="15"/>
  <c r="CX18" i="15"/>
  <c r="A18" i="15"/>
  <c r="BK18" i="15"/>
  <c r="BG18" i="15"/>
  <c r="BM18" i="15"/>
  <c r="BI18" i="15"/>
  <c r="BL18" i="15"/>
  <c r="BJ18" i="15"/>
  <c r="BF18" i="15"/>
  <c r="BE18" i="15"/>
  <c r="BD18" i="15"/>
  <c r="CE35" i="15"/>
  <c r="CA35" i="15"/>
  <c r="CD35" i="15"/>
  <c r="BZ35" i="15"/>
  <c r="BV35" i="15"/>
  <c r="CC35" i="15"/>
  <c r="BX35" i="15"/>
  <c r="BU35" i="15"/>
  <c r="BT35" i="15"/>
  <c r="CE51" i="15"/>
  <c r="CA51" i="15"/>
  <c r="CD51" i="15"/>
  <c r="BZ51" i="15"/>
  <c r="BV51" i="15"/>
  <c r="BU51" i="15"/>
  <c r="BY51" i="15"/>
  <c r="CB51" i="15"/>
  <c r="BX51" i="15"/>
  <c r="CE7" i="15"/>
  <c r="CA7" i="15"/>
  <c r="BW7" i="15"/>
  <c r="CD7" i="15"/>
  <c r="BY7" i="15"/>
  <c r="CF7" i="15" s="1"/>
  <c r="BT83" i="15" s="1"/>
  <c r="BT7" i="15"/>
  <c r="BV7" i="15"/>
  <c r="BU7" i="15"/>
  <c r="CC7" i="15"/>
  <c r="BX7" i="15"/>
  <c r="CB7" i="15"/>
  <c r="BZ7" i="15"/>
  <c r="CE9" i="15"/>
  <c r="CA9" i="15"/>
  <c r="BW9" i="15"/>
  <c r="CB9" i="15"/>
  <c r="BV9" i="15"/>
  <c r="BY9" i="15"/>
  <c r="BZ9" i="15"/>
  <c r="BU9" i="15"/>
  <c r="CD9" i="15"/>
  <c r="BT9" i="15"/>
  <c r="CC9" i="15"/>
  <c r="BX9" i="15"/>
  <c r="CE11" i="15"/>
  <c r="CA11" i="15"/>
  <c r="BW11" i="15"/>
  <c r="CD11" i="15"/>
  <c r="BY11" i="15"/>
  <c r="BT11" i="15"/>
  <c r="CC11" i="15"/>
  <c r="BX11" i="15"/>
  <c r="CB11" i="15"/>
  <c r="BV11" i="15"/>
  <c r="BZ11" i="15"/>
  <c r="BU11" i="15"/>
  <c r="CE20" i="15"/>
  <c r="CA20" i="15"/>
  <c r="BW20" i="15"/>
  <c r="CD20" i="15"/>
  <c r="BZ20" i="15"/>
  <c r="BV20" i="15"/>
  <c r="BY20" i="15"/>
  <c r="BU20" i="15"/>
  <c r="BX20" i="15"/>
  <c r="CC20" i="15"/>
  <c r="CB20" i="15"/>
  <c r="BT20" i="15"/>
  <c r="CE30" i="15"/>
  <c r="CA30" i="15"/>
  <c r="BW30" i="15"/>
  <c r="CD30" i="15"/>
  <c r="BZ30" i="15"/>
  <c r="BV30" i="15"/>
  <c r="CC30" i="15"/>
  <c r="BU30" i="15"/>
  <c r="CB30" i="15"/>
  <c r="BT30" i="15"/>
  <c r="CF30" i="15" s="1"/>
  <c r="BT106" i="15" s="1"/>
  <c r="BY30" i="15"/>
  <c r="BX30" i="15"/>
  <c r="CA36" i="15"/>
  <c r="CD36" i="15"/>
  <c r="BU36" i="15"/>
  <c r="CB36" i="15"/>
  <c r="CE48" i="15"/>
  <c r="CA48" i="15"/>
  <c r="BV48" i="15"/>
  <c r="CC48" i="15"/>
  <c r="BT48" i="15"/>
  <c r="CE50" i="15"/>
  <c r="BZ50" i="15"/>
  <c r="BV50" i="15"/>
  <c r="CC50" i="15"/>
  <c r="CB50" i="15"/>
  <c r="CE15" i="15"/>
  <c r="CA15" i="15"/>
  <c r="CD15" i="15"/>
  <c r="BZ15" i="15"/>
  <c r="BV15" i="15"/>
  <c r="CC15" i="15"/>
  <c r="BX15" i="15"/>
  <c r="BU15" i="15"/>
  <c r="BT15" i="15"/>
  <c r="CE17" i="15"/>
  <c r="CA17" i="15"/>
  <c r="CD17" i="15"/>
  <c r="BZ17" i="15"/>
  <c r="BV17" i="15"/>
  <c r="BU17" i="15"/>
  <c r="BX17" i="15"/>
  <c r="CC17" i="15"/>
  <c r="CB17" i="15"/>
  <c r="CE37" i="15"/>
  <c r="CA37" i="15"/>
  <c r="CD37" i="15"/>
  <c r="BZ37" i="15"/>
  <c r="BV37" i="15"/>
  <c r="BU37" i="15"/>
  <c r="BX37" i="15"/>
  <c r="CC37" i="15"/>
  <c r="CB37" i="15"/>
  <c r="CE49" i="15"/>
  <c r="CA49" i="15"/>
  <c r="CD49" i="15"/>
  <c r="BZ49" i="15"/>
  <c r="BV49" i="15"/>
  <c r="BU49" i="15"/>
  <c r="CB49" i="15"/>
  <c r="BT49" i="15"/>
  <c r="BX49" i="15"/>
  <c r="CD16" i="15"/>
  <c r="BZ16" i="15"/>
  <c r="CB16" i="15"/>
  <c r="BT16" i="15"/>
  <c r="CA8" i="15"/>
  <c r="CA29" i="15"/>
  <c r="B3" i="21"/>
  <c r="L3" i="21"/>
  <c r="AP140" i="16"/>
  <c r="AP138" i="16" s="1"/>
  <c r="AM140" i="16"/>
  <c r="AM138" i="16" s="1"/>
  <c r="AM139" i="16"/>
  <c r="AF140" i="16"/>
  <c r="AA137" i="16"/>
  <c r="K137" i="16"/>
  <c r="AJ136" i="16"/>
  <c r="AG136" i="16"/>
  <c r="AD136" i="16"/>
  <c r="AA136" i="16"/>
  <c r="X136" i="16"/>
  <c r="U136" i="16"/>
  <c r="Q136" i="16"/>
  <c r="N136" i="16"/>
  <c r="K136" i="16"/>
  <c r="H136" i="16"/>
  <c r="AJ135" i="16"/>
  <c r="AG135" i="16"/>
  <c r="AD135" i="16"/>
  <c r="AA135" i="16"/>
  <c r="X135" i="16"/>
  <c r="U135" i="16"/>
  <c r="Q135" i="16"/>
  <c r="N135" i="16"/>
  <c r="K135" i="16"/>
  <c r="H135" i="16"/>
  <c r="AJ134" i="16"/>
  <c r="AG134" i="16"/>
  <c r="AD134" i="16"/>
  <c r="AA134" i="16"/>
  <c r="X134" i="16"/>
  <c r="U134" i="16"/>
  <c r="Q134" i="16"/>
  <c r="N134" i="16"/>
  <c r="K134" i="16"/>
  <c r="H134" i="16"/>
  <c r="AP133" i="16"/>
  <c r="AM133" i="16"/>
  <c r="AJ133" i="16"/>
  <c r="AG133" i="16"/>
  <c r="AD133" i="16"/>
  <c r="AA133" i="16"/>
  <c r="AA139" i="16" s="1"/>
  <c r="X133" i="16"/>
  <c r="U133" i="16"/>
  <c r="Q133" i="16"/>
  <c r="N133" i="16"/>
  <c r="K133" i="16"/>
  <c r="K139" i="16" s="1"/>
  <c r="H133" i="16"/>
  <c r="L30" i="16"/>
  <c r="J30" i="16"/>
  <c r="H30" i="16"/>
  <c r="F30" i="16"/>
  <c r="F31" i="16" s="1"/>
  <c r="D30" i="16"/>
  <c r="L29" i="16"/>
  <c r="J29" i="16"/>
  <c r="H29" i="16"/>
  <c r="F29" i="16"/>
  <c r="D29" i="16"/>
  <c r="CV205" i="8"/>
  <c r="CV202" i="8"/>
  <c r="CV47" i="8"/>
  <c r="B41" i="8"/>
  <c r="P31" i="8"/>
  <c r="D65" i="8" s="1"/>
  <c r="CV13" i="8"/>
  <c r="O9" i="8"/>
  <c r="N9" i="8"/>
  <c r="M9" i="8"/>
  <c r="L9" i="8"/>
  <c r="K9" i="8"/>
  <c r="J9" i="8"/>
  <c r="I9" i="8"/>
  <c r="H9" i="8"/>
  <c r="G9" i="8"/>
  <c r="F9" i="8"/>
  <c r="E9" i="8"/>
  <c r="CV39" i="7"/>
  <c r="CY390" i="15"/>
  <c r="CY389" i="15"/>
  <c r="CY388" i="15"/>
  <c r="H388" i="15"/>
  <c r="G388" i="15"/>
  <c r="F388" i="15"/>
  <c r="E388" i="15"/>
  <c r="CY387" i="15"/>
  <c r="H387" i="15"/>
  <c r="G387" i="15"/>
  <c r="F387" i="15"/>
  <c r="E387" i="15"/>
  <c r="D387" i="15"/>
  <c r="CY386" i="15"/>
  <c r="H386" i="15"/>
  <c r="G386" i="15"/>
  <c r="F386" i="15"/>
  <c r="E386" i="15"/>
  <c r="CY385" i="15"/>
  <c r="H385" i="15"/>
  <c r="G385" i="15"/>
  <c r="F385" i="15"/>
  <c r="E385" i="15"/>
  <c r="CY384" i="15"/>
  <c r="H384" i="15"/>
  <c r="G384" i="15"/>
  <c r="F384" i="15"/>
  <c r="E384" i="15"/>
  <c r="CY383" i="15"/>
  <c r="H383" i="15"/>
  <c r="G383" i="15"/>
  <c r="F383" i="15"/>
  <c r="E383" i="15"/>
  <c r="CY382" i="15"/>
  <c r="B297" i="15"/>
  <c r="B296" i="15"/>
  <c r="B295" i="15"/>
  <c r="B293" i="15"/>
  <c r="B290" i="15"/>
  <c r="B289" i="15"/>
  <c r="B288" i="15"/>
  <c r="B285" i="15"/>
  <c r="B284" i="15"/>
  <c r="B283" i="15"/>
  <c r="B282" i="15"/>
  <c r="B281" i="15"/>
  <c r="D279" i="15"/>
  <c r="B277" i="15"/>
  <c r="B276" i="15"/>
  <c r="B275" i="15"/>
  <c r="B274" i="15"/>
  <c r="B270" i="15"/>
  <c r="B269" i="15"/>
  <c r="B267" i="15"/>
  <c r="B264" i="15"/>
  <c r="B262" i="15"/>
  <c r="B259" i="15"/>
  <c r="B258" i="15"/>
  <c r="B257" i="15"/>
  <c r="B254" i="15"/>
  <c r="B252" i="15"/>
  <c r="B250" i="15"/>
  <c r="B249" i="15"/>
  <c r="B247" i="15"/>
  <c r="B244" i="15"/>
  <c r="B243" i="15"/>
  <c r="B241" i="15"/>
  <c r="B239" i="15"/>
  <c r="B237" i="15"/>
  <c r="BO231" i="15"/>
  <c r="BO229" i="15"/>
  <c r="BO228" i="15"/>
  <c r="B228" i="15"/>
  <c r="BO227" i="15"/>
  <c r="B227" i="15"/>
  <c r="BO226" i="15"/>
  <c r="B226" i="15"/>
  <c r="BO225" i="15"/>
  <c r="BO224" i="15"/>
  <c r="B224" i="15"/>
  <c r="BO222" i="15"/>
  <c r="BO221" i="15"/>
  <c r="B221" i="15"/>
  <c r="BO220" i="15"/>
  <c r="B220" i="15"/>
  <c r="BO219" i="15"/>
  <c r="B219" i="15"/>
  <c r="BO217" i="15"/>
  <c r="BO216" i="15"/>
  <c r="B216" i="15"/>
  <c r="BO215" i="15"/>
  <c r="B215" i="15"/>
  <c r="BO214" i="15"/>
  <c r="B214" i="15"/>
  <c r="BO213" i="15"/>
  <c r="BO212" i="15"/>
  <c r="B212" i="15"/>
  <c r="BO211" i="15"/>
  <c r="BO209" i="15"/>
  <c r="BO208" i="15"/>
  <c r="B208" i="15"/>
  <c r="BO207" i="15"/>
  <c r="B207" i="15"/>
  <c r="BO206" i="15"/>
  <c r="B206" i="15"/>
  <c r="BO205" i="15"/>
  <c r="B205" i="15"/>
  <c r="BO204" i="15"/>
  <c r="BO202" i="15"/>
  <c r="BO201" i="15"/>
  <c r="B201" i="15"/>
  <c r="BO200" i="15"/>
  <c r="B200" i="15"/>
  <c r="BO199" i="15"/>
  <c r="B199" i="15"/>
  <c r="BO198" i="15"/>
  <c r="B198" i="15"/>
  <c r="BO196" i="15"/>
  <c r="BO195" i="15"/>
  <c r="B195" i="15"/>
  <c r="BO194" i="15"/>
  <c r="BO193" i="15"/>
  <c r="B193" i="15"/>
  <c r="BO192" i="15"/>
  <c r="BO190" i="15"/>
  <c r="BO189" i="15"/>
  <c r="B189" i="15"/>
  <c r="BO188" i="15"/>
  <c r="B188" i="15"/>
  <c r="BO186" i="15"/>
  <c r="BO185" i="15"/>
  <c r="B185" i="15"/>
  <c r="BO184" i="15"/>
  <c r="BO183" i="15"/>
  <c r="B183" i="15"/>
  <c r="BO182" i="15"/>
  <c r="BO181" i="15"/>
  <c r="B181" i="15"/>
  <c r="BO180" i="15"/>
  <c r="B180" i="15"/>
  <c r="BO179" i="15"/>
  <c r="B179" i="15"/>
  <c r="BO178" i="15"/>
  <c r="B178" i="15"/>
  <c r="B177" i="15"/>
  <c r="BO176" i="15"/>
  <c r="BO175" i="15"/>
  <c r="B175" i="15"/>
  <c r="BO174" i="15"/>
  <c r="B174" i="15"/>
  <c r="BO173" i="15"/>
  <c r="BO172" i="15"/>
  <c r="B172" i="15"/>
  <c r="BO171" i="15"/>
  <c r="BO170" i="15"/>
  <c r="B170" i="15"/>
  <c r="B168" i="15"/>
  <c r="BS142" i="15"/>
  <c r="BB142" i="15"/>
  <c r="CX141" i="15"/>
  <c r="BS141" i="15"/>
  <c r="BR141" i="15"/>
  <c r="BB141" i="15"/>
  <c r="BA141" i="15"/>
  <c r="B141" i="15"/>
  <c r="A297" i="15" s="1"/>
  <c r="A141" i="15"/>
  <c r="CX140" i="15"/>
  <c r="BS140" i="15"/>
  <c r="BR140" i="15"/>
  <c r="BB140" i="15"/>
  <c r="BA140" i="15"/>
  <c r="A140" i="15"/>
  <c r="CX139" i="15"/>
  <c r="BS139" i="15"/>
  <c r="BR139" i="15"/>
  <c r="BB139" i="15"/>
  <c r="BA139" i="15"/>
  <c r="A139" i="15"/>
  <c r="CX138" i="15"/>
  <c r="BS138" i="15"/>
  <c r="BR138" i="15"/>
  <c r="BB138" i="15"/>
  <c r="BA138" i="15"/>
  <c r="CX137" i="15"/>
  <c r="BS137" i="15"/>
  <c r="BR137" i="15"/>
  <c r="BB137" i="15"/>
  <c r="BA137" i="15"/>
  <c r="A137" i="15"/>
  <c r="BS136" i="15"/>
  <c r="BB136" i="15"/>
  <c r="BS135" i="15"/>
  <c r="BB135" i="15"/>
  <c r="H135" i="15"/>
  <c r="G135" i="15"/>
  <c r="F135" i="15"/>
  <c r="E135" i="15"/>
  <c r="CX134" i="15"/>
  <c r="BS134" i="15"/>
  <c r="BR134" i="15"/>
  <c r="BB134" i="15"/>
  <c r="BA134" i="15"/>
  <c r="B134" i="15"/>
  <c r="A290" i="15" s="1"/>
  <c r="A134" i="15"/>
  <c r="CX133" i="15"/>
  <c r="BS133" i="15"/>
  <c r="BR133" i="15"/>
  <c r="BB133" i="15"/>
  <c r="BA133" i="15"/>
  <c r="A133" i="15"/>
  <c r="CX132" i="15"/>
  <c r="BS132" i="15"/>
  <c r="BR132" i="15"/>
  <c r="BB132" i="15"/>
  <c r="BA132" i="15"/>
  <c r="AG132" i="15"/>
  <c r="AF132" i="15"/>
  <c r="AE132" i="15"/>
  <c r="AD132" i="15"/>
  <c r="AC132" i="15"/>
  <c r="AB132" i="15"/>
  <c r="AA132" i="15"/>
  <c r="Z132" i="15"/>
  <c r="Y132" i="15"/>
  <c r="X132" i="15"/>
  <c r="W132" i="15"/>
  <c r="V132" i="15"/>
  <c r="A132" i="15"/>
  <c r="BS131" i="15"/>
  <c r="BB131" i="15"/>
  <c r="BS130" i="15"/>
  <c r="BR130" i="15"/>
  <c r="BB130" i="15"/>
  <c r="BA130" i="15"/>
  <c r="H130" i="15"/>
  <c r="G130" i="15"/>
  <c r="F130" i="15"/>
  <c r="E130" i="15"/>
  <c r="BS129" i="15"/>
  <c r="BR129" i="15"/>
  <c r="BB129" i="15"/>
  <c r="BA129" i="15"/>
  <c r="B129" i="15"/>
  <c r="A285" i="15"/>
  <c r="A129" i="15"/>
  <c r="CX128" i="15"/>
  <c r="BS128" i="15"/>
  <c r="BR128" i="15"/>
  <c r="BB128" i="15"/>
  <c r="BA128" i="15"/>
  <c r="A128" i="15"/>
  <c r="CX127" i="15"/>
  <c r="BS127" i="15"/>
  <c r="BR127" i="15"/>
  <c r="BB127" i="15"/>
  <c r="BA127" i="15"/>
  <c r="A127" i="15"/>
  <c r="BS126" i="15"/>
  <c r="BR126" i="15"/>
  <c r="BB126" i="15"/>
  <c r="BA126" i="15"/>
  <c r="CX125" i="15"/>
  <c r="BS125" i="15"/>
  <c r="BR125" i="15"/>
  <c r="BB125" i="15"/>
  <c r="BA125" i="15"/>
  <c r="A125" i="15"/>
  <c r="BS124" i="15"/>
  <c r="BR124" i="15"/>
  <c r="BB124" i="15"/>
  <c r="BA124" i="15"/>
  <c r="BS123" i="15"/>
  <c r="BB123" i="15"/>
  <c r="BS122" i="15"/>
  <c r="BB122" i="15"/>
  <c r="H122" i="15"/>
  <c r="G122" i="15"/>
  <c r="F122" i="15"/>
  <c r="E122" i="15"/>
  <c r="CX121" i="15"/>
  <c r="BT121" i="15"/>
  <c r="BS121" i="15"/>
  <c r="BR121" i="15"/>
  <c r="BC121" i="15"/>
  <c r="BB121" i="15"/>
  <c r="BA121" i="15"/>
  <c r="AG121" i="15"/>
  <c r="AF121" i="15"/>
  <c r="AE121" i="15"/>
  <c r="AD121" i="15"/>
  <c r="AC121" i="15"/>
  <c r="AB121" i="15"/>
  <c r="AA121" i="15"/>
  <c r="Z121" i="15"/>
  <c r="Y121" i="15"/>
  <c r="X121" i="15"/>
  <c r="W121" i="15"/>
  <c r="V121" i="15"/>
  <c r="D121" i="15"/>
  <c r="B121" i="15"/>
  <c r="A277" i="15" s="1"/>
  <c r="A121" i="15"/>
  <c r="CX120" i="15"/>
  <c r="BS120" i="15"/>
  <c r="BR120" i="15"/>
  <c r="BB120" i="15"/>
  <c r="BA120" i="15"/>
  <c r="A120" i="15"/>
  <c r="CX119" i="15"/>
  <c r="BS119" i="15"/>
  <c r="BR119" i="15"/>
  <c r="BB119" i="15"/>
  <c r="BA119" i="15"/>
  <c r="A119" i="15"/>
  <c r="CX118" i="15"/>
  <c r="BS118" i="15"/>
  <c r="BR118" i="15"/>
  <c r="BB118" i="15"/>
  <c r="BA118" i="15"/>
  <c r="A118" i="15"/>
  <c r="BX118" i="15" s="1"/>
  <c r="CX117" i="15"/>
  <c r="BS117" i="15"/>
  <c r="BR117" i="15"/>
  <c r="BB117" i="15"/>
  <c r="BA117" i="15"/>
  <c r="BS116" i="15"/>
  <c r="BB116" i="15"/>
  <c r="BS115" i="15"/>
  <c r="BR115" i="15"/>
  <c r="BB115" i="15"/>
  <c r="BA115" i="15"/>
  <c r="H115" i="15"/>
  <c r="G115" i="15"/>
  <c r="F115" i="15"/>
  <c r="E115" i="15"/>
  <c r="CX114" i="15"/>
  <c r="BS114" i="15"/>
  <c r="BR114" i="15"/>
  <c r="BB114" i="15"/>
  <c r="BA114" i="15"/>
  <c r="B114" i="15"/>
  <c r="A270" i="15" s="1"/>
  <c r="A114" i="15"/>
  <c r="CX113" i="15"/>
  <c r="BS113" i="15"/>
  <c r="BR113" i="15"/>
  <c r="BB113" i="15"/>
  <c r="BA113" i="15"/>
  <c r="A113" i="15"/>
  <c r="BS112" i="15"/>
  <c r="BR112" i="15"/>
  <c r="BB112" i="15"/>
  <c r="BA112" i="15"/>
  <c r="A112" i="15"/>
  <c r="BX112" i="15" s="1"/>
  <c r="CX111" i="15"/>
  <c r="BS111" i="15"/>
  <c r="BR111" i="15"/>
  <c r="BB111" i="15"/>
  <c r="BA111" i="15"/>
  <c r="A111" i="15"/>
  <c r="BS110" i="15"/>
  <c r="BB110" i="15"/>
  <c r="AG110" i="15"/>
  <c r="AF110" i="15"/>
  <c r="AE110" i="15"/>
  <c r="AD110" i="15"/>
  <c r="AC110" i="15"/>
  <c r="AB110" i="15"/>
  <c r="AA110" i="15"/>
  <c r="Z110" i="15"/>
  <c r="Y110" i="15"/>
  <c r="X110" i="15"/>
  <c r="W110" i="15"/>
  <c r="V110" i="15"/>
  <c r="BS109" i="15"/>
  <c r="BB109" i="15"/>
  <c r="H109" i="15"/>
  <c r="G109" i="15"/>
  <c r="F109" i="15"/>
  <c r="E109" i="15"/>
  <c r="BS108" i="15"/>
  <c r="BR108" i="15"/>
  <c r="BB108" i="15"/>
  <c r="BA108" i="15"/>
  <c r="B108" i="15"/>
  <c r="A264" i="15" s="1"/>
  <c r="A108" i="15"/>
  <c r="CX107" i="15"/>
  <c r="BS107" i="15"/>
  <c r="BR107" i="15"/>
  <c r="BB107" i="15"/>
  <c r="BA107" i="15"/>
  <c r="CX106" i="15"/>
  <c r="BS106" i="15"/>
  <c r="BR106" i="15"/>
  <c r="BB106" i="15"/>
  <c r="BA106" i="15"/>
  <c r="A106" i="15"/>
  <c r="CX105" i="15"/>
  <c r="BS105" i="15"/>
  <c r="BR105" i="15"/>
  <c r="BB105" i="15"/>
  <c r="BA105" i="15"/>
  <c r="BS104" i="15"/>
  <c r="BB104" i="15"/>
  <c r="BS103" i="15"/>
  <c r="BB103" i="15"/>
  <c r="H103" i="15"/>
  <c r="G103" i="15"/>
  <c r="F103" i="15"/>
  <c r="E103" i="15"/>
  <c r="CX102" i="15"/>
  <c r="BS102" i="15"/>
  <c r="BR102" i="15"/>
  <c r="BB102" i="15"/>
  <c r="BA102" i="15"/>
  <c r="B102" i="15"/>
  <c r="A258" i="15" s="1"/>
  <c r="A102" i="15"/>
  <c r="CX101" i="15"/>
  <c r="BS101" i="15"/>
  <c r="BR101" i="15"/>
  <c r="BB101" i="15"/>
  <c r="BA101" i="15"/>
  <c r="A101" i="15"/>
  <c r="BS100" i="15"/>
  <c r="BB100" i="15"/>
  <c r="BS99" i="15"/>
  <c r="BB99" i="15"/>
  <c r="AG99" i="15"/>
  <c r="AF99" i="15"/>
  <c r="AE99" i="15"/>
  <c r="AD99" i="15"/>
  <c r="AC99" i="15"/>
  <c r="AB99" i="15"/>
  <c r="AA99" i="15"/>
  <c r="Z99" i="15"/>
  <c r="Y99" i="15"/>
  <c r="X99" i="15"/>
  <c r="W99" i="15"/>
  <c r="V99" i="15"/>
  <c r="H99" i="15"/>
  <c r="G99" i="15"/>
  <c r="F99" i="15"/>
  <c r="E99" i="15"/>
  <c r="CX98" i="15"/>
  <c r="BS98" i="15"/>
  <c r="BR98" i="15"/>
  <c r="BB98" i="15"/>
  <c r="BA98" i="15"/>
  <c r="B98" i="15"/>
  <c r="A254" i="15" s="1"/>
  <c r="A98" i="15"/>
  <c r="CX97" i="15"/>
  <c r="BS97" i="15"/>
  <c r="BR97" i="15"/>
  <c r="BB97" i="15"/>
  <c r="BA97" i="15"/>
  <c r="CX96" i="15"/>
  <c r="BS96" i="15"/>
  <c r="BR96" i="15"/>
  <c r="BB96" i="15"/>
  <c r="BA96" i="15"/>
  <c r="A96" i="15"/>
  <c r="CX95" i="15"/>
  <c r="BS95" i="15"/>
  <c r="BR95" i="15"/>
  <c r="BB95" i="15"/>
  <c r="BA95" i="15"/>
  <c r="CX94" i="15"/>
  <c r="BS94" i="15"/>
  <c r="BR94" i="15"/>
  <c r="BB94" i="15"/>
  <c r="BA94" i="15"/>
  <c r="A94" i="15"/>
  <c r="CX93" i="15"/>
  <c r="BS93" i="15"/>
  <c r="BR93" i="15"/>
  <c r="BB93" i="15"/>
  <c r="BA93" i="15"/>
  <c r="A93" i="15"/>
  <c r="BW93" i="15" s="1"/>
  <c r="BS92" i="15"/>
  <c r="BR92" i="15"/>
  <c r="BB92" i="15"/>
  <c r="BA92" i="15"/>
  <c r="CX91" i="15"/>
  <c r="BS91" i="15"/>
  <c r="BR91" i="15"/>
  <c r="BB91" i="15"/>
  <c r="BA91" i="15"/>
  <c r="A91" i="15"/>
  <c r="BW91" i="15" s="1"/>
  <c r="BS90" i="15"/>
  <c r="BB90" i="15"/>
  <c r="BS89" i="15"/>
  <c r="BB89" i="15"/>
  <c r="H89" i="15"/>
  <c r="H382" i="15" s="1"/>
  <c r="G89" i="15"/>
  <c r="G382" i="15" s="1"/>
  <c r="F89" i="15"/>
  <c r="F382" i="15" s="1"/>
  <c r="E89" i="15"/>
  <c r="E382" i="15" s="1"/>
  <c r="BS88" i="15"/>
  <c r="BR88" i="15"/>
  <c r="BB88" i="15"/>
  <c r="BA88" i="15"/>
  <c r="AG88" i="15"/>
  <c r="AF88" i="15"/>
  <c r="AE88" i="15"/>
  <c r="AD88" i="15"/>
  <c r="AC88" i="15"/>
  <c r="AB88" i="15"/>
  <c r="AA88" i="15"/>
  <c r="Z88" i="15"/>
  <c r="Y88" i="15"/>
  <c r="X88" i="15"/>
  <c r="W88" i="15"/>
  <c r="AH88" i="15" s="1"/>
  <c r="V88" i="15"/>
  <c r="B88" i="15"/>
  <c r="A244" i="15" s="1"/>
  <c r="A88" i="15"/>
  <c r="BV88" i="15" s="1"/>
  <c r="CX87" i="15"/>
  <c r="BS87" i="15"/>
  <c r="BR87" i="15"/>
  <c r="BB87" i="15"/>
  <c r="BA87" i="15"/>
  <c r="A87" i="15"/>
  <c r="CX86" i="15"/>
  <c r="BS86" i="15"/>
  <c r="BR86" i="15"/>
  <c r="BB86" i="15"/>
  <c r="BA86" i="15"/>
  <c r="CX85" i="15"/>
  <c r="BS85" i="15"/>
  <c r="BR85" i="15"/>
  <c r="BB85" i="15"/>
  <c r="BA85" i="15"/>
  <c r="A85" i="15"/>
  <c r="CX84" i="15"/>
  <c r="BS84" i="15"/>
  <c r="BR84" i="15"/>
  <c r="BB84" i="15"/>
  <c r="BA84" i="15"/>
  <c r="CX83" i="15"/>
  <c r="BS83" i="15"/>
  <c r="BR83" i="15"/>
  <c r="BB83" i="15"/>
  <c r="BA83" i="15"/>
  <c r="A83" i="15"/>
  <c r="BS82" i="15"/>
  <c r="BR82" i="15"/>
  <c r="BB82" i="15"/>
  <c r="BA82" i="15"/>
  <c r="B82" i="15"/>
  <c r="BR81" i="15"/>
  <c r="BA81" i="15"/>
  <c r="B81" i="15"/>
  <c r="CY69" i="15"/>
  <c r="DD66" i="15"/>
  <c r="DC66" i="15"/>
  <c r="DB66" i="15"/>
  <c r="DD65" i="15"/>
  <c r="DC65" i="15"/>
  <c r="DB65" i="15"/>
  <c r="P65" i="15"/>
  <c r="D141" i="15" s="1"/>
  <c r="DD64" i="15"/>
  <c r="DC64" i="15"/>
  <c r="DB64" i="15"/>
  <c r="P64" i="15"/>
  <c r="D140" i="15"/>
  <c r="DD63" i="15"/>
  <c r="DC63" i="15"/>
  <c r="DB63" i="15"/>
  <c r="P63" i="15"/>
  <c r="D139" i="15" s="1"/>
  <c r="DD62" i="15"/>
  <c r="DC62" i="15"/>
  <c r="DB62" i="15"/>
  <c r="P62" i="15"/>
  <c r="D138" i="15" s="1"/>
  <c r="DD61" i="15"/>
  <c r="DC61" i="15"/>
  <c r="DB61" i="15"/>
  <c r="AG61" i="15"/>
  <c r="AF61" i="15"/>
  <c r="AE61" i="15"/>
  <c r="AD61" i="15"/>
  <c r="AC61" i="15"/>
  <c r="AB61" i="15"/>
  <c r="AA61" i="15"/>
  <c r="Z61" i="15"/>
  <c r="Y61" i="15"/>
  <c r="X61" i="15"/>
  <c r="W61" i="15"/>
  <c r="V61" i="15"/>
  <c r="DD60" i="15"/>
  <c r="DC60" i="15"/>
  <c r="DB60" i="15"/>
  <c r="DD59" i="15"/>
  <c r="DC59" i="15"/>
  <c r="DB59" i="15"/>
  <c r="O59" i="15"/>
  <c r="N59" i="15"/>
  <c r="M59" i="15"/>
  <c r="L59" i="15"/>
  <c r="K59" i="15"/>
  <c r="J59" i="15"/>
  <c r="I59" i="15"/>
  <c r="H59" i="15"/>
  <c r="G59" i="15"/>
  <c r="F59" i="15"/>
  <c r="E59" i="15"/>
  <c r="P59" i="15" s="1"/>
  <c r="D135" i="15" s="1"/>
  <c r="DD58" i="15"/>
  <c r="DC58" i="15"/>
  <c r="DB58" i="15"/>
  <c r="P58" i="15"/>
  <c r="D134" i="15" s="1"/>
  <c r="DD57" i="15"/>
  <c r="DC57" i="15"/>
  <c r="DB57" i="15"/>
  <c r="P57" i="15"/>
  <c r="D133" i="15" s="1"/>
  <c r="D388" i="15" s="1"/>
  <c r="DD56" i="15"/>
  <c r="DC56" i="15"/>
  <c r="DB56" i="15"/>
  <c r="P56" i="15"/>
  <c r="D132" i="15" s="1"/>
  <c r="DD55" i="15"/>
  <c r="DC55" i="15"/>
  <c r="DB55" i="15"/>
  <c r="DD54" i="15"/>
  <c r="DB54" i="15"/>
  <c r="CY54" i="15"/>
  <c r="DC54" i="15" s="1"/>
  <c r="O54" i="15"/>
  <c r="N54" i="15"/>
  <c r="M54" i="15"/>
  <c r="L54" i="15"/>
  <c r="K54" i="15"/>
  <c r="J54" i="15"/>
  <c r="I54" i="15"/>
  <c r="H54" i="15"/>
  <c r="G54" i="15"/>
  <c r="F54" i="15"/>
  <c r="E54" i="15"/>
  <c r="DD53" i="15"/>
  <c r="DC53" i="15"/>
  <c r="DB53" i="15"/>
  <c r="P53" i="15"/>
  <c r="D129" i="15" s="1"/>
  <c r="DD52" i="15"/>
  <c r="DC52" i="15"/>
  <c r="DB52" i="15"/>
  <c r="P52" i="15"/>
  <c r="D128" i="15" s="1"/>
  <c r="DD51" i="15"/>
  <c r="DC51" i="15"/>
  <c r="DB51" i="15"/>
  <c r="P51" i="15"/>
  <c r="D127" i="15"/>
  <c r="DD50" i="15"/>
  <c r="DC50" i="15"/>
  <c r="P50" i="15"/>
  <c r="D126" i="15"/>
  <c r="DD49" i="15"/>
  <c r="DC49" i="15"/>
  <c r="DB49" i="15"/>
  <c r="AG49" i="15"/>
  <c r="AF49" i="15"/>
  <c r="AE49" i="15"/>
  <c r="AD49" i="15"/>
  <c r="AC49" i="15"/>
  <c r="AB49" i="15"/>
  <c r="AA49" i="15"/>
  <c r="Z49" i="15"/>
  <c r="Y49" i="15"/>
  <c r="X49" i="15"/>
  <c r="AH49" i="15" s="1"/>
  <c r="W49" i="15"/>
  <c r="V49" i="15"/>
  <c r="P49" i="15"/>
  <c r="D125" i="15"/>
  <c r="DD48" i="15"/>
  <c r="DC48" i="15"/>
  <c r="P48" i="15"/>
  <c r="D124" i="15" s="1"/>
  <c r="DD47" i="15"/>
  <c r="DC47" i="15"/>
  <c r="DB47" i="15"/>
  <c r="DD46" i="15"/>
  <c r="DB46" i="15"/>
  <c r="CY46" i="15"/>
  <c r="DC46" i="15" s="1"/>
  <c r="O46" i="15"/>
  <c r="N46" i="15"/>
  <c r="M46" i="15"/>
  <c r="L46" i="15"/>
  <c r="K46" i="15"/>
  <c r="J46" i="15"/>
  <c r="I46" i="15"/>
  <c r="H46" i="15"/>
  <c r="G46" i="15"/>
  <c r="F46" i="15"/>
  <c r="E46" i="15"/>
  <c r="P46" i="15" s="1"/>
  <c r="D122" i="15" s="1"/>
  <c r="DD45" i="15"/>
  <c r="DC45" i="15"/>
  <c r="DB45" i="15"/>
  <c r="DD44" i="15"/>
  <c r="DC44" i="15"/>
  <c r="DB44" i="15"/>
  <c r="P44" i="15"/>
  <c r="D120" i="15"/>
  <c r="DD43" i="15"/>
  <c r="DC43" i="15"/>
  <c r="DB43" i="15"/>
  <c r="P43" i="15"/>
  <c r="D119" i="15" s="1"/>
  <c r="DD42" i="15"/>
  <c r="DC42" i="15"/>
  <c r="DB42" i="15"/>
  <c r="P42" i="15"/>
  <c r="D118" i="15" s="1"/>
  <c r="DD41" i="15"/>
  <c r="DC41" i="15"/>
  <c r="DB41" i="15"/>
  <c r="P41" i="15"/>
  <c r="D117" i="15" s="1"/>
  <c r="DD40" i="15"/>
  <c r="DC40" i="15"/>
  <c r="DB40" i="15"/>
  <c r="DD39" i="15"/>
  <c r="DB39" i="15"/>
  <c r="CY39" i="15"/>
  <c r="DC39" i="15" s="1"/>
  <c r="O39" i="15"/>
  <c r="N39" i="15"/>
  <c r="M39" i="15"/>
  <c r="L39" i="15"/>
  <c r="K39" i="15"/>
  <c r="J39" i="15"/>
  <c r="I39" i="15"/>
  <c r="H39" i="15"/>
  <c r="G39" i="15"/>
  <c r="F39" i="15"/>
  <c r="E39" i="15"/>
  <c r="DD38" i="15"/>
  <c r="DC38" i="15"/>
  <c r="DB38" i="15"/>
  <c r="P38" i="15"/>
  <c r="D114" i="15" s="1"/>
  <c r="DD37" i="15"/>
  <c r="DC37" i="15"/>
  <c r="DB37" i="15"/>
  <c r="AG37" i="15"/>
  <c r="AF37" i="15"/>
  <c r="AE37" i="15"/>
  <c r="AD37" i="15"/>
  <c r="AC37" i="15"/>
  <c r="AB37" i="15"/>
  <c r="AA37" i="15"/>
  <c r="Z37" i="15"/>
  <c r="Y37" i="15"/>
  <c r="X37" i="15"/>
  <c r="W37" i="15"/>
  <c r="V37" i="15"/>
  <c r="P37" i="15"/>
  <c r="D113" i="15" s="1"/>
  <c r="DD36" i="15"/>
  <c r="DC36" i="15"/>
  <c r="P36" i="15"/>
  <c r="D112" i="15"/>
  <c r="D386" i="15" s="1"/>
  <c r="DD35" i="15"/>
  <c r="DC35" i="15"/>
  <c r="DB35" i="15"/>
  <c r="P35" i="15"/>
  <c r="D111" i="15" s="1"/>
  <c r="DD34" i="15"/>
  <c r="DC34" i="15"/>
  <c r="DB34" i="15"/>
  <c r="DD33" i="15"/>
  <c r="DB33" i="15"/>
  <c r="CY33" i="15"/>
  <c r="DC33" i="15"/>
  <c r="O33" i="15"/>
  <c r="N33" i="15"/>
  <c r="M33" i="15"/>
  <c r="L33" i="15"/>
  <c r="K33" i="15"/>
  <c r="J33" i="15"/>
  <c r="I33" i="15"/>
  <c r="H33" i="15"/>
  <c r="G33" i="15"/>
  <c r="F33" i="15"/>
  <c r="E33" i="15"/>
  <c r="DD32" i="15"/>
  <c r="DC32" i="15"/>
  <c r="P32" i="15"/>
  <c r="D108" i="15" s="1"/>
  <c r="D385" i="15" s="1"/>
  <c r="DD31" i="15"/>
  <c r="DC31" i="15"/>
  <c r="DB31" i="15"/>
  <c r="P31" i="15"/>
  <c r="D107" i="15" s="1"/>
  <c r="DD30" i="15"/>
  <c r="DC30" i="15"/>
  <c r="DB30" i="15"/>
  <c r="P30" i="15"/>
  <c r="D106" i="15"/>
  <c r="DD29" i="15"/>
  <c r="DC29" i="15"/>
  <c r="DB29" i="15"/>
  <c r="P29" i="15"/>
  <c r="D105" i="15" s="1"/>
  <c r="DD28" i="15"/>
  <c r="DC28" i="15"/>
  <c r="DB28" i="15"/>
  <c r="DD27" i="15"/>
  <c r="DC27" i="15"/>
  <c r="DB27" i="15"/>
  <c r="DD26" i="15"/>
  <c r="DC26" i="15"/>
  <c r="DB26" i="15"/>
  <c r="DD25" i="15"/>
  <c r="DC25" i="15"/>
  <c r="DB25" i="15"/>
  <c r="AG25" i="15"/>
  <c r="AF25" i="15"/>
  <c r="AE25" i="15"/>
  <c r="AD25" i="15"/>
  <c r="AC25" i="15"/>
  <c r="AB25" i="15"/>
  <c r="AA25" i="15"/>
  <c r="Z25" i="15"/>
  <c r="Y25" i="15"/>
  <c r="X25" i="15"/>
  <c r="W25" i="15"/>
  <c r="V25" i="15"/>
  <c r="P25" i="15"/>
  <c r="D101" i="15" s="1"/>
  <c r="DD24" i="15"/>
  <c r="DC24" i="15"/>
  <c r="DB24" i="15"/>
  <c r="DD23" i="15"/>
  <c r="DB23" i="15"/>
  <c r="CY23" i="15"/>
  <c r="DC23" i="15" s="1"/>
  <c r="O23" i="15"/>
  <c r="N23" i="15"/>
  <c r="M23" i="15"/>
  <c r="L23" i="15"/>
  <c r="K23" i="15"/>
  <c r="J23" i="15"/>
  <c r="I23" i="15"/>
  <c r="H23" i="15"/>
  <c r="G23" i="15"/>
  <c r="F23" i="15"/>
  <c r="E23" i="15"/>
  <c r="DD22" i="15"/>
  <c r="DC22" i="15"/>
  <c r="DB22" i="15"/>
  <c r="P22" i="15"/>
  <c r="D98" i="15" s="1"/>
  <c r="D384" i="15" s="1"/>
  <c r="DD21" i="15"/>
  <c r="DC21" i="15"/>
  <c r="DB21" i="15"/>
  <c r="P21" i="15"/>
  <c r="D97" i="15" s="1"/>
  <c r="DD20" i="15"/>
  <c r="DC20" i="15"/>
  <c r="DB20" i="15"/>
  <c r="P20" i="15"/>
  <c r="D96" i="15" s="1"/>
  <c r="DD19" i="15"/>
  <c r="DC19" i="15"/>
  <c r="DB19" i="15"/>
  <c r="P19" i="15"/>
  <c r="D95" i="15" s="1"/>
  <c r="D383" i="15" s="1"/>
  <c r="DD18" i="15"/>
  <c r="DC18" i="15"/>
  <c r="DB18" i="15"/>
  <c r="P18" i="15"/>
  <c r="D94" i="15" s="1"/>
  <c r="DC17" i="15"/>
  <c r="DB17" i="15"/>
  <c r="P17" i="15"/>
  <c r="D93" i="15" s="1"/>
  <c r="DD16" i="15"/>
  <c r="DC16" i="15"/>
  <c r="DB16" i="15"/>
  <c r="P16" i="15"/>
  <c r="D92" i="15" s="1"/>
  <c r="DD15" i="15"/>
  <c r="DC15" i="15"/>
  <c r="DB15" i="15"/>
  <c r="P15" i="15"/>
  <c r="D91" i="15" s="1"/>
  <c r="DD14" i="15"/>
  <c r="DC14" i="15"/>
  <c r="DB14" i="15"/>
  <c r="DD13" i="15"/>
  <c r="DB13" i="15"/>
  <c r="CY13" i="15"/>
  <c r="DC13" i="15" s="1"/>
  <c r="AG13" i="15"/>
  <c r="AF13" i="15"/>
  <c r="AE13" i="15"/>
  <c r="AD13" i="15"/>
  <c r="AC13" i="15"/>
  <c r="AB13" i="15"/>
  <c r="AA13" i="15"/>
  <c r="Z13" i="15"/>
  <c r="Y13" i="15"/>
  <c r="X13" i="15"/>
  <c r="W13" i="15"/>
  <c r="V13" i="15"/>
  <c r="O13" i="15"/>
  <c r="N13" i="15"/>
  <c r="M13" i="15"/>
  <c r="L13" i="15"/>
  <c r="K13" i="15"/>
  <c r="J13" i="15"/>
  <c r="I13" i="15"/>
  <c r="H13" i="15"/>
  <c r="G13" i="15"/>
  <c r="P13" i="15" s="1"/>
  <c r="D89" i="15" s="1"/>
  <c r="D382" i="15" s="1"/>
  <c r="F13" i="15"/>
  <c r="E13" i="15"/>
  <c r="D13" i="15"/>
  <c r="DD12" i="15"/>
  <c r="DC12" i="15"/>
  <c r="P12" i="15"/>
  <c r="D88" i="15"/>
  <c r="DD11" i="15"/>
  <c r="DC11" i="15"/>
  <c r="DB11" i="15"/>
  <c r="P11" i="15"/>
  <c r="D87" i="15" s="1"/>
  <c r="DD10" i="15"/>
  <c r="DC10" i="15"/>
  <c r="DB10" i="15"/>
  <c r="P10" i="15"/>
  <c r="D86" i="15" s="1"/>
  <c r="DD9" i="15"/>
  <c r="DC9" i="15"/>
  <c r="DB9" i="15"/>
  <c r="P9" i="15"/>
  <c r="D85" i="15" s="1"/>
  <c r="DD8" i="15"/>
  <c r="DC8" i="15"/>
  <c r="DB8" i="15"/>
  <c r="P8" i="15"/>
  <c r="D84" i="15"/>
  <c r="DD7" i="15"/>
  <c r="DC7" i="15"/>
  <c r="DB7" i="15"/>
  <c r="P7" i="15"/>
  <c r="D83" i="15" s="1"/>
  <c r="DD6" i="15"/>
  <c r="DC6" i="15"/>
  <c r="DB6" i="15"/>
  <c r="H432" i="6"/>
  <c r="G432" i="6"/>
  <c r="F432" i="6"/>
  <c r="E432" i="6"/>
  <c r="CV430" i="6"/>
  <c r="M430" i="6"/>
  <c r="L430" i="6"/>
  <c r="K430" i="6"/>
  <c r="J430" i="6"/>
  <c r="CV429" i="6"/>
  <c r="M429" i="6"/>
  <c r="L429" i="6"/>
  <c r="K429" i="6"/>
  <c r="J429" i="6"/>
  <c r="CV428" i="6"/>
  <c r="M428" i="6"/>
  <c r="L428" i="6"/>
  <c r="K428" i="6"/>
  <c r="J428" i="6"/>
  <c r="CV427" i="6"/>
  <c r="M427" i="6"/>
  <c r="L427" i="6"/>
  <c r="K427" i="6"/>
  <c r="J427" i="6"/>
  <c r="CV426" i="6"/>
  <c r="M426" i="6"/>
  <c r="L426" i="6"/>
  <c r="K426" i="6"/>
  <c r="J426" i="6"/>
  <c r="CV425" i="6"/>
  <c r="M425" i="6"/>
  <c r="L425" i="6"/>
  <c r="K425" i="6"/>
  <c r="J425" i="6"/>
  <c r="CV424" i="6"/>
  <c r="M424" i="6"/>
  <c r="L424" i="6"/>
  <c r="K424" i="6"/>
  <c r="J424" i="6"/>
  <c r="G421" i="6"/>
  <c r="F421" i="6"/>
  <c r="E421" i="6"/>
  <c r="CV420" i="6"/>
  <c r="L420" i="6"/>
  <c r="K420" i="6"/>
  <c r="J420" i="6"/>
  <c r="CV419" i="6"/>
  <c r="L419" i="6"/>
  <c r="K419" i="6"/>
  <c r="J419" i="6"/>
  <c r="CV418" i="6"/>
  <c r="L418" i="6"/>
  <c r="K418" i="6"/>
  <c r="J418" i="6"/>
  <c r="CV417" i="6"/>
  <c r="L417" i="6"/>
  <c r="K417" i="6"/>
  <c r="J417" i="6"/>
  <c r="CV416" i="6"/>
  <c r="L416" i="6"/>
  <c r="K416" i="6"/>
  <c r="J416" i="6"/>
  <c r="CV415" i="6"/>
  <c r="L415" i="6"/>
  <c r="K415" i="6"/>
  <c r="J415" i="6"/>
  <c r="CV414" i="6"/>
  <c r="L414" i="6"/>
  <c r="K414" i="6"/>
  <c r="J414" i="6"/>
  <c r="CV413" i="6"/>
  <c r="L413" i="6"/>
  <c r="K413" i="6"/>
  <c r="J413" i="6"/>
  <c r="F410" i="6"/>
  <c r="E410" i="6"/>
  <c r="K409" i="6"/>
  <c r="J409" i="6"/>
  <c r="CV408" i="6"/>
  <c r="K408" i="6"/>
  <c r="J408" i="6"/>
  <c r="CV407" i="6"/>
  <c r="K407" i="6"/>
  <c r="J407" i="6"/>
  <c r="CV406" i="6"/>
  <c r="K406" i="6"/>
  <c r="J406" i="6"/>
  <c r="CV405" i="6"/>
  <c r="K405" i="6"/>
  <c r="J405" i="6"/>
  <c r="CV404" i="6"/>
  <c r="K404" i="6"/>
  <c r="J404" i="6"/>
  <c r="CV403" i="6"/>
  <c r="K403" i="6"/>
  <c r="J403" i="6"/>
  <c r="CV402" i="6"/>
  <c r="K402" i="6"/>
  <c r="J402" i="6"/>
  <c r="E399" i="6"/>
  <c r="J398" i="6"/>
  <c r="CV397" i="6"/>
  <c r="J397" i="6"/>
  <c r="CV396" i="6"/>
  <c r="J396" i="6"/>
  <c r="CV395" i="6"/>
  <c r="J395" i="6"/>
  <c r="CV394" i="6"/>
  <c r="J394" i="6"/>
  <c r="CV393" i="6"/>
  <c r="J393" i="6"/>
  <c r="CV392" i="6"/>
  <c r="J392" i="6"/>
  <c r="CV391" i="6"/>
  <c r="J391" i="6"/>
  <c r="Z388" i="6"/>
  <c r="W388" i="6"/>
  <c r="Z387" i="6"/>
  <c r="Y387" i="6"/>
  <c r="X387" i="6"/>
  <c r="W387" i="6"/>
  <c r="V387" i="6"/>
  <c r="CV386" i="6"/>
  <c r="Z386" i="6"/>
  <c r="Y386" i="6"/>
  <c r="X386" i="6"/>
  <c r="W386" i="6"/>
  <c r="V386" i="6"/>
  <c r="CV385" i="6"/>
  <c r="Z385" i="6"/>
  <c r="Y385" i="6"/>
  <c r="X385" i="6"/>
  <c r="W385" i="6"/>
  <c r="V385" i="6"/>
  <c r="CV384" i="6"/>
  <c r="Z384" i="6"/>
  <c r="Y384" i="6"/>
  <c r="X384" i="6"/>
  <c r="W384" i="6"/>
  <c r="V384" i="6"/>
  <c r="CV383" i="6"/>
  <c r="Z383" i="6"/>
  <c r="Y383" i="6"/>
  <c r="X383" i="6"/>
  <c r="W383" i="6"/>
  <c r="V383" i="6"/>
  <c r="CV382" i="6"/>
  <c r="Z382" i="6"/>
  <c r="Y382" i="6"/>
  <c r="X382" i="6"/>
  <c r="W382" i="6"/>
  <c r="V382" i="6"/>
  <c r="D352" i="6" s="1"/>
  <c r="CV381" i="6"/>
  <c r="Z381" i="6"/>
  <c r="Y381" i="6"/>
  <c r="X381" i="6"/>
  <c r="W381" i="6"/>
  <c r="V381" i="6"/>
  <c r="CV380" i="6"/>
  <c r="W380" i="6"/>
  <c r="X380" i="6" s="1"/>
  <c r="Y380" i="6" s="1"/>
  <c r="Z380" i="6" s="1"/>
  <c r="CV378" i="6"/>
  <c r="CV389" i="6" s="1"/>
  <c r="CV400" i="6" s="1"/>
  <c r="CV411" i="6" s="1"/>
  <c r="CV422" i="6"/>
  <c r="CV374" i="6"/>
  <c r="AE374" i="6"/>
  <c r="AD374" i="6"/>
  <c r="AC374" i="6"/>
  <c r="AB374" i="6"/>
  <c r="AA374" i="6"/>
  <c r="Z374" i="6"/>
  <c r="Y374" i="6"/>
  <c r="X374" i="6"/>
  <c r="W374" i="6"/>
  <c r="V374" i="6"/>
  <c r="U374" i="6"/>
  <c r="E374" i="6"/>
  <c r="AF374" i="6" s="1"/>
  <c r="CW373" i="6"/>
  <c r="CV373" i="6"/>
  <c r="F373" i="6"/>
  <c r="AC373" i="6" s="1"/>
  <c r="E373" i="6"/>
  <c r="D373" i="6"/>
  <c r="T373" i="6" s="1"/>
  <c r="C373" i="6"/>
  <c r="CW372" i="6"/>
  <c r="CV372" i="6"/>
  <c r="F372" i="6"/>
  <c r="AC372" i="6" s="1"/>
  <c r="E372" i="6"/>
  <c r="D372" i="6"/>
  <c r="T372" i="6"/>
  <c r="C372" i="6"/>
  <c r="CW371" i="6"/>
  <c r="CV371" i="6"/>
  <c r="F371" i="6"/>
  <c r="E371" i="6"/>
  <c r="D371" i="6"/>
  <c r="R371" i="6"/>
  <c r="C371" i="6"/>
  <c r="CW370" i="6"/>
  <c r="CV370" i="6"/>
  <c r="F370" i="6"/>
  <c r="AF370" i="6"/>
  <c r="E370" i="6"/>
  <c r="CW369" i="6"/>
  <c r="CV369" i="6"/>
  <c r="F369" i="6"/>
  <c r="AD369" i="6" s="1"/>
  <c r="E369" i="6"/>
  <c r="C369" i="6"/>
  <c r="H369" i="6" s="1"/>
  <c r="CW368" i="6"/>
  <c r="CV368" i="6"/>
  <c r="F368" i="6"/>
  <c r="AF368" i="6"/>
  <c r="E368" i="6"/>
  <c r="CW367" i="6"/>
  <c r="CV367" i="6"/>
  <c r="F367" i="6"/>
  <c r="AD367" i="6" s="1"/>
  <c r="E367" i="6"/>
  <c r="CV366" i="6"/>
  <c r="CW358" i="6"/>
  <c r="T358" i="6"/>
  <c r="CW357" i="6"/>
  <c r="AR357" i="6"/>
  <c r="AQ357" i="6"/>
  <c r="AP357" i="6"/>
  <c r="AO357" i="6"/>
  <c r="AN357" i="6"/>
  <c r="AM357" i="6"/>
  <c r="AL357" i="6"/>
  <c r="AK357" i="6"/>
  <c r="AJ357" i="6"/>
  <c r="AI357" i="6"/>
  <c r="AH357" i="6"/>
  <c r="AG357" i="6"/>
  <c r="AF357" i="6"/>
  <c r="AE357" i="6"/>
  <c r="AD357" i="6"/>
  <c r="AC357" i="6"/>
  <c r="AB357" i="6"/>
  <c r="AA357" i="6"/>
  <c r="Z357" i="6"/>
  <c r="Y357" i="6"/>
  <c r="X357" i="6"/>
  <c r="W357" i="6"/>
  <c r="U357" i="6"/>
  <c r="I430" i="6"/>
  <c r="N430" i="6" s="1"/>
  <c r="O430" i="6" s="1"/>
  <c r="H419" i="6"/>
  <c r="M419" i="6" s="1"/>
  <c r="O419" i="6" s="1"/>
  <c r="G408" i="6"/>
  <c r="L408" i="6"/>
  <c r="O408" i="6" s="1"/>
  <c r="F397" i="6"/>
  <c r="K397" i="6"/>
  <c r="O397" i="6" s="1"/>
  <c r="E386" i="6"/>
  <c r="J386" i="6" s="1"/>
  <c r="O386" i="6" s="1"/>
  <c r="CW356" i="6"/>
  <c r="AR356" i="6"/>
  <c r="AQ356" i="6"/>
  <c r="AP356" i="6"/>
  <c r="AO356" i="6"/>
  <c r="AN356" i="6"/>
  <c r="AM356" i="6"/>
  <c r="AL356" i="6"/>
  <c r="AK356" i="6"/>
  <c r="AJ356" i="6"/>
  <c r="AI356" i="6"/>
  <c r="AH356" i="6"/>
  <c r="AG356" i="6"/>
  <c r="AF356" i="6"/>
  <c r="AE356" i="6"/>
  <c r="AD356" i="6"/>
  <c r="AC356" i="6"/>
  <c r="AB356" i="6"/>
  <c r="AA356" i="6"/>
  <c r="Z356" i="6"/>
  <c r="Y356" i="6"/>
  <c r="X356" i="6"/>
  <c r="W356" i="6"/>
  <c r="V356" i="6"/>
  <c r="U356" i="6"/>
  <c r="I429" i="6"/>
  <c r="N429" i="6" s="1"/>
  <c r="O429" i="6"/>
  <c r="H418" i="6"/>
  <c r="M418" i="6" s="1"/>
  <c r="O418" i="6" s="1"/>
  <c r="G407" i="6"/>
  <c r="L407" i="6" s="1"/>
  <c r="O407" i="6" s="1"/>
  <c r="F396" i="6"/>
  <c r="K396" i="6"/>
  <c r="O396" i="6"/>
  <c r="E385" i="6"/>
  <c r="J385" i="6" s="1"/>
  <c r="O385" i="6"/>
  <c r="CW355" i="6"/>
  <c r="AR355" i="6"/>
  <c r="AQ355" i="6"/>
  <c r="AP355" i="6"/>
  <c r="AO355" i="6"/>
  <c r="AN355" i="6"/>
  <c r="AM355" i="6"/>
  <c r="AL355" i="6"/>
  <c r="AK355" i="6"/>
  <c r="AJ355" i="6"/>
  <c r="AI355" i="6"/>
  <c r="AH355" i="6"/>
  <c r="AG355" i="6"/>
  <c r="AF355" i="6"/>
  <c r="AE355" i="6"/>
  <c r="AD355" i="6"/>
  <c r="AC355" i="6"/>
  <c r="AB355" i="6"/>
  <c r="AA355" i="6"/>
  <c r="Z355" i="6"/>
  <c r="Y355" i="6"/>
  <c r="W355" i="6"/>
  <c r="V355" i="6"/>
  <c r="U355" i="6"/>
  <c r="I428" i="6"/>
  <c r="N428" i="6" s="1"/>
  <c r="O428" i="6" s="1"/>
  <c r="H417" i="6"/>
  <c r="M417" i="6" s="1"/>
  <c r="O417" i="6" s="1"/>
  <c r="G406" i="6"/>
  <c r="L406" i="6"/>
  <c r="O406" i="6"/>
  <c r="F395" i="6"/>
  <c r="K395" i="6" s="1"/>
  <c r="O395" i="6"/>
  <c r="E384" i="6"/>
  <c r="J384" i="6" s="1"/>
  <c r="O384" i="6" s="1"/>
  <c r="CW354" i="6"/>
  <c r="AR354" i="6"/>
  <c r="AQ354" i="6"/>
  <c r="AP354" i="6"/>
  <c r="AO354" i="6"/>
  <c r="AN354" i="6"/>
  <c r="AM354" i="6"/>
  <c r="AL354" i="6"/>
  <c r="AK354" i="6"/>
  <c r="AJ354" i="6"/>
  <c r="AI354" i="6"/>
  <c r="AH354" i="6"/>
  <c r="AG354" i="6"/>
  <c r="AF354" i="6"/>
  <c r="AE354" i="6"/>
  <c r="AD354" i="6"/>
  <c r="AC354" i="6"/>
  <c r="AB354" i="6"/>
  <c r="AA354" i="6"/>
  <c r="Z354" i="6"/>
  <c r="Y354" i="6"/>
  <c r="X354" i="6"/>
  <c r="W354" i="6"/>
  <c r="U354" i="6"/>
  <c r="I427" i="6"/>
  <c r="N427" i="6" s="1"/>
  <c r="O427" i="6" s="1"/>
  <c r="H416" i="6"/>
  <c r="M416" i="6" s="1"/>
  <c r="O416" i="6" s="1"/>
  <c r="G405" i="6"/>
  <c r="L405" i="6" s="1"/>
  <c r="O405" i="6" s="1"/>
  <c r="F394" i="6"/>
  <c r="K394" i="6" s="1"/>
  <c r="O394" i="6" s="1"/>
  <c r="E383" i="6"/>
  <c r="J383" i="6" s="1"/>
  <c r="O383" i="6" s="1"/>
  <c r="CW353" i="6"/>
  <c r="AR353" i="6"/>
  <c r="AQ353" i="6"/>
  <c r="AP353" i="6"/>
  <c r="AO353" i="6"/>
  <c r="AN353" i="6"/>
  <c r="AM353" i="6"/>
  <c r="AL353" i="6"/>
  <c r="AK353" i="6"/>
  <c r="AJ353" i="6"/>
  <c r="AI353" i="6"/>
  <c r="AH353" i="6"/>
  <c r="AG353" i="6"/>
  <c r="AF353" i="6"/>
  <c r="AE353" i="6"/>
  <c r="AD353" i="6"/>
  <c r="AC353" i="6"/>
  <c r="AA353" i="6"/>
  <c r="Z353" i="6"/>
  <c r="Y353" i="6"/>
  <c r="X353" i="6"/>
  <c r="W353" i="6"/>
  <c r="U353" i="6"/>
  <c r="I426" i="6"/>
  <c r="N426" i="6" s="1"/>
  <c r="O426" i="6" s="1"/>
  <c r="H415" i="6"/>
  <c r="M415" i="6" s="1"/>
  <c r="O415" i="6" s="1"/>
  <c r="G404" i="6"/>
  <c r="L404" i="6" s="1"/>
  <c r="O404" i="6" s="1"/>
  <c r="F393" i="6"/>
  <c r="K393" i="6" s="1"/>
  <c r="O393" i="6" s="1"/>
  <c r="E382" i="6"/>
  <c r="J382" i="6" s="1"/>
  <c r="O382" i="6" s="1"/>
  <c r="CW352" i="6"/>
  <c r="AR352" i="6"/>
  <c r="AQ352" i="6"/>
  <c r="AP352" i="6"/>
  <c r="AO352" i="6"/>
  <c r="AN352" i="6"/>
  <c r="AM352" i="6"/>
  <c r="AL352" i="6"/>
  <c r="AK352" i="6"/>
  <c r="AJ352" i="6"/>
  <c r="AI352" i="6"/>
  <c r="AH352" i="6"/>
  <c r="AG352" i="6"/>
  <c r="AF352" i="6"/>
  <c r="AE352" i="6"/>
  <c r="AD352" i="6"/>
  <c r="AB352" i="6"/>
  <c r="AA352" i="6"/>
  <c r="Z352" i="6"/>
  <c r="Y352" i="6"/>
  <c r="X352" i="6"/>
  <c r="W352" i="6"/>
  <c r="U352" i="6"/>
  <c r="H414" i="6"/>
  <c r="G403" i="6"/>
  <c r="F392" i="6"/>
  <c r="K392" i="6" s="1"/>
  <c r="O392" i="6" s="1"/>
  <c r="V352" i="6"/>
  <c r="CW351" i="6"/>
  <c r="AR351" i="6"/>
  <c r="AQ351" i="6"/>
  <c r="AP351" i="6"/>
  <c r="AO351" i="6"/>
  <c r="AN351" i="6"/>
  <c r="AM351" i="6"/>
  <c r="AL351" i="6"/>
  <c r="AK351" i="6"/>
  <c r="AJ351" i="6"/>
  <c r="AH351" i="6"/>
  <c r="AG351" i="6"/>
  <c r="AF351" i="6"/>
  <c r="AE351" i="6"/>
  <c r="AD351" i="6"/>
  <c r="AB351" i="6"/>
  <c r="AA351" i="6"/>
  <c r="Z351" i="6"/>
  <c r="I424" i="6"/>
  <c r="N424" i="6" s="1"/>
  <c r="O424" i="6" s="1"/>
  <c r="H413" i="6"/>
  <c r="M413" i="6" s="1"/>
  <c r="O413" i="6" s="1"/>
  <c r="F391" i="6"/>
  <c r="K391" i="6" s="1"/>
  <c r="O391" i="6" s="1"/>
  <c r="E380" i="6"/>
  <c r="J380" i="6" s="1"/>
  <c r="O380" i="6" s="1"/>
  <c r="N27" i="6"/>
  <c r="K27" i="6"/>
  <c r="H27" i="6"/>
  <c r="CW18" i="6"/>
  <c r="CV18" i="6"/>
  <c r="B18" i="6"/>
  <c r="G14" i="6"/>
  <c r="E54" i="8" s="1"/>
  <c r="AB174" i="5"/>
  <c r="AA174" i="5"/>
  <c r="Z174" i="5"/>
  <c r="Y174" i="5"/>
  <c r="X174" i="5"/>
  <c r="W174" i="5"/>
  <c r="V174" i="5"/>
  <c r="AB173" i="5"/>
  <c r="AA173" i="5"/>
  <c r="Z173" i="5"/>
  <c r="Y173" i="5"/>
  <c r="X173" i="5"/>
  <c r="W173" i="5"/>
  <c r="V173" i="5"/>
  <c r="AB172" i="5"/>
  <c r="AA172" i="5"/>
  <c r="Z172" i="5"/>
  <c r="Y172" i="5"/>
  <c r="X172" i="5"/>
  <c r="W172" i="5"/>
  <c r="V172" i="5"/>
  <c r="AB171" i="5"/>
  <c r="AA171" i="5"/>
  <c r="Z171" i="5"/>
  <c r="Y171" i="5"/>
  <c r="X171" i="5"/>
  <c r="W171" i="5"/>
  <c r="V171" i="5"/>
  <c r="U174" i="5"/>
  <c r="C63" i="5"/>
  <c r="B63" i="5"/>
  <c r="C62" i="5"/>
  <c r="B62" i="5"/>
  <c r="B61" i="5"/>
  <c r="C58" i="5"/>
  <c r="C57" i="5"/>
  <c r="W46" i="5"/>
  <c r="I53" i="5"/>
  <c r="I55" i="5" s="1"/>
  <c r="U172" i="5" s="1"/>
  <c r="H53" i="5"/>
  <c r="H55" i="5" s="1"/>
  <c r="B53" i="5"/>
  <c r="E52" i="5"/>
  <c r="C52" i="5"/>
  <c r="B52" i="5"/>
  <c r="C51" i="5"/>
  <c r="B51" i="5"/>
  <c r="C50" i="5"/>
  <c r="B50" i="5"/>
  <c r="C49" i="5"/>
  <c r="B49" i="5"/>
  <c r="B48" i="5"/>
  <c r="AA44" i="5"/>
  <c r="Z44" i="5"/>
  <c r="I45" i="5" s="1"/>
  <c r="I47" i="5" s="1"/>
  <c r="Y44" i="5"/>
  <c r="H45" i="5"/>
  <c r="H47" i="5"/>
  <c r="X44" i="5"/>
  <c r="B45" i="5"/>
  <c r="C44" i="5"/>
  <c r="B44" i="5"/>
  <c r="C43" i="5"/>
  <c r="B43" i="5"/>
  <c r="C42" i="5"/>
  <c r="B42" i="5"/>
  <c r="C41" i="5"/>
  <c r="B41" i="5"/>
  <c r="W38" i="5"/>
  <c r="B40" i="5"/>
  <c r="B39" i="5"/>
  <c r="E62" i="5"/>
  <c r="E58" i="5"/>
  <c r="E57" i="5"/>
  <c r="AI19" i="5"/>
  <c r="P19" i="5"/>
  <c r="P21" i="5" s="1"/>
  <c r="P34" i="5" s="1"/>
  <c r="AH19" i="5"/>
  <c r="O19" i="5"/>
  <c r="O21" i="5"/>
  <c r="AG19" i="5"/>
  <c r="N19" i="5" s="1"/>
  <c r="N21" i="5" s="1"/>
  <c r="N34" i="5" s="1"/>
  <c r="AF19" i="5"/>
  <c r="M19" i="5" s="1"/>
  <c r="M21" i="5" s="1"/>
  <c r="AE19" i="5"/>
  <c r="L19" i="5"/>
  <c r="L21" i="5"/>
  <c r="AD19" i="5"/>
  <c r="K19" i="5"/>
  <c r="K21" i="5"/>
  <c r="AC19" i="5"/>
  <c r="J19" i="5" s="1"/>
  <c r="J21" i="5" s="1"/>
  <c r="AB19" i="5"/>
  <c r="I19" i="5"/>
  <c r="I21" i="5" s="1"/>
  <c r="AA19" i="5"/>
  <c r="H19" i="5"/>
  <c r="H21" i="5" s="1"/>
  <c r="H34" i="5" s="1"/>
  <c r="Z19" i="5"/>
  <c r="G19" i="5"/>
  <c r="G21" i="5"/>
  <c r="Y19" i="5"/>
  <c r="F19" i="5" s="1"/>
  <c r="F21" i="5" s="1"/>
  <c r="X19" i="5"/>
  <c r="E19" i="5" s="1"/>
  <c r="AJ18" i="5"/>
  <c r="AJ17" i="5"/>
  <c r="E51" i="5"/>
  <c r="AJ16" i="5"/>
  <c r="AJ15" i="5"/>
  <c r="AJ14" i="5"/>
  <c r="AI11" i="5"/>
  <c r="P11" i="5" s="1"/>
  <c r="P13" i="5" s="1"/>
  <c r="AH11" i="5"/>
  <c r="O11" i="5" s="1"/>
  <c r="O13" i="5" s="1"/>
  <c r="AG11" i="5"/>
  <c r="N11" i="5"/>
  <c r="N13" i="5"/>
  <c r="AF11" i="5"/>
  <c r="M11" i="5"/>
  <c r="M13" i="5"/>
  <c r="M34" i="5" s="1"/>
  <c r="AE11" i="5"/>
  <c r="L11" i="5" s="1"/>
  <c r="L13" i="5" s="1"/>
  <c r="AD11" i="5"/>
  <c r="K11" i="5"/>
  <c r="K13" i="5" s="1"/>
  <c r="AC11" i="5"/>
  <c r="J11" i="5"/>
  <c r="J13" i="5" s="1"/>
  <c r="AB11" i="5"/>
  <c r="I11" i="5"/>
  <c r="I13" i="5"/>
  <c r="I34" i="5" s="1"/>
  <c r="AA11" i="5"/>
  <c r="H11" i="5" s="1"/>
  <c r="H13" i="5" s="1"/>
  <c r="Z11" i="5"/>
  <c r="Y11" i="5"/>
  <c r="F11" i="5"/>
  <c r="F13" i="5"/>
  <c r="X11" i="5"/>
  <c r="E11" i="5"/>
  <c r="AJ10" i="5"/>
  <c r="AJ9" i="5"/>
  <c r="AJ8" i="5"/>
  <c r="AJ7" i="5"/>
  <c r="AJ6" i="5"/>
  <c r="CV89" i="2"/>
  <c r="H89" i="2"/>
  <c r="G89" i="2"/>
  <c r="F89" i="2"/>
  <c r="CV88" i="2"/>
  <c r="CV86" i="2"/>
  <c r="CV85" i="2"/>
  <c r="CV84" i="2"/>
  <c r="H84" i="2"/>
  <c r="G84" i="2"/>
  <c r="F84" i="2"/>
  <c r="E84" i="2"/>
  <c r="CV83" i="2"/>
  <c r="CV82" i="2"/>
  <c r="CV81" i="2"/>
  <c r="CV80" i="2"/>
  <c r="H80" i="2"/>
  <c r="G80" i="2"/>
  <c r="F80" i="2"/>
  <c r="E80" i="2"/>
  <c r="CV79" i="2"/>
  <c r="CV78" i="2"/>
  <c r="CV77" i="2"/>
  <c r="CV76" i="2"/>
  <c r="H76" i="2"/>
  <c r="G76" i="2"/>
  <c r="F76" i="2"/>
  <c r="E76" i="2"/>
  <c r="CV75" i="2"/>
  <c r="CV74" i="2"/>
  <c r="CV73" i="2"/>
  <c r="CV72" i="2"/>
  <c r="CV71" i="2"/>
  <c r="CV70" i="2"/>
  <c r="CV69" i="2"/>
  <c r="H69" i="2"/>
  <c r="H90" i="2" s="1"/>
  <c r="G69" i="2"/>
  <c r="F69" i="2"/>
  <c r="E69" i="2"/>
  <c r="CV68" i="2"/>
  <c r="CV67" i="2"/>
  <c r="CV66" i="2"/>
  <c r="CV65" i="2"/>
  <c r="CV64" i="2"/>
  <c r="H64" i="2"/>
  <c r="G64" i="2"/>
  <c r="F64" i="2"/>
  <c r="E64" i="2"/>
  <c r="E90" i="2" s="1"/>
  <c r="CV63" i="2"/>
  <c r="CV62" i="2"/>
  <c r="CV61" i="2"/>
  <c r="D61" i="2"/>
  <c r="CV60" i="2"/>
  <c r="H60" i="2"/>
  <c r="G60" i="2"/>
  <c r="F60" i="2"/>
  <c r="E60" i="2"/>
  <c r="CV59" i="2"/>
  <c r="CV58" i="2"/>
  <c r="CV57" i="2"/>
  <c r="CV56" i="2"/>
  <c r="CV55" i="2"/>
  <c r="CV54" i="2"/>
  <c r="CV53" i="2"/>
  <c r="CV52" i="2"/>
  <c r="CV51" i="2"/>
  <c r="CV50" i="2"/>
  <c r="B50" i="2"/>
  <c r="B97" i="2"/>
  <c r="CW48" i="2"/>
  <c r="CV48" i="2"/>
  <c r="O44" i="2"/>
  <c r="O45" i="2" s="1"/>
  <c r="O46" i="2" s="1"/>
  <c r="N44" i="2"/>
  <c r="M44" i="2"/>
  <c r="L44" i="2"/>
  <c r="K44" i="2"/>
  <c r="K45" i="2" s="1"/>
  <c r="K46" i="2" s="1"/>
  <c r="J44" i="2"/>
  <c r="I44" i="2"/>
  <c r="H44" i="2"/>
  <c r="G44" i="2"/>
  <c r="F44" i="2"/>
  <c r="E44" i="2"/>
  <c r="D44" i="2"/>
  <c r="P43" i="2"/>
  <c r="D88" i="2" s="1"/>
  <c r="P41" i="2"/>
  <c r="O39" i="2"/>
  <c r="N39" i="2"/>
  <c r="M39" i="2"/>
  <c r="L39" i="2"/>
  <c r="K39" i="2"/>
  <c r="J39" i="2"/>
  <c r="I39" i="2"/>
  <c r="H39" i="2"/>
  <c r="G39" i="2"/>
  <c r="F39" i="2"/>
  <c r="E39" i="2"/>
  <c r="D39" i="2"/>
  <c r="P38" i="2"/>
  <c r="D83" i="2"/>
  <c r="P37" i="2"/>
  <c r="O35" i="2"/>
  <c r="N35" i="2"/>
  <c r="M35" i="2"/>
  <c r="L35" i="2"/>
  <c r="K35" i="2"/>
  <c r="J35" i="2"/>
  <c r="I35" i="2"/>
  <c r="H35" i="2"/>
  <c r="G35" i="2"/>
  <c r="F35" i="2"/>
  <c r="E35" i="2"/>
  <c r="D35" i="2"/>
  <c r="P34" i="2"/>
  <c r="D79" i="2"/>
  <c r="P33" i="2"/>
  <c r="D78" i="2" s="1"/>
  <c r="O31" i="2"/>
  <c r="N31" i="2"/>
  <c r="M31" i="2"/>
  <c r="L31" i="2"/>
  <c r="L45" i="2" s="1"/>
  <c r="L46" i="2" s="1"/>
  <c r="K31" i="2"/>
  <c r="J31" i="2"/>
  <c r="I31" i="2"/>
  <c r="H31" i="2"/>
  <c r="H45" i="2" s="1"/>
  <c r="H46" i="2" s="1"/>
  <c r="G31" i="2"/>
  <c r="F31" i="2"/>
  <c r="E31" i="2"/>
  <c r="D31" i="2"/>
  <c r="P30" i="2"/>
  <c r="D75" i="2"/>
  <c r="P29" i="2"/>
  <c r="D74" i="2" s="1"/>
  <c r="P28" i="2"/>
  <c r="D73" i="2" s="1"/>
  <c r="P27" i="2"/>
  <c r="D72" i="2" s="1"/>
  <c r="P26" i="2"/>
  <c r="D71" i="2"/>
  <c r="O24" i="2"/>
  <c r="N24" i="2"/>
  <c r="M24" i="2"/>
  <c r="L24" i="2"/>
  <c r="K24" i="2"/>
  <c r="J24" i="2"/>
  <c r="I24" i="2"/>
  <c r="H24" i="2"/>
  <c r="G24" i="2"/>
  <c r="F24" i="2"/>
  <c r="E24" i="2"/>
  <c r="D24" i="2"/>
  <c r="P23" i="2"/>
  <c r="D68" i="2" s="1"/>
  <c r="P22" i="2"/>
  <c r="D67" i="2" s="1"/>
  <c r="P21" i="2"/>
  <c r="D66" i="2" s="1"/>
  <c r="O19" i="2"/>
  <c r="N19" i="2"/>
  <c r="M19" i="2"/>
  <c r="L19" i="2"/>
  <c r="K19" i="2"/>
  <c r="J19" i="2"/>
  <c r="I19" i="2"/>
  <c r="H19" i="2"/>
  <c r="G19" i="2"/>
  <c r="F19" i="2"/>
  <c r="E19" i="2"/>
  <c r="D19" i="2"/>
  <c r="P18" i="2"/>
  <c r="D63" i="2"/>
  <c r="P17" i="2"/>
  <c r="O15" i="2"/>
  <c r="N15" i="2"/>
  <c r="M15" i="2"/>
  <c r="L15" i="2"/>
  <c r="K15" i="2"/>
  <c r="J15" i="2"/>
  <c r="I15" i="2"/>
  <c r="H15" i="2"/>
  <c r="G15" i="2"/>
  <c r="F15" i="2"/>
  <c r="E15" i="2"/>
  <c r="D15" i="2"/>
  <c r="P14" i="2"/>
  <c r="D59" i="2" s="1"/>
  <c r="P13" i="2"/>
  <c r="D58" i="2"/>
  <c r="P12" i="2"/>
  <c r="D57" i="2" s="1"/>
  <c r="P11" i="2"/>
  <c r="D56" i="2"/>
  <c r="P10" i="2"/>
  <c r="D55" i="2" s="1"/>
  <c r="P9" i="2"/>
  <c r="D54" i="2"/>
  <c r="P8" i="2"/>
  <c r="D53" i="2" s="1"/>
  <c r="P7" i="2"/>
  <c r="D52" i="2" s="1"/>
  <c r="CW3" i="2"/>
  <c r="CV3" i="2"/>
  <c r="C2" i="2"/>
  <c r="AE110" i="16" s="1"/>
  <c r="AG110" i="16" s="1"/>
  <c r="AI110" i="16" s="1"/>
  <c r="AK110" i="16" s="1"/>
  <c r="AM110" i="16" s="1"/>
  <c r="AO110" i="16" s="1"/>
  <c r="AQ110" i="16" s="1"/>
  <c r="AS110" i="16" s="1"/>
  <c r="AU110" i="16" s="1"/>
  <c r="AW110" i="16" s="1"/>
  <c r="AY110" i="16" s="1"/>
  <c r="BA110" i="16" s="1"/>
  <c r="CT11" i="13"/>
  <c r="L1" i="13"/>
  <c r="L2" i="13" s="1"/>
  <c r="L3" i="13" s="1"/>
  <c r="L4" i="13" s="1"/>
  <c r="S358" i="6"/>
  <c r="H420" i="6" s="1"/>
  <c r="M420" i="6" s="1"/>
  <c r="O420" i="6" s="1"/>
  <c r="D156" i="6"/>
  <c r="P358" i="6"/>
  <c r="I398" i="6"/>
  <c r="N398" i="6"/>
  <c r="D104" i="6"/>
  <c r="H358" i="6"/>
  <c r="D78" i="6"/>
  <c r="AG359" i="6"/>
  <c r="AG360" i="6" s="1"/>
  <c r="D351" i="6"/>
  <c r="AI351" i="6"/>
  <c r="AI359" i="6" s="1"/>
  <c r="AI360" i="6" s="1"/>
  <c r="X351" i="6"/>
  <c r="BD94" i="15"/>
  <c r="BG94" i="15"/>
  <c r="BF94" i="15"/>
  <c r="BE94" i="15"/>
  <c r="BU96" i="15"/>
  <c r="BW96" i="15"/>
  <c r="BX96" i="15"/>
  <c r="BV96" i="15"/>
  <c r="BU98" i="15"/>
  <c r="BW98" i="15"/>
  <c r="BX98" i="15"/>
  <c r="BV98" i="15"/>
  <c r="BU119" i="15"/>
  <c r="BW119" i="15"/>
  <c r="BX119" i="15"/>
  <c r="BV119" i="15"/>
  <c r="BU121" i="15"/>
  <c r="BW121" i="15"/>
  <c r="BX121" i="15"/>
  <c r="BV121" i="15"/>
  <c r="BU125" i="15"/>
  <c r="BW125" i="15"/>
  <c r="BX125" i="15"/>
  <c r="BV125" i="15"/>
  <c r="BU127" i="15"/>
  <c r="BW127" i="15"/>
  <c r="BX127" i="15"/>
  <c r="BV127" i="15"/>
  <c r="BU129" i="15"/>
  <c r="BW129" i="15"/>
  <c r="BX129" i="15"/>
  <c r="BV129" i="15"/>
  <c r="BX137" i="15"/>
  <c r="BV137" i="15"/>
  <c r="BD137" i="15"/>
  <c r="BU137" i="15"/>
  <c r="BG137" i="15"/>
  <c r="BF137" i="15"/>
  <c r="BE137" i="15"/>
  <c r="BW137" i="15"/>
  <c r="BD139" i="15"/>
  <c r="BF139" i="15"/>
  <c r="BG139" i="15"/>
  <c r="BE139" i="15"/>
  <c r="BU83" i="15"/>
  <c r="BV83" i="15"/>
  <c r="BX83" i="15"/>
  <c r="BW83" i="15"/>
  <c r="BU85" i="15"/>
  <c r="BX85" i="15"/>
  <c r="BW85" i="15"/>
  <c r="BV85" i="15"/>
  <c r="BU87" i="15"/>
  <c r="BW87" i="15"/>
  <c r="BX87" i="15"/>
  <c r="BV87" i="15"/>
  <c r="BX102" i="15"/>
  <c r="BV102" i="15"/>
  <c r="BV103" i="15" s="1"/>
  <c r="BU111" i="15"/>
  <c r="BW111" i="15"/>
  <c r="BX111" i="15"/>
  <c r="BV111" i="15"/>
  <c r="BU113" i="15"/>
  <c r="BW113" i="15"/>
  <c r="BX113" i="15"/>
  <c r="BV113" i="15"/>
  <c r="BU132" i="15"/>
  <c r="BX132" i="15"/>
  <c r="BW132" i="15"/>
  <c r="BV132" i="15"/>
  <c r="BV135" i="15" s="1"/>
  <c r="BX134" i="15"/>
  <c r="BU134" i="15"/>
  <c r="BW134" i="15"/>
  <c r="BV134" i="15"/>
  <c r="BU88" i="15"/>
  <c r="BX88" i="15"/>
  <c r="BW88" i="15"/>
  <c r="BU101" i="15"/>
  <c r="BD101" i="15"/>
  <c r="BF101" i="15"/>
  <c r="BX101" i="15"/>
  <c r="BX103" i="15" s="1"/>
  <c r="BG101" i="15"/>
  <c r="BW101" i="15"/>
  <c r="BV101" i="15"/>
  <c r="BE101" i="15"/>
  <c r="BU112" i="15"/>
  <c r="BW112" i="15"/>
  <c r="BV112" i="15"/>
  <c r="BW114" i="15"/>
  <c r="BV114" i="15"/>
  <c r="BU133" i="15"/>
  <c r="BW133" i="15"/>
  <c r="BX133" i="15"/>
  <c r="BV133" i="15"/>
  <c r="BU91" i="15"/>
  <c r="BX91" i="15"/>
  <c r="BV91" i="15"/>
  <c r="BU93" i="15"/>
  <c r="BX93" i="15"/>
  <c r="BV93" i="15"/>
  <c r="BU106" i="15"/>
  <c r="BW106" i="15"/>
  <c r="BX106" i="15"/>
  <c r="BV106" i="15"/>
  <c r="BU108" i="15"/>
  <c r="BX108" i="15"/>
  <c r="BW108" i="15"/>
  <c r="BV108" i="15"/>
  <c r="BU118" i="15"/>
  <c r="BV118" i="15"/>
  <c r="BU120" i="15"/>
  <c r="BF120" i="15"/>
  <c r="BG120" i="15"/>
  <c r="BV120" i="15"/>
  <c r="BE120" i="15"/>
  <c r="BU128" i="15"/>
  <c r="BX128" i="15"/>
  <c r="BW128" i="15"/>
  <c r="BV128" i="15"/>
  <c r="BX140" i="15"/>
  <c r="BW140" i="15"/>
  <c r="BV140" i="15"/>
  <c r="BU140" i="15"/>
  <c r="BF141" i="15"/>
  <c r="BG141" i="15"/>
  <c r="BD141" i="15"/>
  <c r="BE141" i="15"/>
  <c r="H15" i="13"/>
  <c r="E15" i="13"/>
  <c r="K34" i="5"/>
  <c r="U351" i="6"/>
  <c r="AH13" i="15"/>
  <c r="F53" i="5"/>
  <c r="F55" i="5" s="1"/>
  <c r="G53" i="5"/>
  <c r="G55" i="5" s="1"/>
  <c r="AH61" i="15"/>
  <c r="AH132" i="15"/>
  <c r="E13" i="5"/>
  <c r="E21" i="5"/>
  <c r="F45" i="5"/>
  <c r="F47" i="5" s="1"/>
  <c r="G45" i="5"/>
  <c r="G47" i="5" s="1"/>
  <c r="O371" i="6"/>
  <c r="AH25" i="15"/>
  <c r="AH99" i="15"/>
  <c r="AH110" i="15"/>
  <c r="AH121" i="15"/>
  <c r="C15" i="2"/>
  <c r="C60" i="2" s="1"/>
  <c r="F9" i="13"/>
  <c r="L31" i="16"/>
  <c r="AB353" i="6"/>
  <c r="V353" i="6"/>
  <c r="P19" i="2"/>
  <c r="D64" i="2" s="1"/>
  <c r="V1" i="13"/>
  <c r="X1" i="13"/>
  <c r="M29" i="8" s="1"/>
  <c r="V2" i="13"/>
  <c r="L11" i="13"/>
  <c r="B2" i="2"/>
  <c r="C5" i="13"/>
  <c r="V12" i="13"/>
  <c r="A19" i="13"/>
  <c r="B3" i="12"/>
  <c r="B23" i="12"/>
  <c r="V4" i="13"/>
  <c r="H22" i="13"/>
  <c r="L14" i="13"/>
  <c r="A17" i="13"/>
  <c r="V3" i="13"/>
  <c r="D7" i="13"/>
  <c r="V6" i="13"/>
  <c r="H13" i="13"/>
  <c r="L16" i="13"/>
  <c r="A24" i="13"/>
  <c r="C19" i="2"/>
  <c r="C64" i="2"/>
  <c r="C44" i="2"/>
  <c r="C89" i="2" s="1"/>
  <c r="C4" i="13"/>
  <c r="V5" i="13"/>
  <c r="A11" i="13"/>
  <c r="L13" i="13"/>
  <c r="O16" i="13"/>
  <c r="C28" i="13"/>
  <c r="C39" i="2"/>
  <c r="C84" i="2" s="1"/>
  <c r="P54" i="15"/>
  <c r="D130" i="15" s="1"/>
  <c r="P33" i="15"/>
  <c r="D109" i="15"/>
  <c r="K13" i="6"/>
  <c r="K14" i="6" s="1"/>
  <c r="G54" i="8" s="1"/>
  <c r="N358" i="6"/>
  <c r="I420" i="6" s="1"/>
  <c r="N420" i="6" s="1"/>
  <c r="R358" i="6"/>
  <c r="I409" i="6"/>
  <c r="N409" i="6" s="1"/>
  <c r="M358" i="6"/>
  <c r="H409" i="6" s="1"/>
  <c r="M409" i="6" s="1"/>
  <c r="H398" i="6"/>
  <c r="M398" i="6"/>
  <c r="L358" i="6"/>
  <c r="G398" i="6" s="1"/>
  <c r="L398" i="6" s="1"/>
  <c r="G358" i="6"/>
  <c r="F398" i="6"/>
  <c r="K398" i="6" s="1"/>
  <c r="O398" i="6" s="1"/>
  <c r="I358" i="6"/>
  <c r="AD372" i="6"/>
  <c r="AC352" i="6"/>
  <c r="AC351" i="6"/>
  <c r="E358" i="6"/>
  <c r="E387" i="6"/>
  <c r="J387" i="6" s="1"/>
  <c r="O387" i="6"/>
  <c r="G387" i="6"/>
  <c r="L387" i="6" s="1"/>
  <c r="AR358" i="6"/>
  <c r="AR359" i="6"/>
  <c r="AR360" i="6" s="1"/>
  <c r="F358" i="6"/>
  <c r="G104" i="6"/>
  <c r="K358" i="6"/>
  <c r="H387" i="6" s="1"/>
  <c r="M387" i="6" s="1"/>
  <c r="O358" i="6"/>
  <c r="I387" i="6"/>
  <c r="N387" i="6" s="1"/>
  <c r="U171" i="5"/>
  <c r="E60" i="5"/>
  <c r="E50" i="5"/>
  <c r="P35" i="2"/>
  <c r="D80" i="2" s="1"/>
  <c r="F90" i="2"/>
  <c r="D86" i="2"/>
  <c r="D62" i="2"/>
  <c r="P31" i="2"/>
  <c r="D76" i="2" s="1"/>
  <c r="G45" i="2"/>
  <c r="G46" i="2" s="1"/>
  <c r="V8" i="13"/>
  <c r="A13" i="13"/>
  <c r="O14" i="13"/>
  <c r="L15" i="13"/>
  <c r="O17" i="13"/>
  <c r="A22" i="13"/>
  <c r="H24" i="13"/>
  <c r="C4" i="5"/>
  <c r="P27" i="15"/>
  <c r="D103" i="15" s="1"/>
  <c r="S32" i="21"/>
  <c r="L5" i="21"/>
  <c r="L32" i="21"/>
  <c r="E5" i="21"/>
  <c r="C2" i="16"/>
  <c r="S5" i="21"/>
  <c r="E32" i="21"/>
  <c r="C2" i="7"/>
  <c r="V7" i="13"/>
  <c r="V9" i="13"/>
  <c r="V10" i="13"/>
  <c r="V11" i="13"/>
  <c r="A15" i="13"/>
  <c r="O15" i="13"/>
  <c r="L17" i="13"/>
  <c r="C27" i="13"/>
  <c r="C24" i="2"/>
  <c r="C69" i="2" s="1"/>
  <c r="C35" i="2"/>
  <c r="C80" i="2"/>
  <c r="C2" i="15"/>
  <c r="C2" i="6"/>
  <c r="J31" i="16"/>
  <c r="G47" i="8"/>
  <c r="D31" i="16"/>
  <c r="F47" i="8"/>
  <c r="H47" i="8"/>
  <c r="H31" i="16"/>
  <c r="E47" i="8"/>
  <c r="AA140" i="16"/>
  <c r="AB198" i="16" s="1"/>
  <c r="Z198" i="16" s="1"/>
  <c r="AA138" i="16"/>
  <c r="AA196" i="16" s="1"/>
  <c r="K140" i="16"/>
  <c r="L144" i="16" s="1"/>
  <c r="K138" i="16"/>
  <c r="K201" i="16" s="1"/>
  <c r="CF61" i="15"/>
  <c r="BT137" i="15" s="1"/>
  <c r="AD368" i="6"/>
  <c r="AC368" i="6"/>
  <c r="V372" i="6"/>
  <c r="U368" i="6"/>
  <c r="Z370" i="6"/>
  <c r="V368" i="6"/>
  <c r="AJ359" i="6"/>
  <c r="AJ360" i="6" s="1"/>
  <c r="AN359" i="6"/>
  <c r="AN360" i="6" s="1"/>
  <c r="X367" i="6"/>
  <c r="W367" i="6"/>
  <c r="AA367" i="6"/>
  <c r="AE367" i="6"/>
  <c r="Y370" i="6"/>
  <c r="AA372" i="6"/>
  <c r="AF367" i="6"/>
  <c r="U367" i="6"/>
  <c r="Y367" i="6"/>
  <c r="AC367" i="6"/>
  <c r="Y368" i="6"/>
  <c r="U370" i="6"/>
  <c r="AC370" i="6"/>
  <c r="W372" i="6"/>
  <c r="AE372" i="6"/>
  <c r="AB367" i="6"/>
  <c r="V367" i="6"/>
  <c r="Z367" i="6"/>
  <c r="Z368" i="6"/>
  <c r="V370" i="6"/>
  <c r="AD370" i="6"/>
  <c r="Z372" i="6"/>
  <c r="AM359" i="6"/>
  <c r="AM360" i="6" s="1"/>
  <c r="AQ359" i="6"/>
  <c r="AQ360" i="6" s="1"/>
  <c r="T359" i="6"/>
  <c r="D353" i="6"/>
  <c r="R353" i="6" s="1"/>
  <c r="D355" i="6"/>
  <c r="D357" i="6"/>
  <c r="AK359" i="6"/>
  <c r="AK360" i="6"/>
  <c r="AO359" i="6"/>
  <c r="AO360" i="6" s="1"/>
  <c r="AH359" i="6"/>
  <c r="AH360" i="6" s="1"/>
  <c r="AL359" i="6"/>
  <c r="AL360" i="6" s="1"/>
  <c r="AP359" i="6"/>
  <c r="AP360" i="6"/>
  <c r="G402" i="6"/>
  <c r="L402" i="6" s="1"/>
  <c r="O402" i="6" s="1"/>
  <c r="L403" i="6"/>
  <c r="O403" i="6" s="1"/>
  <c r="H421" i="6"/>
  <c r="M414" i="6"/>
  <c r="O414" i="6"/>
  <c r="N359" i="6"/>
  <c r="I425" i="6"/>
  <c r="Y351" i="6"/>
  <c r="Y359" i="6"/>
  <c r="Y360" i="6" s="1"/>
  <c r="V354" i="6"/>
  <c r="V357" i="6"/>
  <c r="X355" i="6"/>
  <c r="X359" i="6"/>
  <c r="X360" i="6" s="1"/>
  <c r="V351" i="6"/>
  <c r="L371" i="6"/>
  <c r="H371" i="6"/>
  <c r="P371" i="6"/>
  <c r="D354" i="6"/>
  <c r="K371" i="6"/>
  <c r="T371" i="6"/>
  <c r="W351" i="6"/>
  <c r="W359" i="6" s="1"/>
  <c r="W360" i="6" s="1"/>
  <c r="AA359" i="6"/>
  <c r="AA360" i="6" s="1"/>
  <c r="R372" i="6"/>
  <c r="M373" i="6"/>
  <c r="E359" i="6"/>
  <c r="E360" i="6" s="1"/>
  <c r="J371" i="6"/>
  <c r="N371" i="6"/>
  <c r="S371" i="6"/>
  <c r="H372" i="6"/>
  <c r="L372" i="6"/>
  <c r="P372" i="6"/>
  <c r="H373" i="6"/>
  <c r="L373" i="6"/>
  <c r="P373" i="6"/>
  <c r="M372" i="6"/>
  <c r="R373" i="6"/>
  <c r="AD359" i="6"/>
  <c r="AD360" i="6" s="1"/>
  <c r="J372" i="6"/>
  <c r="N372" i="6"/>
  <c r="S372" i="6"/>
  <c r="J373" i="6"/>
  <c r="N373" i="6"/>
  <c r="S373" i="6"/>
  <c r="D356" i="6"/>
  <c r="I372" i="6"/>
  <c r="I373" i="6"/>
  <c r="I371" i="6"/>
  <c r="M371" i="6"/>
  <c r="K372" i="6"/>
  <c r="O372" i="6"/>
  <c r="K373" i="6"/>
  <c r="O373" i="6"/>
  <c r="E381" i="6"/>
  <c r="J381" i="6" s="1"/>
  <c r="O381" i="6" s="1"/>
  <c r="AE371" i="6"/>
  <c r="AA371" i="6"/>
  <c r="W369" i="6"/>
  <c r="AA369" i="6"/>
  <c r="AE369" i="6"/>
  <c r="W371" i="6"/>
  <c r="AB371" i="6"/>
  <c r="Y373" i="6"/>
  <c r="AB369" i="6"/>
  <c r="AC371" i="6"/>
  <c r="AB373" i="6"/>
  <c r="W368" i="6"/>
  <c r="AA368" i="6"/>
  <c r="AE368" i="6"/>
  <c r="U369" i="6"/>
  <c r="Y369" i="6"/>
  <c r="AC369" i="6"/>
  <c r="W370" i="6"/>
  <c r="AA370" i="6"/>
  <c r="AE370" i="6"/>
  <c r="U371" i="6"/>
  <c r="Y371" i="6"/>
  <c r="AD371" i="6"/>
  <c r="U373" i="6"/>
  <c r="X369" i="6"/>
  <c r="AF369" i="6"/>
  <c r="X371" i="6"/>
  <c r="AE373" i="6"/>
  <c r="AA373" i="6"/>
  <c r="W373" i="6"/>
  <c r="AD373" i="6"/>
  <c r="Z373" i="6"/>
  <c r="V373" i="6"/>
  <c r="X368" i="6"/>
  <c r="AB368" i="6"/>
  <c r="V369" i="6"/>
  <c r="Z369" i="6"/>
  <c r="X370" i="6"/>
  <c r="AB370" i="6"/>
  <c r="V371" i="6"/>
  <c r="Z371" i="6"/>
  <c r="AF371" i="6"/>
  <c r="X373" i="6"/>
  <c r="AF373" i="6"/>
  <c r="X372" i="6"/>
  <c r="AB372" i="6"/>
  <c r="AF372" i="6"/>
  <c r="U372" i="6"/>
  <c r="Y372" i="6"/>
  <c r="P15" i="2"/>
  <c r="D60" i="2" s="1"/>
  <c r="C203" i="6"/>
  <c r="H156" i="6"/>
  <c r="I353" i="6"/>
  <c r="L353" i="6"/>
  <c r="G393" i="6" s="1"/>
  <c r="L393" i="6" s="1"/>
  <c r="I78" i="6"/>
  <c r="H78" i="6"/>
  <c r="B71" i="6"/>
  <c r="D70" i="6"/>
  <c r="H104" i="6"/>
  <c r="P357" i="6"/>
  <c r="L357" i="6"/>
  <c r="G397" i="6" s="1"/>
  <c r="L397" i="6" s="1"/>
  <c r="H357" i="6"/>
  <c r="G386" i="6"/>
  <c r="L386" i="6" s="1"/>
  <c r="K357" i="6"/>
  <c r="H386" i="6" s="1"/>
  <c r="M386" i="6" s="1"/>
  <c r="F357" i="6"/>
  <c r="F386" i="6"/>
  <c r="K386" i="6" s="1"/>
  <c r="M357" i="6"/>
  <c r="H408" i="6" s="1"/>
  <c r="M408" i="6" s="1"/>
  <c r="O357" i="6"/>
  <c r="I386" i="6"/>
  <c r="N386" i="6" s="1"/>
  <c r="I357" i="6"/>
  <c r="S357" i="6"/>
  <c r="I419" i="6"/>
  <c r="N419" i="6" s="1"/>
  <c r="R357" i="6"/>
  <c r="I408" i="6" s="1"/>
  <c r="N408" i="6" s="1"/>
  <c r="S356" i="6"/>
  <c r="I418" i="6" s="1"/>
  <c r="N418" i="6" s="1"/>
  <c r="F356" i="6"/>
  <c r="F385" i="6"/>
  <c r="K385" i="6" s="1"/>
  <c r="L356" i="6"/>
  <c r="G396" i="6" s="1"/>
  <c r="L396" i="6" s="1"/>
  <c r="O356" i="6"/>
  <c r="I385" i="6"/>
  <c r="N385" i="6" s="1"/>
  <c r="K356" i="6"/>
  <c r="H385" i="6" s="1"/>
  <c r="M385" i="6" s="1"/>
  <c r="R356" i="6"/>
  <c r="I407" i="6"/>
  <c r="N407" i="6" s="1"/>
  <c r="M356" i="6"/>
  <c r="H407" i="6" s="1"/>
  <c r="M407" i="6" s="1"/>
  <c r="I356" i="6"/>
  <c r="P356" i="6"/>
  <c r="H356" i="6"/>
  <c r="G385" i="6"/>
  <c r="L385" i="6" s="1"/>
  <c r="R355" i="6"/>
  <c r="I406" i="6" s="1"/>
  <c r="N406" i="6"/>
  <c r="M355" i="6"/>
  <c r="H406" i="6"/>
  <c r="M406" i="6" s="1"/>
  <c r="I355" i="6"/>
  <c r="P355" i="6"/>
  <c r="L355" i="6"/>
  <c r="G395" i="6" s="1"/>
  <c r="L395" i="6" s="1"/>
  <c r="H355" i="6"/>
  <c r="G384" i="6"/>
  <c r="L384" i="6" s="1"/>
  <c r="O355" i="6"/>
  <c r="I384" i="6" s="1"/>
  <c r="N384" i="6" s="1"/>
  <c r="S355" i="6"/>
  <c r="I417" i="6"/>
  <c r="N417" i="6" s="1"/>
  <c r="K355" i="6"/>
  <c r="H384" i="6" s="1"/>
  <c r="M384" i="6" s="1"/>
  <c r="F355" i="6"/>
  <c r="F384" i="6"/>
  <c r="K384" i="6" s="1"/>
  <c r="O352" i="6"/>
  <c r="I381" i="6" s="1"/>
  <c r="N381" i="6" s="1"/>
  <c r="K352" i="6"/>
  <c r="H381" i="6" s="1"/>
  <c r="S352" i="6"/>
  <c r="I414" i="6" s="1"/>
  <c r="R352" i="6"/>
  <c r="M352" i="6"/>
  <c r="I352" i="6"/>
  <c r="P352" i="6"/>
  <c r="I392" i="6" s="1"/>
  <c r="N392" i="6" s="1"/>
  <c r="L352" i="6"/>
  <c r="G392" i="6" s="1"/>
  <c r="H352" i="6"/>
  <c r="F352" i="6"/>
  <c r="S351" i="6"/>
  <c r="I413" i="6" s="1"/>
  <c r="N413" i="6" s="1"/>
  <c r="M351" i="6"/>
  <c r="H402" i="6" s="1"/>
  <c r="L351" i="6"/>
  <c r="G391" i="6" s="1"/>
  <c r="L391" i="6" s="1"/>
  <c r="O351" i="6"/>
  <c r="I380" i="6" s="1"/>
  <c r="R351" i="6"/>
  <c r="I402" i="6" s="1"/>
  <c r="N402" i="6" s="1"/>
  <c r="I351" i="6"/>
  <c r="P351" i="6"/>
  <c r="H391" i="6" s="1"/>
  <c r="H351" i="6"/>
  <c r="G380" i="6" s="1"/>
  <c r="L380" i="6" s="1"/>
  <c r="K351" i="6"/>
  <c r="H380" i="6" s="1"/>
  <c r="M380" i="6" s="1"/>
  <c r="F351" i="6"/>
  <c r="F380" i="6" s="1"/>
  <c r="R354" i="6"/>
  <c r="I405" i="6" s="1"/>
  <c r="P354" i="6"/>
  <c r="L354" i="6"/>
  <c r="G394" i="6"/>
  <c r="H354" i="6"/>
  <c r="G383" i="6"/>
  <c r="L383" i="6" s="1"/>
  <c r="F354" i="6"/>
  <c r="F383" i="6" s="1"/>
  <c r="S354" i="6"/>
  <c r="I416" i="6" s="1"/>
  <c r="I354" i="6"/>
  <c r="O354" i="6"/>
  <c r="I383" i="6" s="1"/>
  <c r="N383" i="6" s="1"/>
  <c r="K354" i="6"/>
  <c r="H383" i="6" s="1"/>
  <c r="M383" i="6" s="1"/>
  <c r="M354" i="6"/>
  <c r="H405" i="6" s="1"/>
  <c r="M405" i="6" s="1"/>
  <c r="B76" i="6"/>
  <c r="B75" i="6"/>
  <c r="B73" i="6"/>
  <c r="B77" i="6"/>
  <c r="B74" i="6"/>
  <c r="I29" i="8"/>
  <c r="I28" i="8"/>
  <c r="K28" i="8"/>
  <c r="D28" i="8"/>
  <c r="N29" i="8"/>
  <c r="N28" i="8"/>
  <c r="G28" i="8"/>
  <c r="L28" i="8"/>
  <c r="H28" i="8"/>
  <c r="B106" i="2"/>
  <c r="B105" i="2"/>
  <c r="B107" i="2"/>
  <c r="B108" i="2"/>
  <c r="B61" i="6"/>
  <c r="B62" i="6"/>
  <c r="B63" i="6"/>
  <c r="B59" i="6"/>
  <c r="G5" i="5"/>
  <c r="Y4" i="5"/>
  <c r="K5" i="5"/>
  <c r="AC4" i="5" s="1"/>
  <c r="O5" i="5"/>
  <c r="AG4" i="5"/>
  <c r="H5" i="5"/>
  <c r="Z4" i="5" s="1"/>
  <c r="L5" i="5"/>
  <c r="AD4" i="5" s="1"/>
  <c r="I5" i="5"/>
  <c r="AA4" i="5" s="1"/>
  <c r="M5" i="5"/>
  <c r="AE4" i="5" s="1"/>
  <c r="E5" i="5"/>
  <c r="J5" i="5"/>
  <c r="AB4" i="5"/>
  <c r="P5" i="5"/>
  <c r="AH4" i="5" s="1"/>
  <c r="F5" i="5"/>
  <c r="X4" i="5"/>
  <c r="N5" i="5"/>
  <c r="AF4" i="5" s="1"/>
  <c r="B113" i="2"/>
  <c r="B114" i="2"/>
  <c r="C43" i="7"/>
  <c r="C42" i="7"/>
  <c r="C148" i="15"/>
  <c r="C73" i="15"/>
  <c r="C149" i="15" s="1"/>
  <c r="C54" i="6"/>
  <c r="M40" i="6"/>
  <c r="B72" i="6"/>
  <c r="M48" i="2"/>
  <c r="C5" i="5"/>
  <c r="V4" i="5"/>
  <c r="D8" i="5"/>
  <c r="D5" i="5"/>
  <c r="D39" i="5"/>
  <c r="C48" i="5"/>
  <c r="C40" i="5"/>
  <c r="C56" i="5"/>
  <c r="C61" i="5"/>
  <c r="C23" i="2"/>
  <c r="C68" i="2"/>
  <c r="C104" i="2"/>
  <c r="AC359" i="6"/>
  <c r="AC360" i="6" s="1"/>
  <c r="B5" i="12"/>
  <c r="B15" i="12"/>
  <c r="B21" i="12"/>
  <c r="B10" i="12"/>
  <c r="B8" i="12"/>
  <c r="C97" i="2"/>
  <c r="C30" i="2"/>
  <c r="C75" i="2"/>
  <c r="B25" i="12"/>
  <c r="B26" i="12"/>
  <c r="B9" i="12"/>
  <c r="B24" i="12"/>
  <c r="B14" i="12"/>
  <c r="B29" i="12"/>
  <c r="B16" i="12"/>
  <c r="B20" i="12"/>
  <c r="B7" i="12"/>
  <c r="CW50" i="7"/>
  <c r="B19" i="12"/>
  <c r="B13" i="12"/>
  <c r="B28" i="12"/>
  <c r="B18" i="12"/>
  <c r="B35" i="12"/>
  <c r="E30" i="12"/>
  <c r="CV50" i="7"/>
  <c r="C50" i="7"/>
  <c r="B11" i="12"/>
  <c r="B17" i="12"/>
  <c r="B6" i="12"/>
  <c r="B22" i="12"/>
  <c r="B4" i="12"/>
  <c r="B27" i="12"/>
  <c r="B12" i="12"/>
  <c r="CW52" i="7"/>
  <c r="CV52" i="7"/>
  <c r="CV62" i="7" s="1"/>
  <c r="C9" i="2"/>
  <c r="C54" i="2" s="1"/>
  <c r="C34" i="2"/>
  <c r="C79" i="2"/>
  <c r="H5" i="2"/>
  <c r="C20" i="2"/>
  <c r="C65" i="2" s="1"/>
  <c r="C22" i="2"/>
  <c r="C67" i="2"/>
  <c r="E5" i="2"/>
  <c r="O31" i="6"/>
  <c r="O36" i="6" s="1"/>
  <c r="C38" i="2"/>
  <c r="C83" i="2" s="1"/>
  <c r="P31" i="6"/>
  <c r="P36" i="6" s="1"/>
  <c r="K5" i="2"/>
  <c r="F5" i="2"/>
  <c r="C111" i="2"/>
  <c r="C27" i="6"/>
  <c r="B31" i="6"/>
  <c r="B36" i="6" s="1"/>
  <c r="C21" i="2"/>
  <c r="C66" i="2" s="1"/>
  <c r="C5" i="2"/>
  <c r="C50" i="2" s="1"/>
  <c r="C32" i="2"/>
  <c r="C77" i="2"/>
  <c r="I5" i="2"/>
  <c r="C33" i="2"/>
  <c r="C78" i="2"/>
  <c r="J5" i="2"/>
  <c r="C11" i="2"/>
  <c r="C56" i="2" s="1"/>
  <c r="C27" i="2"/>
  <c r="C72" i="2"/>
  <c r="C40" i="2"/>
  <c r="C85" i="2" s="1"/>
  <c r="O5" i="2"/>
  <c r="C17" i="2"/>
  <c r="C62" i="2"/>
  <c r="G5" i="2"/>
  <c r="C12" i="2"/>
  <c r="C57" i="2" s="1"/>
  <c r="C36" i="2"/>
  <c r="C81" i="2" s="1"/>
  <c r="C26" i="2"/>
  <c r="C71" i="2" s="1"/>
  <c r="C37" i="2"/>
  <c r="C82" i="2" s="1"/>
  <c r="M5" i="2"/>
  <c r="C42" i="2"/>
  <c r="C87" i="2" s="1"/>
  <c r="N5" i="2"/>
  <c r="C13" i="2"/>
  <c r="C58" i="2"/>
  <c r="C29" i="2"/>
  <c r="C74" i="2" s="1"/>
  <c r="C59" i="2"/>
  <c r="L5" i="2"/>
  <c r="C8" i="2"/>
  <c r="C53" i="2" s="1"/>
  <c r="C16" i="2"/>
  <c r="C61" i="2" s="1"/>
  <c r="B42" i="6"/>
  <c r="S5" i="2"/>
  <c r="C10" i="2"/>
  <c r="C55" i="2" s="1"/>
  <c r="C28" i="2"/>
  <c r="C73" i="2"/>
  <c r="C112" i="2"/>
  <c r="C6" i="2"/>
  <c r="C51" i="2"/>
  <c r="C45" i="2"/>
  <c r="C90" i="2" s="1"/>
  <c r="C7" i="2"/>
  <c r="C52" i="2"/>
  <c r="C18" i="2"/>
  <c r="C63" i="2" s="1"/>
  <c r="C31" i="2"/>
  <c r="C76" i="2"/>
  <c r="B110" i="2"/>
  <c r="D5" i="2"/>
  <c r="C25" i="2"/>
  <c r="C70" i="2"/>
  <c r="C41" i="2"/>
  <c r="C86" i="2" s="1"/>
  <c r="W37" i="5"/>
  <c r="W4" i="5"/>
  <c r="K31" i="6"/>
  <c r="K36" i="6" s="1"/>
  <c r="L31" i="6"/>
  <c r="L36" i="6"/>
  <c r="A2" i="15"/>
  <c r="C74" i="15"/>
  <c r="C150" i="15" s="1"/>
  <c r="G31" i="6"/>
  <c r="G36" i="6"/>
  <c r="H31" i="6"/>
  <c r="H36" i="6" s="1"/>
  <c r="Y388" i="6"/>
  <c r="F399" i="6"/>
  <c r="G359" i="6"/>
  <c r="F51" i="6"/>
  <c r="G51" i="6"/>
  <c r="H51" i="6"/>
  <c r="I51" i="6" s="1"/>
  <c r="E14" i="6"/>
  <c r="V388" i="6"/>
  <c r="AF358" i="6"/>
  <c r="AF359" i="6" s="1"/>
  <c r="AF360" i="6" s="1"/>
  <c r="F387" i="6"/>
  <c r="K387" i="6"/>
  <c r="S5" i="5"/>
  <c r="U88" i="15"/>
  <c r="C62" i="15"/>
  <c r="C61" i="15"/>
  <c r="C69" i="15"/>
  <c r="C67" i="15"/>
  <c r="C66" i="15"/>
  <c r="C55" i="15"/>
  <c r="C75" i="15"/>
  <c r="C151" i="15" s="1"/>
  <c r="C68" i="15"/>
  <c r="C60" i="15"/>
  <c r="C51" i="15"/>
  <c r="C44" i="15"/>
  <c r="C34" i="15"/>
  <c r="C31" i="15"/>
  <c r="C25" i="15"/>
  <c r="C19" i="15"/>
  <c r="U12" i="15"/>
  <c r="C11" i="15"/>
  <c r="U9" i="15"/>
  <c r="C7" i="15"/>
  <c r="CF5" i="15"/>
  <c r="S5" i="15"/>
  <c r="L5" i="15"/>
  <c r="H5" i="15"/>
  <c r="D5" i="15"/>
  <c r="C72" i="15"/>
  <c r="C57" i="15"/>
  <c r="C49" i="15"/>
  <c r="C47" i="15"/>
  <c r="C41" i="15"/>
  <c r="C35" i="15"/>
  <c r="C33" i="15"/>
  <c r="C29" i="15"/>
  <c r="C20" i="15"/>
  <c r="C18" i="15"/>
  <c r="C17" i="15"/>
  <c r="C15" i="15"/>
  <c r="C13" i="15"/>
  <c r="U10" i="15"/>
  <c r="C8" i="15"/>
  <c r="O5" i="15"/>
  <c r="K5" i="15"/>
  <c r="G5" i="15"/>
  <c r="C5" i="15"/>
  <c r="C70" i="15"/>
  <c r="C63" i="15"/>
  <c r="C56" i="15"/>
  <c r="C54" i="15"/>
  <c r="C50" i="15"/>
  <c r="C42" i="15"/>
  <c r="C36" i="15"/>
  <c r="C27" i="15"/>
  <c r="C24" i="15"/>
  <c r="C21" i="15"/>
  <c r="U11" i="15"/>
  <c r="C9" i="15"/>
  <c r="U7" i="15"/>
  <c r="U6" i="15"/>
  <c r="BO5" i="15"/>
  <c r="BO168" i="15" s="1"/>
  <c r="N5" i="15"/>
  <c r="J5" i="15"/>
  <c r="F5" i="15"/>
  <c r="U3" i="15"/>
  <c r="U79" i="15"/>
  <c r="C64" i="15"/>
  <c r="C59" i="15"/>
  <c r="C52" i="15"/>
  <c r="C48" i="15"/>
  <c r="C46" i="15"/>
  <c r="C43" i="15"/>
  <c r="C40" i="15"/>
  <c r="C39" i="15"/>
  <c r="C37" i="15"/>
  <c r="C30" i="15"/>
  <c r="C28" i="15"/>
  <c r="C23" i="15"/>
  <c r="C16" i="15"/>
  <c r="C14" i="15"/>
  <c r="U13" i="15"/>
  <c r="C10" i="15"/>
  <c r="U8" i="15"/>
  <c r="C6" i="15"/>
  <c r="M5" i="15"/>
  <c r="I5" i="15"/>
  <c r="E5" i="15"/>
  <c r="D108" i="16"/>
  <c r="D113" i="16" s="1"/>
  <c r="B37" i="16"/>
  <c r="L36" i="16"/>
  <c r="L44" i="16" s="1"/>
  <c r="H36" i="16"/>
  <c r="H44" i="16" s="1"/>
  <c r="D36" i="16"/>
  <c r="D44" i="16" s="1"/>
  <c r="C25" i="16"/>
  <c r="AC133" i="16" s="1"/>
  <c r="C21" i="16"/>
  <c r="P133" i="16" s="1"/>
  <c r="C14" i="16"/>
  <c r="G133" i="16" s="1"/>
  <c r="O8" i="16"/>
  <c r="S7" i="16"/>
  <c r="B3" i="16"/>
  <c r="D107" i="16"/>
  <c r="D112" i="16"/>
  <c r="O36" i="16"/>
  <c r="O44" i="16" s="1"/>
  <c r="K36" i="16"/>
  <c r="K44" i="16"/>
  <c r="G36" i="16"/>
  <c r="G44" i="16" s="1"/>
  <c r="C31" i="16"/>
  <c r="C29" i="16"/>
  <c r="C24" i="16"/>
  <c r="Z133" i="16" s="1"/>
  <c r="C20" i="16"/>
  <c r="C12" i="16"/>
  <c r="AO133" i="16" s="1"/>
  <c r="N8" i="16"/>
  <c r="N7" i="16"/>
  <c r="B38" i="16"/>
  <c r="M36" i="16"/>
  <c r="M44" i="16" s="1"/>
  <c r="I36" i="16"/>
  <c r="I44" i="16"/>
  <c r="E36" i="16"/>
  <c r="E44" i="16" s="1"/>
  <c r="C30" i="16"/>
  <c r="C26" i="16"/>
  <c r="AF133" i="16" s="1"/>
  <c r="C22" i="16"/>
  <c r="T133" i="16" s="1"/>
  <c r="C16" i="16"/>
  <c r="J133" i="16" s="1"/>
  <c r="P8" i="16"/>
  <c r="D8" i="16"/>
  <c r="B5" i="16"/>
  <c r="N36" i="16"/>
  <c r="N44" i="16" s="1"/>
  <c r="C10" i="16"/>
  <c r="AL133" i="16"/>
  <c r="C7" i="16"/>
  <c r="J36" i="16"/>
  <c r="J44" i="16" s="1"/>
  <c r="C27" i="16"/>
  <c r="D106" i="16"/>
  <c r="B55" i="16"/>
  <c r="B39" i="16"/>
  <c r="C18" i="16"/>
  <c r="M133" i="16" s="1"/>
  <c r="E8" i="16"/>
  <c r="F36" i="16"/>
  <c r="F44" i="16"/>
  <c r="C23" i="16"/>
  <c r="W133" i="16" s="1"/>
  <c r="B32" i="6"/>
  <c r="B37" i="6"/>
  <c r="I31" i="6"/>
  <c r="I36" i="6" s="1"/>
  <c r="C14" i="6"/>
  <c r="B183" i="6"/>
  <c r="N31" i="6"/>
  <c r="N36" i="6" s="1"/>
  <c r="F31" i="6"/>
  <c r="F36" i="6"/>
  <c r="C13" i="6"/>
  <c r="F5" i="6"/>
  <c r="B55" i="6"/>
  <c r="M31" i="6"/>
  <c r="M36" i="6" s="1"/>
  <c r="E31" i="6"/>
  <c r="E36" i="6" s="1"/>
  <c r="S5" i="6"/>
  <c r="C5" i="6"/>
  <c r="B70" i="6" s="1"/>
  <c r="B96" i="6" s="1"/>
  <c r="B122" i="6" s="1"/>
  <c r="B148" i="6" s="1"/>
  <c r="B174" i="6" s="1"/>
  <c r="J31" i="6"/>
  <c r="J36" i="6"/>
  <c r="C57" i="7"/>
  <c r="M30" i="7"/>
  <c r="C13" i="7"/>
  <c r="C40" i="7"/>
  <c r="M6" i="7"/>
  <c r="I6" i="7"/>
  <c r="E6" i="7"/>
  <c r="C56" i="7"/>
  <c r="C48" i="7"/>
  <c r="G16" i="7"/>
  <c r="C12" i="7"/>
  <c r="C39" i="7"/>
  <c r="S6" i="7"/>
  <c r="L6" i="7"/>
  <c r="H6" i="7"/>
  <c r="D6" i="7"/>
  <c r="C58" i="7"/>
  <c r="C15" i="7"/>
  <c r="N6" i="7"/>
  <c r="J6" i="7"/>
  <c r="F6" i="7"/>
  <c r="C54" i="7"/>
  <c r="O6" i="7"/>
  <c r="C16" i="7"/>
  <c r="G6" i="7"/>
  <c r="K6" i="7"/>
  <c r="M201" i="8"/>
  <c r="I201" i="8"/>
  <c r="E201" i="8"/>
  <c r="C70" i="8"/>
  <c r="C66" i="8"/>
  <c r="C62" i="8"/>
  <c r="C43" i="8"/>
  <c r="C37" i="8"/>
  <c r="C33" i="8"/>
  <c r="L201" i="8"/>
  <c r="H201" i="8"/>
  <c r="D201" i="8"/>
  <c r="C69" i="8"/>
  <c r="C61" i="8"/>
  <c r="C53" i="8"/>
  <c r="C42" i="8"/>
  <c r="C36" i="8"/>
  <c r="C32" i="8"/>
  <c r="N201" i="8"/>
  <c r="J201" i="8"/>
  <c r="F201" i="8"/>
  <c r="C71" i="8"/>
  <c r="C205" i="8" s="1"/>
  <c r="C67" i="8"/>
  <c r="C44" i="8"/>
  <c r="C34" i="8"/>
  <c r="C18" i="8"/>
  <c r="C16" i="8"/>
  <c r="P16" i="8" s="1"/>
  <c r="D50" i="8" s="1"/>
  <c r="C13" i="8"/>
  <c r="G201" i="8"/>
  <c r="C8" i="8"/>
  <c r="M7" i="8"/>
  <c r="I7" i="8"/>
  <c r="E7" i="8"/>
  <c r="C35" i="8"/>
  <c r="C28" i="8"/>
  <c r="C10" i="8"/>
  <c r="S7" i="8"/>
  <c r="L7" i="8"/>
  <c r="H7" i="8"/>
  <c r="D7" i="8"/>
  <c r="G3" i="8"/>
  <c r="K201" i="8"/>
  <c r="C50" i="8"/>
  <c r="P17" i="8"/>
  <c r="D51" i="8" s="1"/>
  <c r="N7" i="8"/>
  <c r="J7" i="8"/>
  <c r="F7" i="8"/>
  <c r="C68" i="8"/>
  <c r="C27" i="8"/>
  <c r="C9" i="8"/>
  <c r="G7" i="8"/>
  <c r="C47" i="8"/>
  <c r="C7" i="8"/>
  <c r="C41" i="8"/>
  <c r="O201" i="8"/>
  <c r="C52" i="8"/>
  <c r="K7" i="8"/>
  <c r="C19" i="8"/>
  <c r="O7" i="8"/>
  <c r="E3" i="8"/>
  <c r="L172" i="16"/>
  <c r="K202" i="16"/>
  <c r="K196" i="16"/>
  <c r="AB169" i="16"/>
  <c r="L151" i="16"/>
  <c r="L161" i="16"/>
  <c r="L170" i="16"/>
  <c r="K144" i="16"/>
  <c r="K146" i="16"/>
  <c r="K163" i="16"/>
  <c r="K164" i="16"/>
  <c r="K170" i="16"/>
  <c r="K179" i="16"/>
  <c r="K172" i="16"/>
  <c r="K178" i="16"/>
  <c r="K165" i="16"/>
  <c r="AA144" i="16"/>
  <c r="AA200" i="16"/>
  <c r="AA146" i="16"/>
  <c r="K148" i="16"/>
  <c r="K180" i="16"/>
  <c r="K154" i="16"/>
  <c r="K186" i="16"/>
  <c r="K149" i="16"/>
  <c r="K156" i="16"/>
  <c r="K188" i="16"/>
  <c r="K162" i="16"/>
  <c r="K194" i="16"/>
  <c r="K195" i="16"/>
  <c r="K181" i="16"/>
  <c r="AA164" i="16"/>
  <c r="AA147" i="16"/>
  <c r="AA160" i="16"/>
  <c r="AA191" i="16"/>
  <c r="AA180" i="16"/>
  <c r="AA158" i="16"/>
  <c r="AA175" i="16"/>
  <c r="AB201" i="16"/>
  <c r="AB179" i="16"/>
  <c r="AB194" i="16"/>
  <c r="AB181" i="16"/>
  <c r="AB192" i="16"/>
  <c r="L168" i="16"/>
  <c r="L199" i="16"/>
  <c r="L154" i="16"/>
  <c r="L167" i="16"/>
  <c r="L177" i="16"/>
  <c r="L186" i="16"/>
  <c r="L200" i="16"/>
  <c r="L183" i="16"/>
  <c r="L193" i="16"/>
  <c r="L202" i="16"/>
  <c r="L143" i="16"/>
  <c r="J144" i="16" s="1"/>
  <c r="L192" i="16"/>
  <c r="L160" i="16"/>
  <c r="L155" i="16"/>
  <c r="L171" i="16"/>
  <c r="L187" i="16"/>
  <c r="L149" i="16"/>
  <c r="L165" i="16"/>
  <c r="L181" i="16"/>
  <c r="L197" i="16"/>
  <c r="L158" i="16"/>
  <c r="L174" i="16"/>
  <c r="L190" i="16"/>
  <c r="L188" i="16"/>
  <c r="J188" i="16" s="1"/>
  <c r="L148" i="16"/>
  <c r="L184" i="16"/>
  <c r="L152" i="16"/>
  <c r="L159" i="16"/>
  <c r="L175" i="16"/>
  <c r="L191" i="16"/>
  <c r="L153" i="16"/>
  <c r="J153" i="16" s="1"/>
  <c r="L169" i="16"/>
  <c r="L185" i="16"/>
  <c r="L201" i="16"/>
  <c r="L162" i="16"/>
  <c r="L178" i="16"/>
  <c r="L194" i="16"/>
  <c r="L164" i="16"/>
  <c r="L146" i="16"/>
  <c r="L176" i="16"/>
  <c r="L147" i="16"/>
  <c r="L163" i="16"/>
  <c r="L179" i="16"/>
  <c r="L195" i="16"/>
  <c r="L157" i="16"/>
  <c r="L173" i="16"/>
  <c r="L189" i="16"/>
  <c r="L150" i="16"/>
  <c r="L166" i="16"/>
  <c r="L182" i="16"/>
  <c r="L198" i="16"/>
  <c r="L180" i="16"/>
  <c r="L156" i="16"/>
  <c r="AA189" i="16"/>
  <c r="AA188" i="16"/>
  <c r="AB166" i="16"/>
  <c r="AB147" i="16"/>
  <c r="AA195" i="16"/>
  <c r="AA182" i="16"/>
  <c r="AA171" i="16"/>
  <c r="AB162" i="16"/>
  <c r="AB149" i="16"/>
  <c r="AB152" i="16"/>
  <c r="AA192" i="16"/>
  <c r="AA176" i="16"/>
  <c r="AB164" i="16"/>
  <c r="AA151" i="16"/>
  <c r="AB146" i="16"/>
  <c r="AA197" i="16"/>
  <c r="AA156" i="16"/>
  <c r="AA190" i="16"/>
  <c r="AA179" i="16"/>
  <c r="AA166" i="16"/>
  <c r="AA155" i="16"/>
  <c r="AA199" i="16"/>
  <c r="AA184" i="16"/>
  <c r="AA168" i="16"/>
  <c r="AA159" i="16"/>
  <c r="AA145" i="16"/>
  <c r="AA172" i="16"/>
  <c r="AA148" i="16"/>
  <c r="AA198" i="16"/>
  <c r="AA187" i="16"/>
  <c r="AA174" i="16"/>
  <c r="AA163" i="16"/>
  <c r="AA150" i="16"/>
  <c r="AB176" i="16"/>
  <c r="AB196" i="16"/>
  <c r="AA183" i="16"/>
  <c r="AA167" i="16"/>
  <c r="AA152" i="16"/>
  <c r="AA143" i="16"/>
  <c r="K152" i="16"/>
  <c r="K168" i="16"/>
  <c r="K184" i="16"/>
  <c r="K200" i="16"/>
  <c r="K158" i="16"/>
  <c r="K174" i="16"/>
  <c r="K190" i="16"/>
  <c r="K151" i="16"/>
  <c r="K167" i="16"/>
  <c r="K183" i="16"/>
  <c r="K199" i="16"/>
  <c r="K185" i="16"/>
  <c r="K169" i="16"/>
  <c r="K153" i="16"/>
  <c r="K197" i="16"/>
  <c r="K171" i="16"/>
  <c r="K189" i="16"/>
  <c r="K173" i="16"/>
  <c r="K157" i="16"/>
  <c r="K147" i="16"/>
  <c r="K155" i="16"/>
  <c r="K187" i="16"/>
  <c r="K160" i="16"/>
  <c r="K176" i="16"/>
  <c r="K192" i="16"/>
  <c r="K150" i="16"/>
  <c r="K166" i="16"/>
  <c r="K182" i="16"/>
  <c r="K198" i="16"/>
  <c r="K159" i="16"/>
  <c r="K175" i="16"/>
  <c r="K191" i="16"/>
  <c r="K193" i="16"/>
  <c r="K177" i="16"/>
  <c r="K161" i="16"/>
  <c r="K145" i="16"/>
  <c r="K143" i="16"/>
  <c r="AB195" i="16"/>
  <c r="AB182" i="16"/>
  <c r="AB163" i="16"/>
  <c r="AB150" i="16"/>
  <c r="AB168" i="16"/>
  <c r="AB197" i="16"/>
  <c r="AB185" i="16"/>
  <c r="AB178" i="16"/>
  <c r="AB165" i="16"/>
  <c r="AB153" i="16"/>
  <c r="AB200" i="16"/>
  <c r="AB184" i="16"/>
  <c r="AB167" i="16"/>
  <c r="AB180" i="16"/>
  <c r="AB148" i="16"/>
  <c r="AB143" i="16"/>
  <c r="Z143" i="16" s="1"/>
  <c r="AA149" i="16"/>
  <c r="AA193" i="16"/>
  <c r="AA185" i="16"/>
  <c r="AB190" i="16"/>
  <c r="AB171" i="16"/>
  <c r="AB158" i="16"/>
  <c r="AB202" i="16"/>
  <c r="AB189" i="16"/>
  <c r="AB177" i="16"/>
  <c r="AB170" i="16"/>
  <c r="AB157" i="16"/>
  <c r="AB199" i="16"/>
  <c r="Z199" i="16" s="1"/>
  <c r="AB183" i="16"/>
  <c r="AB160" i="16"/>
  <c r="AB188" i="16"/>
  <c r="AB156" i="16"/>
  <c r="AB159" i="16"/>
  <c r="AA173" i="16"/>
  <c r="AA177" i="16"/>
  <c r="AB187" i="16"/>
  <c r="AB174" i="16"/>
  <c r="AB155" i="16"/>
  <c r="AB193" i="16"/>
  <c r="AB186" i="16"/>
  <c r="AB173" i="16"/>
  <c r="AB161" i="16"/>
  <c r="Z161" i="16" s="1"/>
  <c r="AB154" i="16"/>
  <c r="AB191" i="16"/>
  <c r="Z191" i="16" s="1"/>
  <c r="AB175" i="16"/>
  <c r="Z175" i="16"/>
  <c r="AB151" i="16"/>
  <c r="AB172" i="16"/>
  <c r="AB144" i="16"/>
  <c r="Z144" i="16"/>
  <c r="AB145" i="16"/>
  <c r="AA186" i="16"/>
  <c r="AA178" i="16"/>
  <c r="AA169" i="16"/>
  <c r="AA181" i="16"/>
  <c r="AA154" i="16"/>
  <c r="AA162" i="16"/>
  <c r="AA170" i="16"/>
  <c r="AA194" i="16"/>
  <c r="AA202" i="16"/>
  <c r="AA161" i="16"/>
  <c r="AA165" i="16"/>
  <c r="AA153" i="16"/>
  <c r="AA201" i="16"/>
  <c r="AA157" i="16"/>
  <c r="L196" i="16"/>
  <c r="L145" i="16"/>
  <c r="J145" i="16" s="1"/>
  <c r="AD375" i="6"/>
  <c r="AC375" i="6"/>
  <c r="Z375" i="6"/>
  <c r="Y375" i="6"/>
  <c r="AF375" i="6"/>
  <c r="U375" i="6"/>
  <c r="V375" i="6"/>
  <c r="AA375" i="6"/>
  <c r="I432" i="6"/>
  <c r="N425" i="6"/>
  <c r="O425" i="6" s="1"/>
  <c r="E388" i="6"/>
  <c r="AB375" i="6"/>
  <c r="X375" i="6"/>
  <c r="AE375" i="6"/>
  <c r="W375" i="6"/>
  <c r="B73" i="8"/>
  <c r="F155" i="6"/>
  <c r="F153" i="6"/>
  <c r="F152" i="6"/>
  <c r="F151" i="6"/>
  <c r="F150" i="6"/>
  <c r="F149" i="6"/>
  <c r="F129" i="6"/>
  <c r="F126" i="6"/>
  <c r="F125" i="6"/>
  <c r="F123" i="6"/>
  <c r="F124" i="6"/>
  <c r="F103" i="6"/>
  <c r="E103" i="6" s="1"/>
  <c r="H103" i="6" s="1"/>
  <c r="F101" i="6"/>
  <c r="E101" i="6"/>
  <c r="I101" i="6" s="1"/>
  <c r="F102" i="6"/>
  <c r="E102" i="6" s="1"/>
  <c r="F100" i="6"/>
  <c r="E100" i="6" s="1"/>
  <c r="H100" i="6" s="1"/>
  <c r="F99" i="6"/>
  <c r="E99" i="6"/>
  <c r="H99" i="6" s="1"/>
  <c r="F98" i="6"/>
  <c r="F177" i="6"/>
  <c r="F128" i="6"/>
  <c r="F127" i="6"/>
  <c r="F154" i="6"/>
  <c r="D90" i="6"/>
  <c r="D91" i="6" s="1"/>
  <c r="E90" i="6"/>
  <c r="E91" i="6"/>
  <c r="F90" i="6"/>
  <c r="F91" i="6" s="1"/>
  <c r="F181" i="6"/>
  <c r="F97" i="6"/>
  <c r="E97" i="6" s="1"/>
  <c r="H97" i="6" s="1"/>
  <c r="B101" i="6"/>
  <c r="B87" i="6"/>
  <c r="B86" i="6"/>
  <c r="B100" i="6"/>
  <c r="B102" i="6"/>
  <c r="B88" i="6"/>
  <c r="B98" i="6"/>
  <c r="B84" i="6"/>
  <c r="B103" i="6"/>
  <c r="B89" i="6"/>
  <c r="C420" i="6"/>
  <c r="B99" i="6"/>
  <c r="B85" i="6"/>
  <c r="I394" i="6"/>
  <c r="N394" i="6" s="1"/>
  <c r="H394" i="6"/>
  <c r="M394" i="6" s="1"/>
  <c r="H396" i="6"/>
  <c r="M396" i="6"/>
  <c r="I396" i="6"/>
  <c r="N396" i="6" s="1"/>
  <c r="I395" i="6"/>
  <c r="N395" i="6"/>
  <c r="H395" i="6"/>
  <c r="M395" i="6" s="1"/>
  <c r="C425" i="6"/>
  <c r="C403" i="6"/>
  <c r="C392" i="6"/>
  <c r="C381" i="6"/>
  <c r="C44" i="6"/>
  <c r="C414" i="6"/>
  <c r="C47" i="6"/>
  <c r="C417" i="6"/>
  <c r="C406" i="6"/>
  <c r="C395" i="6"/>
  <c r="C384" i="6"/>
  <c r="C428" i="6"/>
  <c r="C416" i="6"/>
  <c r="C427" i="6"/>
  <c r="C405" i="6"/>
  <c r="C383" i="6"/>
  <c r="C394" i="6"/>
  <c r="C46" i="6"/>
  <c r="C397" i="6"/>
  <c r="C386" i="6"/>
  <c r="C419" i="6"/>
  <c r="C408" i="6"/>
  <c r="C430" i="6"/>
  <c r="C49" i="6"/>
  <c r="C429" i="6"/>
  <c r="C407" i="6"/>
  <c r="C396" i="6"/>
  <c r="C385" i="6"/>
  <c r="C48" i="6"/>
  <c r="C418" i="6"/>
  <c r="C43" i="6"/>
  <c r="C413" i="6"/>
  <c r="C402" i="6"/>
  <c r="C391" i="6"/>
  <c r="C380" i="6"/>
  <c r="C424" i="6"/>
  <c r="C393" i="6"/>
  <c r="C382" i="6"/>
  <c r="C404" i="6"/>
  <c r="C426" i="6"/>
  <c r="C415" i="6"/>
  <c r="C45" i="6"/>
  <c r="D29" i="5"/>
  <c r="D16" i="5"/>
  <c r="D24" i="5"/>
  <c r="C39" i="5"/>
  <c r="V37" i="5" s="1"/>
  <c r="C52" i="7"/>
  <c r="C62" i="7" s="1"/>
  <c r="CV64" i="7"/>
  <c r="CV63" i="7"/>
  <c r="J8" i="16"/>
  <c r="F8" i="16"/>
  <c r="L8" i="16"/>
  <c r="H8" i="16"/>
  <c r="C238" i="15"/>
  <c r="C169" i="15"/>
  <c r="C82" i="15"/>
  <c r="C246" i="15"/>
  <c r="C177" i="15"/>
  <c r="C90" i="15"/>
  <c r="C262" i="15"/>
  <c r="C193" i="15"/>
  <c r="C106" i="15"/>
  <c r="C272" i="15"/>
  <c r="C116" i="15"/>
  <c r="C387" i="15" s="1"/>
  <c r="C203" i="15"/>
  <c r="C284" i="15"/>
  <c r="C215" i="15"/>
  <c r="C128" i="15"/>
  <c r="J168" i="15"/>
  <c r="AB5" i="15"/>
  <c r="U31" i="15"/>
  <c r="U43" i="15" s="1"/>
  <c r="U55" i="15" s="1"/>
  <c r="U19" i="15"/>
  <c r="C253" i="15"/>
  <c r="C184" i="15"/>
  <c r="C97" i="15"/>
  <c r="C195" i="15"/>
  <c r="C264" i="15"/>
  <c r="C108" i="15"/>
  <c r="C385" i="15" s="1"/>
  <c r="C286" i="15"/>
  <c r="C217" i="15"/>
  <c r="C130" i="15"/>
  <c r="O168" i="15"/>
  <c r="AG5" i="15"/>
  <c r="C247" i="15"/>
  <c r="C91" i="15"/>
  <c r="C178" i="15"/>
  <c r="C192" i="15"/>
  <c r="C261" i="15"/>
  <c r="C105" i="15"/>
  <c r="C277" i="15"/>
  <c r="C208" i="15"/>
  <c r="C121" i="15"/>
  <c r="C243" i="15"/>
  <c r="C87" i="15"/>
  <c r="C174" i="15"/>
  <c r="C188" i="15"/>
  <c r="C257" i="15"/>
  <c r="C101" i="15"/>
  <c r="C283" i="15"/>
  <c r="C214" i="15"/>
  <c r="C127" i="15"/>
  <c r="C232" i="15"/>
  <c r="C301" i="15"/>
  <c r="C145" i="15"/>
  <c r="C228" i="15"/>
  <c r="C141" i="15"/>
  <c r="C297" i="15"/>
  <c r="U99" i="15"/>
  <c r="U132" i="15"/>
  <c r="U121" i="15"/>
  <c r="U110" i="15"/>
  <c r="K8" i="16"/>
  <c r="G8" i="16"/>
  <c r="M8" i="16"/>
  <c r="I8" i="16"/>
  <c r="B104" i="16"/>
  <c r="B46" i="16"/>
  <c r="B57" i="16" s="1"/>
  <c r="E168" i="15"/>
  <c r="W5" i="15"/>
  <c r="U32" i="15"/>
  <c r="U44" i="15" s="1"/>
  <c r="U56" i="15" s="1"/>
  <c r="U20" i="15"/>
  <c r="C248" i="15"/>
  <c r="C92" i="15"/>
  <c r="C179" i="15"/>
  <c r="C269" i="15"/>
  <c r="C200" i="15"/>
  <c r="C113" i="15"/>
  <c r="C275" i="15"/>
  <c r="C206" i="15"/>
  <c r="C119" i="15"/>
  <c r="C285" i="15"/>
  <c r="C216" i="15"/>
  <c r="C129" i="15"/>
  <c r="N168" i="15"/>
  <c r="AF5" i="15"/>
  <c r="C241" i="15"/>
  <c r="C172" i="15"/>
  <c r="C85" i="15"/>
  <c r="C256" i="15"/>
  <c r="C100" i="15"/>
  <c r="C187" i="15"/>
  <c r="C199" i="15"/>
  <c r="C268" i="15"/>
  <c r="C112" i="15"/>
  <c r="C386" i="15"/>
  <c r="C288" i="15"/>
  <c r="C219" i="15"/>
  <c r="C132" i="15"/>
  <c r="C237" i="15"/>
  <c r="C168" i="15"/>
  <c r="C81" i="15"/>
  <c r="C240" i="15"/>
  <c r="C171" i="15"/>
  <c r="C84" i="15"/>
  <c r="C249" i="15"/>
  <c r="C180" i="15"/>
  <c r="C93" i="15"/>
  <c r="C265" i="15"/>
  <c r="C196" i="15"/>
  <c r="C109" i="15"/>
  <c r="C279" i="15"/>
  <c r="C210" i="15"/>
  <c r="C123" i="15"/>
  <c r="D168" i="15"/>
  <c r="V5" i="15"/>
  <c r="U36" i="15"/>
  <c r="U48" i="15" s="1"/>
  <c r="U60" i="15" s="1"/>
  <c r="U24" i="15"/>
  <c r="C263" i="15"/>
  <c r="C194" i="15"/>
  <c r="C107" i="15"/>
  <c r="C290" i="15"/>
  <c r="C221" i="15"/>
  <c r="C134" i="15"/>
  <c r="C287" i="15"/>
  <c r="C218" i="15"/>
  <c r="C131" i="15"/>
  <c r="N5" i="6"/>
  <c r="J5" i="6"/>
  <c r="L5" i="6"/>
  <c r="H5" i="6"/>
  <c r="AI141" i="16"/>
  <c r="AI133" i="16"/>
  <c r="B45" i="16"/>
  <c r="B56" i="16" s="1"/>
  <c r="B103" i="16"/>
  <c r="I168" i="15"/>
  <c r="AA5" i="15"/>
  <c r="C242" i="15"/>
  <c r="C173" i="15"/>
  <c r="C86" i="15"/>
  <c r="C255" i="15"/>
  <c r="C99" i="15"/>
  <c r="C186" i="15"/>
  <c r="C270" i="15"/>
  <c r="C201" i="15"/>
  <c r="C114" i="15"/>
  <c r="C278" i="15"/>
  <c r="C209" i="15"/>
  <c r="C122" i="15"/>
  <c r="C291" i="15"/>
  <c r="C222" i="15"/>
  <c r="C135" i="15"/>
  <c r="U23" i="15"/>
  <c r="U35" i="15"/>
  <c r="U47" i="15"/>
  <c r="U59" i="15" s="1"/>
  <c r="C102" i="15"/>
  <c r="C189" i="15"/>
  <c r="C258" i="15"/>
  <c r="C274" i="15"/>
  <c r="C205" i="15"/>
  <c r="C118" i="15"/>
  <c r="C295" i="15"/>
  <c r="C226" i="15"/>
  <c r="C139" i="15"/>
  <c r="G168" i="15"/>
  <c r="Y5" i="15"/>
  <c r="U22" i="15"/>
  <c r="U34" i="15"/>
  <c r="U46" i="15" s="1"/>
  <c r="U58" i="15" s="1"/>
  <c r="C250" i="15"/>
  <c r="C181" i="15"/>
  <c r="C94" i="15"/>
  <c r="C267" i="15"/>
  <c r="C198" i="15"/>
  <c r="C111" i="15"/>
  <c r="C281" i="15"/>
  <c r="C125" i="15"/>
  <c r="C212" i="15"/>
  <c r="H168" i="15"/>
  <c r="Z5" i="15"/>
  <c r="C239" i="15"/>
  <c r="C170" i="15"/>
  <c r="C83" i="15"/>
  <c r="C251" i="15"/>
  <c r="C95" i="15"/>
  <c r="C383" i="15" s="1"/>
  <c r="C182" i="15"/>
  <c r="C266" i="15"/>
  <c r="C197" i="15"/>
  <c r="C110" i="15"/>
  <c r="C292" i="15"/>
  <c r="C223" i="15"/>
  <c r="C136" i="15"/>
  <c r="C298" i="15"/>
  <c r="C229" i="15"/>
  <c r="C142" i="15"/>
  <c r="C389" i="15"/>
  <c r="C293" i="15"/>
  <c r="C137" i="15"/>
  <c r="C224" i="15"/>
  <c r="B58" i="16"/>
  <c r="B47" i="16"/>
  <c r="M168" i="15"/>
  <c r="AE5" i="15"/>
  <c r="U37" i="15"/>
  <c r="U49" i="15" s="1"/>
  <c r="U61" i="15" s="1"/>
  <c r="U25" i="15"/>
  <c r="C260" i="15"/>
  <c r="C191" i="15"/>
  <c r="C104" i="15"/>
  <c r="C271" i="15"/>
  <c r="C115" i="15"/>
  <c r="C202" i="15"/>
  <c r="C280" i="15"/>
  <c r="C211" i="15"/>
  <c r="C124" i="15"/>
  <c r="C296" i="15"/>
  <c r="C140" i="15"/>
  <c r="C227" i="15"/>
  <c r="F168" i="15"/>
  <c r="X5" i="15"/>
  <c r="U30" i="15"/>
  <c r="U42" i="15" s="1"/>
  <c r="U54" i="15" s="1"/>
  <c r="U18" i="15"/>
  <c r="C244" i="15"/>
  <c r="C175" i="15"/>
  <c r="C88" i="15"/>
  <c r="C259" i="15"/>
  <c r="C190" i="15"/>
  <c r="C103" i="15"/>
  <c r="C282" i="15"/>
  <c r="C213" i="15"/>
  <c r="C126" i="15"/>
  <c r="C302" i="15"/>
  <c r="C233" i="15"/>
  <c r="C146" i="15"/>
  <c r="K168" i="15"/>
  <c r="AC5" i="15"/>
  <c r="C245" i="15"/>
  <c r="C176" i="15"/>
  <c r="C89" i="15"/>
  <c r="C382" i="15" s="1"/>
  <c r="C252" i="15"/>
  <c r="C96" i="15"/>
  <c r="C183" i="15"/>
  <c r="C273" i="15"/>
  <c r="C204" i="15"/>
  <c r="C117" i="15"/>
  <c r="C289" i="15"/>
  <c r="C220" i="15"/>
  <c r="C133" i="15"/>
  <c r="C388" i="15" s="1"/>
  <c r="L168" i="15"/>
  <c r="AD5" i="15"/>
  <c r="U21" i="15"/>
  <c r="U33" i="15"/>
  <c r="U45" i="15" s="1"/>
  <c r="U57" i="15" s="1"/>
  <c r="C254" i="15"/>
  <c r="C185" i="15"/>
  <c r="C98" i="15"/>
  <c r="C384" i="15" s="1"/>
  <c r="C207" i="15"/>
  <c r="C276" i="15"/>
  <c r="C120" i="15"/>
  <c r="C300" i="15"/>
  <c r="C231" i="15"/>
  <c r="C144" i="15"/>
  <c r="C390" i="15" s="1"/>
  <c r="C299" i="15"/>
  <c r="C143" i="15"/>
  <c r="C230" i="15"/>
  <c r="C294" i="15"/>
  <c r="C138" i="15"/>
  <c r="C225" i="15"/>
  <c r="J173" i="16"/>
  <c r="J199" i="16"/>
  <c r="AJ137" i="16"/>
  <c r="J152" i="16"/>
  <c r="J202" i="16"/>
  <c r="J174" i="16"/>
  <c r="Z169" i="16"/>
  <c r="J164" i="16"/>
  <c r="J165" i="16"/>
  <c r="J156" i="16"/>
  <c r="J194" i="16"/>
  <c r="Z170" i="16"/>
  <c r="Z156" i="16"/>
  <c r="J168" i="16"/>
  <c r="Z160" i="16"/>
  <c r="Z159" i="16"/>
  <c r="Z176" i="16"/>
  <c r="Z165" i="16"/>
  <c r="Z172" i="16"/>
  <c r="J187" i="16"/>
  <c r="J192" i="16"/>
  <c r="J166" i="16"/>
  <c r="Z193" i="16"/>
  <c r="Z202" i="16"/>
  <c r="Z177" i="16"/>
  <c r="Z153" i="16"/>
  <c r="Z182" i="16"/>
  <c r="J146" i="16"/>
  <c r="J162" i="16"/>
  <c r="J191" i="16"/>
  <c r="J182" i="16"/>
  <c r="J171" i="16"/>
  <c r="J201" i="16"/>
  <c r="J155" i="16"/>
  <c r="Z154" i="16"/>
  <c r="Z146" i="16"/>
  <c r="Z179" i="16"/>
  <c r="J185" i="16"/>
  <c r="J175" i="16"/>
  <c r="Z180" i="16"/>
  <c r="Z195" i="16"/>
  <c r="J190" i="16"/>
  <c r="J143" i="16"/>
  <c r="J154" i="16"/>
  <c r="J163" i="16"/>
  <c r="Z145" i="16"/>
  <c r="Z188" i="16"/>
  <c r="Z157" i="16"/>
  <c r="Z200" i="16"/>
  <c r="Z185" i="16"/>
  <c r="Z163" i="16"/>
  <c r="Z151" i="16"/>
  <c r="J172" i="16"/>
  <c r="J200" i="16"/>
  <c r="J147" i="16"/>
  <c r="J186" i="16"/>
  <c r="J180" i="16"/>
  <c r="J150" i="16"/>
  <c r="J176" i="16"/>
  <c r="J179" i="16"/>
  <c r="J169" i="16"/>
  <c r="J198" i="16"/>
  <c r="J193" i="16"/>
  <c r="J184" i="16"/>
  <c r="J167" i="16"/>
  <c r="Z150" i="16"/>
  <c r="Z192" i="16"/>
  <c r="J170" i="16"/>
  <c r="J183" i="16"/>
  <c r="J181" i="16"/>
  <c r="J177" i="16"/>
  <c r="J151" i="16"/>
  <c r="J157" i="16"/>
  <c r="J195" i="16"/>
  <c r="J148" i="16"/>
  <c r="J159" i="16"/>
  <c r="J149" i="16"/>
  <c r="J160" i="16"/>
  <c r="Z147" i="16"/>
  <c r="Z196" i="16"/>
  <c r="Z166" i="16"/>
  <c r="J189" i="16"/>
  <c r="J158" i="16"/>
  <c r="J161" i="16"/>
  <c r="J178" i="16"/>
  <c r="J196" i="16"/>
  <c r="Z148" i="16"/>
  <c r="Z164" i="16"/>
  <c r="Z167" i="16"/>
  <c r="Z181" i="16"/>
  <c r="Z194" i="16"/>
  <c r="Z197" i="16"/>
  <c r="Z186" i="16"/>
  <c r="Z187" i="16"/>
  <c r="Z189" i="16"/>
  <c r="Z190" i="16"/>
  <c r="Z184" i="16"/>
  <c r="Z178" i="16"/>
  <c r="Z149" i="16"/>
  <c r="Z155" i="16"/>
  <c r="Z158" i="16"/>
  <c r="Z183" i="16"/>
  <c r="Z152" i="16"/>
  <c r="Z162" i="16"/>
  <c r="Z201" i="16"/>
  <c r="Z173" i="16"/>
  <c r="Z174" i="16"/>
  <c r="Z171" i="16"/>
  <c r="Z168" i="16"/>
  <c r="J197" i="16"/>
  <c r="L359" i="6"/>
  <c r="H397" i="6"/>
  <c r="M397" i="6" s="1"/>
  <c r="I397" i="6"/>
  <c r="N397" i="6"/>
  <c r="I403" i="6"/>
  <c r="N403" i="6" s="1"/>
  <c r="G381" i="6"/>
  <c r="F381" i="6"/>
  <c r="K381" i="6" s="1"/>
  <c r="H392" i="6"/>
  <c r="M392" i="6" s="1"/>
  <c r="X137" i="16"/>
  <c r="N414" i="6"/>
  <c r="AF376" i="6"/>
  <c r="M381" i="6"/>
  <c r="N137" i="16"/>
  <c r="E127" i="6"/>
  <c r="H101" i="6"/>
  <c r="H127" i="6"/>
  <c r="I102" i="6"/>
  <c r="H102" i="6"/>
  <c r="E129" i="6"/>
  <c r="I103" i="6"/>
  <c r="E128" i="6"/>
  <c r="E154" i="6" s="1"/>
  <c r="E180" i="6" s="1"/>
  <c r="E126" i="6"/>
  <c r="I100" i="6"/>
  <c r="E125" i="6"/>
  <c r="I127" i="6"/>
  <c r="E153" i="6"/>
  <c r="I156" i="6"/>
  <c r="I104" i="6"/>
  <c r="B115" i="6"/>
  <c r="B129" i="6"/>
  <c r="B114" i="6"/>
  <c r="B128" i="6"/>
  <c r="B113" i="6"/>
  <c r="B127" i="6"/>
  <c r="B111" i="6"/>
  <c r="B125" i="6"/>
  <c r="B112" i="6"/>
  <c r="B126" i="6"/>
  <c r="B110" i="6"/>
  <c r="B124" i="6"/>
  <c r="B104" i="6"/>
  <c r="CB65" i="15"/>
  <c r="BX65" i="15"/>
  <c r="BT65" i="15"/>
  <c r="BU141" i="15"/>
  <c r="CE65" i="15"/>
  <c r="CA65" i="15"/>
  <c r="BW65" i="15"/>
  <c r="BX141" i="15"/>
  <c r="CD65" i="15"/>
  <c r="BZ65" i="15"/>
  <c r="BV65" i="15"/>
  <c r="BW141" i="15"/>
  <c r="CC65" i="15"/>
  <c r="BV141" i="15"/>
  <c r="BY65" i="15"/>
  <c r="BU65" i="15"/>
  <c r="H137" i="16"/>
  <c r="AD137" i="16"/>
  <c r="AD140" i="16"/>
  <c r="AD41" i="15"/>
  <c r="AD17" i="15"/>
  <c r="Z41" i="15"/>
  <c r="Z17" i="15"/>
  <c r="AG41" i="15"/>
  <c r="AG17" i="15"/>
  <c r="AC41" i="15"/>
  <c r="AC17" i="15"/>
  <c r="X41" i="15"/>
  <c r="X17" i="15"/>
  <c r="AE41" i="15"/>
  <c r="AE17" i="15"/>
  <c r="Y41" i="15"/>
  <c r="Y17" i="15"/>
  <c r="AA41" i="15"/>
  <c r="AA17" i="15"/>
  <c r="V41" i="15"/>
  <c r="V17" i="15"/>
  <c r="AB41" i="15"/>
  <c r="AB17" i="15"/>
  <c r="AF41" i="15"/>
  <c r="AF17" i="15"/>
  <c r="W41" i="15"/>
  <c r="W17" i="15"/>
  <c r="N140" i="16"/>
  <c r="AG137" i="16"/>
  <c r="AG140" i="16"/>
  <c r="AG138" i="16"/>
  <c r="U137" i="16"/>
  <c r="U140" i="16"/>
  <c r="AJ140" i="16"/>
  <c r="X140" i="16"/>
  <c r="X139" i="16"/>
  <c r="H140" i="16"/>
  <c r="L381" i="6"/>
  <c r="H153" i="6"/>
  <c r="H128" i="6"/>
  <c r="E155" i="6"/>
  <c r="H129" i="6"/>
  <c r="I129" i="6"/>
  <c r="I126" i="6"/>
  <c r="I128" i="6"/>
  <c r="I154" i="6"/>
  <c r="I180" i="6"/>
  <c r="E152" i="6"/>
  <c r="H126" i="6"/>
  <c r="H125" i="6"/>
  <c r="E151" i="6"/>
  <c r="H151" i="6" s="1"/>
  <c r="I153" i="6"/>
  <c r="P194" i="6"/>
  <c r="B130" i="6"/>
  <c r="B137" i="6"/>
  <c r="B151" i="6"/>
  <c r="B140" i="6"/>
  <c r="B154" i="6"/>
  <c r="B136" i="6"/>
  <c r="B150" i="6"/>
  <c r="B138" i="6"/>
  <c r="B152" i="6"/>
  <c r="B139" i="6"/>
  <c r="B153" i="6"/>
  <c r="B141" i="6"/>
  <c r="B155" i="6"/>
  <c r="AD139" i="16"/>
  <c r="AD138" i="16"/>
  <c r="AF29" i="15"/>
  <c r="AF53" i="15"/>
  <c r="AF81" i="15" s="1"/>
  <c r="AF103" i="15" s="1"/>
  <c r="AG29" i="15"/>
  <c r="AG53" i="15"/>
  <c r="AG81" i="15" s="1"/>
  <c r="AD53" i="15"/>
  <c r="AD81" i="15" s="1"/>
  <c r="AD92" i="15" s="1"/>
  <c r="AD29" i="15"/>
  <c r="AB53" i="15"/>
  <c r="AB81" i="15" s="1"/>
  <c r="AB29" i="15"/>
  <c r="Y29" i="15"/>
  <c r="Y53" i="15"/>
  <c r="Y81" i="15" s="1"/>
  <c r="AE29" i="15"/>
  <c r="AE53" i="15"/>
  <c r="AE81" i="15"/>
  <c r="AE92" i="15" s="1"/>
  <c r="AC53" i="15"/>
  <c r="AC81" i="15"/>
  <c r="AC29" i="15"/>
  <c r="W53" i="15"/>
  <c r="W81" i="15" s="1"/>
  <c r="W92" i="15" s="1"/>
  <c r="W29" i="15"/>
  <c r="Z53" i="15"/>
  <c r="Z81" i="15" s="1"/>
  <c r="Z92" i="15" s="1"/>
  <c r="Z29" i="15"/>
  <c r="V53" i="15"/>
  <c r="V81" i="15"/>
  <c r="V29" i="15"/>
  <c r="AA53" i="15"/>
  <c r="AA81" i="15"/>
  <c r="AA29" i="15"/>
  <c r="X53" i="15"/>
  <c r="X81" i="15" s="1"/>
  <c r="X103" i="15" s="1"/>
  <c r="X29" i="15"/>
  <c r="N138" i="16"/>
  <c r="N139" i="16"/>
  <c r="AG139" i="16"/>
  <c r="AH175" i="16" s="1"/>
  <c r="AF175" i="16" s="1"/>
  <c r="U138" i="16"/>
  <c r="U139" i="16"/>
  <c r="AJ138" i="16"/>
  <c r="AJ139" i="16"/>
  <c r="Y149" i="16"/>
  <c r="Y147" i="16"/>
  <c r="Y144" i="16"/>
  <c r="X138" i="16"/>
  <c r="X166" i="16" s="1"/>
  <c r="Y145" i="16"/>
  <c r="H138" i="16"/>
  <c r="H139" i="16"/>
  <c r="H154" i="6"/>
  <c r="E181" i="6"/>
  <c r="I152" i="6"/>
  <c r="H152" i="6"/>
  <c r="E178" i="6"/>
  <c r="E177" i="6"/>
  <c r="H177" i="6" s="1"/>
  <c r="E179" i="6"/>
  <c r="B165" i="6"/>
  <c r="B179" i="6"/>
  <c r="B191" i="6" s="1"/>
  <c r="B163" i="6"/>
  <c r="B177" i="6"/>
  <c r="B189" i="6"/>
  <c r="B167" i="6"/>
  <c r="B181" i="6"/>
  <c r="B193" i="6"/>
  <c r="B164" i="6"/>
  <c r="B178" i="6"/>
  <c r="B190" i="6" s="1"/>
  <c r="B166" i="6"/>
  <c r="B180" i="6"/>
  <c r="B192" i="6" s="1"/>
  <c r="B156" i="6"/>
  <c r="B162" i="6"/>
  <c r="B176" i="6"/>
  <c r="B188" i="6" s="1"/>
  <c r="AE143" i="16"/>
  <c r="AC143" i="16" s="1"/>
  <c r="AE148" i="16"/>
  <c r="AE155" i="16"/>
  <c r="AE154" i="16"/>
  <c r="AE147" i="16"/>
  <c r="AE156" i="16"/>
  <c r="AE153" i="16"/>
  <c r="AE158" i="16"/>
  <c r="AD168" i="16"/>
  <c r="AE168" i="16"/>
  <c r="AD159" i="16"/>
  <c r="AE159" i="16"/>
  <c r="AC160" i="16" s="1"/>
  <c r="AE161" i="16"/>
  <c r="AD169" i="16"/>
  <c r="AD166" i="16"/>
  <c r="AE166" i="16"/>
  <c r="AD170" i="16"/>
  <c r="AE170" i="16"/>
  <c r="AE163" i="16"/>
  <c r="AD171" i="16"/>
  <c r="AE160" i="16"/>
  <c r="AD184" i="16"/>
  <c r="AD175" i="16"/>
  <c r="AE175" i="16"/>
  <c r="AD178" i="16"/>
  <c r="AE178" i="16"/>
  <c r="AD180" i="16"/>
  <c r="AE180" i="16"/>
  <c r="AD176" i="16"/>
  <c r="AE176" i="16"/>
  <c r="AD148" i="16"/>
  <c r="AD154" i="16"/>
  <c r="AD149" i="16"/>
  <c r="AD156" i="16"/>
  <c r="AD194" i="16"/>
  <c r="AE162" i="16"/>
  <c r="AD164" i="16"/>
  <c r="AE191" i="16"/>
  <c r="AD186" i="16"/>
  <c r="AE189" i="16"/>
  <c r="AC190" i="16" s="1"/>
  <c r="AD188" i="16"/>
  <c r="AE177" i="16"/>
  <c r="AC177" i="16"/>
  <c r="AD199" i="16"/>
  <c r="AE199" i="16"/>
  <c r="AE193" i="16"/>
  <c r="AD201" i="16"/>
  <c r="AD190" i="16"/>
  <c r="AE190" i="16"/>
  <c r="AD198" i="16"/>
  <c r="AE198" i="16"/>
  <c r="AD143" i="16"/>
  <c r="AD202" i="16"/>
  <c r="AE202" i="16"/>
  <c r="AD195" i="16"/>
  <c r="AD192" i="16"/>
  <c r="AE192" i="16"/>
  <c r="AC192" i="16" s="1"/>
  <c r="AD165" i="16"/>
  <c r="AE165" i="16"/>
  <c r="AD182" i="16"/>
  <c r="AE182" i="16"/>
  <c r="AD152" i="16"/>
  <c r="AD147" i="16"/>
  <c r="AD144" i="16"/>
  <c r="AD173" i="16"/>
  <c r="AE173" i="16"/>
  <c r="AD185" i="16"/>
  <c r="AE185" i="16"/>
  <c r="AD183" i="16"/>
  <c r="AE183" i="16"/>
  <c r="AD150" i="16"/>
  <c r="AD197" i="16"/>
  <c r="AE197" i="16"/>
  <c r="AC198" i="16" s="1"/>
  <c r="Y166" i="16"/>
  <c r="AE114" i="15"/>
  <c r="AE125" i="15"/>
  <c r="AD103" i="15"/>
  <c r="AD114" i="15"/>
  <c r="W114" i="15"/>
  <c r="W125" i="15"/>
  <c r="Y125" i="15"/>
  <c r="Y92" i="15"/>
  <c r="Y103" i="15"/>
  <c r="Y114" i="15"/>
  <c r="AF114" i="15"/>
  <c r="AF92" i="15"/>
  <c r="X114" i="15"/>
  <c r="X125" i="15"/>
  <c r="X92" i="15"/>
  <c r="AA103" i="15"/>
  <c r="AA114" i="15"/>
  <c r="AA125" i="15"/>
  <c r="AA92" i="15"/>
  <c r="AC125" i="15"/>
  <c r="AC92" i="15"/>
  <c r="AC103" i="15"/>
  <c r="AC114" i="15"/>
  <c r="AK173" i="16"/>
  <c r="AK193" i="16"/>
  <c r="AK171" i="16"/>
  <c r="O166" i="16"/>
  <c r="AG199" i="16"/>
  <c r="AH167" i="16"/>
  <c r="AG186" i="16"/>
  <c r="AH190" i="16"/>
  <c r="O152" i="16"/>
  <c r="O153" i="16"/>
  <c r="O154" i="16"/>
  <c r="AG193" i="16"/>
  <c r="AG153" i="16"/>
  <c r="O175" i="16"/>
  <c r="AG168" i="16"/>
  <c r="AG197" i="16"/>
  <c r="AG163" i="16"/>
  <c r="AG195" i="16"/>
  <c r="AH186" i="16"/>
  <c r="AH199" i="16"/>
  <c r="AH174" i="16"/>
  <c r="AG148" i="16"/>
  <c r="AG179" i="16"/>
  <c r="AG202" i="16"/>
  <c r="AG147" i="16"/>
  <c r="AH149" i="16"/>
  <c r="AH161" i="16"/>
  <c r="N145" i="16"/>
  <c r="N162" i="16"/>
  <c r="N177" i="16"/>
  <c r="N190" i="16"/>
  <c r="N174" i="16"/>
  <c r="N150" i="16"/>
  <c r="AH163" i="16"/>
  <c r="AG158" i="16"/>
  <c r="AG160" i="16"/>
  <c r="AG170" i="16"/>
  <c r="AG189" i="16"/>
  <c r="AH170" i="16"/>
  <c r="AH195" i="16"/>
  <c r="AH178" i="16"/>
  <c r="AH150" i="16"/>
  <c r="AH193" i="16"/>
  <c r="AH143" i="16"/>
  <c r="AF143" i="16"/>
  <c r="AH159" i="16"/>
  <c r="AG155" i="16"/>
  <c r="AG156" i="16"/>
  <c r="AG181" i="16"/>
  <c r="AG159" i="16"/>
  <c r="AG152" i="16"/>
  <c r="AG200" i="16"/>
  <c r="AG157" i="16"/>
  <c r="AG149" i="16"/>
  <c r="AG172" i="16"/>
  <c r="AG180" i="16"/>
  <c r="AG161" i="16"/>
  <c r="AG182" i="16"/>
  <c r="AG146" i="16"/>
  <c r="AG154" i="16"/>
  <c r="AG190" i="16"/>
  <c r="AH183" i="16"/>
  <c r="AH176" i="16"/>
  <c r="AH152" i="16"/>
  <c r="AH172" i="16"/>
  <c r="AH155" i="16"/>
  <c r="AH188" i="16"/>
  <c r="AH164" i="16"/>
  <c r="AH187" i="16"/>
  <c r="AH177" i="16"/>
  <c r="AH165" i="16"/>
  <c r="AH158" i="16"/>
  <c r="AH171" i="16"/>
  <c r="AH200" i="16"/>
  <c r="AH184" i="16"/>
  <c r="AG196" i="16"/>
  <c r="AG188" i="16"/>
  <c r="AG165" i="16"/>
  <c r="AG162" i="16"/>
  <c r="AG144" i="16"/>
  <c r="AG143" i="16"/>
  <c r="AG178" i="16"/>
  <c r="AG175" i="16"/>
  <c r="AG201" i="16"/>
  <c r="AG177" i="16"/>
  <c r="AG167" i="16"/>
  <c r="AG192" i="16"/>
  <c r="AG174" i="16"/>
  <c r="AG198" i="16"/>
  <c r="AH154" i="16"/>
  <c r="AH196" i="16"/>
  <c r="AH169" i="16"/>
  <c r="AH160" i="16"/>
  <c r="AH148" i="16"/>
  <c r="AH153" i="16"/>
  <c r="AH201" i="16"/>
  <c r="AH144" i="16"/>
  <c r="AF144" i="16" s="1"/>
  <c r="AH194" i="16"/>
  <c r="AH166" i="16"/>
  <c r="AH157" i="16"/>
  <c r="AH179" i="16"/>
  <c r="AF179" i="16" s="1"/>
  <c r="AH198" i="16"/>
  <c r="AH168" i="16"/>
  <c r="AH191" i="16"/>
  <c r="AH145" i="16"/>
  <c r="AF145" i="16" s="1"/>
  <c r="AG171" i="16"/>
  <c r="AG145" i="16"/>
  <c r="AG164" i="16"/>
  <c r="AG185" i="16"/>
  <c r="AG169" i="16"/>
  <c r="AG194" i="16"/>
  <c r="AG183" i="16"/>
  <c r="AG187" i="16"/>
  <c r="AG166" i="16"/>
  <c r="AG191" i="16"/>
  <c r="AG184" i="16"/>
  <c r="AG150" i="16"/>
  <c r="AG176" i="16"/>
  <c r="AG151" i="16"/>
  <c r="AG173" i="16"/>
  <c r="AH180" i="16"/>
  <c r="AF180" i="16" s="1"/>
  <c r="AH146" i="16"/>
  <c r="AH185" i="16"/>
  <c r="AF185" i="16" s="1"/>
  <c r="AH173" i="16"/>
  <c r="AH147" i="16"/>
  <c r="AH197" i="16"/>
  <c r="AH181" i="16"/>
  <c r="AH156" i="16"/>
  <c r="AH182" i="16"/>
  <c r="AH189" i="16"/>
  <c r="AH151" i="16"/>
  <c r="AH162" i="16"/>
  <c r="AH192" i="16"/>
  <c r="AH202" i="16"/>
  <c r="AK168" i="16"/>
  <c r="AK165" i="16"/>
  <c r="AK191" i="16"/>
  <c r="AK185" i="16"/>
  <c r="AK163" i="16"/>
  <c r="AK192" i="16"/>
  <c r="AI192" i="16" s="1"/>
  <c r="AK157" i="16"/>
  <c r="AK146" i="16"/>
  <c r="AK151" i="16"/>
  <c r="AK177" i="16"/>
  <c r="AK190" i="16"/>
  <c r="AK156" i="16"/>
  <c r="AK174" i="16"/>
  <c r="AK199" i="16"/>
  <c r="AK176" i="16"/>
  <c r="AK158" i="16"/>
  <c r="AK198" i="16"/>
  <c r="AK167" i="16"/>
  <c r="AK161" i="16"/>
  <c r="AK162" i="16"/>
  <c r="AI162" i="16" s="1"/>
  <c r="AK147" i="16"/>
  <c r="AI147" i="16" s="1"/>
  <c r="AK183" i="16"/>
  <c r="AK189" i="16"/>
  <c r="U159" i="16"/>
  <c r="V159" i="16"/>
  <c r="U171" i="16"/>
  <c r="V171" i="16"/>
  <c r="U172" i="16"/>
  <c r="V172" i="16"/>
  <c r="U188" i="16"/>
  <c r="V188" i="16"/>
  <c r="U167" i="16"/>
  <c r="V167" i="16"/>
  <c r="U199" i="16"/>
  <c r="V199" i="16"/>
  <c r="U174" i="16"/>
  <c r="V174" i="16"/>
  <c r="U197" i="16"/>
  <c r="V197" i="16"/>
  <c r="U183" i="16"/>
  <c r="V183" i="16"/>
  <c r="U170" i="16"/>
  <c r="V170" i="16"/>
  <c r="U193" i="16"/>
  <c r="V193" i="16"/>
  <c r="U169" i="16"/>
  <c r="V169" i="16"/>
  <c r="U192" i="16"/>
  <c r="V192" i="16"/>
  <c r="U160" i="16"/>
  <c r="V160" i="16"/>
  <c r="U157" i="16"/>
  <c r="V157" i="16"/>
  <c r="U195" i="16"/>
  <c r="V195" i="16"/>
  <c r="U196" i="16"/>
  <c r="V196" i="16"/>
  <c r="T197" i="16" s="1"/>
  <c r="U156" i="16"/>
  <c r="V156" i="16"/>
  <c r="U202" i="16"/>
  <c r="V202" i="16"/>
  <c r="U198" i="16"/>
  <c r="V198" i="16"/>
  <c r="T198" i="16" s="1"/>
  <c r="U166" i="16"/>
  <c r="V166" i="16"/>
  <c r="U173" i="16"/>
  <c r="V173" i="16"/>
  <c r="U145" i="16"/>
  <c r="V145" i="16"/>
  <c r="U194" i="16"/>
  <c r="V194" i="16"/>
  <c r="U162" i="16"/>
  <c r="V162" i="16"/>
  <c r="U149" i="16"/>
  <c r="V149" i="16"/>
  <c r="U185" i="16"/>
  <c r="V185" i="16"/>
  <c r="T185" i="16" s="1"/>
  <c r="U184" i="16"/>
  <c r="V184" i="16"/>
  <c r="U152" i="16"/>
  <c r="V152" i="16"/>
  <c r="U189" i="16"/>
  <c r="V189" i="16"/>
  <c r="T189" i="16" s="1"/>
  <c r="U164" i="16"/>
  <c r="V164" i="16"/>
  <c r="U180" i="16"/>
  <c r="V180" i="16"/>
  <c r="U187" i="16"/>
  <c r="V187" i="16"/>
  <c r="T187" i="16" s="1"/>
  <c r="U190" i="16"/>
  <c r="V190" i="16"/>
  <c r="U158" i="16"/>
  <c r="V158" i="16"/>
  <c r="T158" i="16" s="1"/>
  <c r="U191" i="16"/>
  <c r="V191" i="16"/>
  <c r="T191" i="16" s="1"/>
  <c r="U179" i="16"/>
  <c r="V179" i="16"/>
  <c r="U186" i="16"/>
  <c r="V186" i="16"/>
  <c r="U154" i="16"/>
  <c r="V154" i="16"/>
  <c r="U177" i="16"/>
  <c r="V177" i="16"/>
  <c r="U163" i="16"/>
  <c r="V163" i="16"/>
  <c r="T163" i="16" s="1"/>
  <c r="U176" i="16"/>
  <c r="V176" i="16"/>
  <c r="U143" i="16"/>
  <c r="V143" i="16"/>
  <c r="U175" i="16"/>
  <c r="V175" i="16"/>
  <c r="U161" i="16"/>
  <c r="V161" i="16"/>
  <c r="U151" i="16"/>
  <c r="V151" i="16"/>
  <c r="U148" i="16"/>
  <c r="V148" i="16"/>
  <c r="U165" i="16"/>
  <c r="V165" i="16"/>
  <c r="U182" i="16"/>
  <c r="V182" i="16"/>
  <c r="U150" i="16"/>
  <c r="V150" i="16"/>
  <c r="U153" i="16"/>
  <c r="V153" i="16"/>
  <c r="U155" i="16"/>
  <c r="V155" i="16"/>
  <c r="U178" i="16"/>
  <c r="V178" i="16"/>
  <c r="U144" i="16"/>
  <c r="V144" i="16"/>
  <c r="U146" i="16"/>
  <c r="V146" i="16"/>
  <c r="T147" i="16" s="1"/>
  <c r="U147" i="16"/>
  <c r="V147" i="16"/>
  <c r="U200" i="16"/>
  <c r="V200" i="16"/>
  <c r="U168" i="16"/>
  <c r="V168" i="16"/>
  <c r="U201" i="16"/>
  <c r="V201" i="16"/>
  <c r="U181" i="16"/>
  <c r="V181" i="16"/>
  <c r="AK153" i="16"/>
  <c r="AK166" i="16"/>
  <c r="AK184" i="16"/>
  <c r="AI184" i="16" s="1"/>
  <c r="AK188" i="16"/>
  <c r="AK169" i="16"/>
  <c r="AK150" i="16"/>
  <c r="AJ155" i="16"/>
  <c r="AJ153" i="16"/>
  <c r="AJ191" i="16"/>
  <c r="AJ164" i="16"/>
  <c r="AJ163" i="16"/>
  <c r="AJ160" i="16"/>
  <c r="AJ181" i="16"/>
  <c r="AJ187" i="16"/>
  <c r="AJ151" i="16"/>
  <c r="AJ199" i="16"/>
  <c r="AJ193" i="16"/>
  <c r="AJ192" i="16"/>
  <c r="AJ188" i="16"/>
  <c r="AJ186" i="16"/>
  <c r="AJ198" i="16"/>
  <c r="AJ152" i="16"/>
  <c r="AJ175" i="16"/>
  <c r="AJ147" i="16"/>
  <c r="AJ194" i="16"/>
  <c r="AJ202" i="16"/>
  <c r="AJ173" i="16"/>
  <c r="AJ171" i="16"/>
  <c r="AJ161" i="16"/>
  <c r="AJ146" i="16"/>
  <c r="AJ200" i="16"/>
  <c r="AJ177" i="16"/>
  <c r="AJ145" i="16"/>
  <c r="AJ190" i="16"/>
  <c r="AJ158" i="16"/>
  <c r="AJ169" i="16"/>
  <c r="AJ185" i="16"/>
  <c r="AJ180" i="16"/>
  <c r="AJ159" i="16"/>
  <c r="AK148" i="16"/>
  <c r="AI148" i="16" s="1"/>
  <c r="X196" i="16"/>
  <c r="Y196" i="16"/>
  <c r="X180" i="16"/>
  <c r="Y180" i="16"/>
  <c r="X197" i="16"/>
  <c r="Y197" i="16"/>
  <c r="X146" i="16"/>
  <c r="X178" i="16"/>
  <c r="Y178" i="16"/>
  <c r="X172" i="16"/>
  <c r="Y172" i="16"/>
  <c r="X201" i="16"/>
  <c r="Y201" i="16"/>
  <c r="X187" i="16"/>
  <c r="Y187" i="16"/>
  <c r="X159" i="16"/>
  <c r="Y159" i="16"/>
  <c r="X169" i="16"/>
  <c r="Y169" i="16"/>
  <c r="X174" i="16"/>
  <c r="Y174" i="16"/>
  <c r="X176" i="16"/>
  <c r="Y176" i="16"/>
  <c r="X160" i="16"/>
  <c r="Y160" i="16"/>
  <c r="W160" i="16" s="1"/>
  <c r="X173" i="16"/>
  <c r="Y173" i="16"/>
  <c r="X170" i="16"/>
  <c r="Y170" i="16"/>
  <c r="X188" i="16"/>
  <c r="Y188" i="16"/>
  <c r="X163" i="16"/>
  <c r="Y163" i="16"/>
  <c r="X145" i="16"/>
  <c r="X184" i="16"/>
  <c r="Y184" i="16"/>
  <c r="X156" i="16"/>
  <c r="Y156" i="16"/>
  <c r="X147" i="16"/>
  <c r="X154" i="16"/>
  <c r="Y154" i="16"/>
  <c r="X161" i="16"/>
  <c r="Y161" i="16"/>
  <c r="X152" i="16"/>
  <c r="Y152" i="16"/>
  <c r="X157" i="16"/>
  <c r="Y157" i="16"/>
  <c r="X151" i="16"/>
  <c r="Y151" i="16"/>
  <c r="X200" i="16"/>
  <c r="Y200" i="16"/>
  <c r="X190" i="16"/>
  <c r="Y190" i="16"/>
  <c r="X149" i="16"/>
  <c r="X193" i="16"/>
  <c r="Y193" i="16"/>
  <c r="X189" i="16"/>
  <c r="Y189" i="16"/>
  <c r="W190" i="16" s="1"/>
  <c r="X195" i="16"/>
  <c r="Y195" i="16"/>
  <c r="X202" i="16"/>
  <c r="Y202" i="16"/>
  <c r="W202" i="16" s="1"/>
  <c r="X162" i="16"/>
  <c r="Y162" i="16"/>
  <c r="X181" i="16"/>
  <c r="Y181" i="16"/>
  <c r="W181" i="16" s="1"/>
  <c r="X179" i="16"/>
  <c r="Y179" i="16"/>
  <c r="X177" i="16"/>
  <c r="Y177" i="16"/>
  <c r="W177" i="16" s="1"/>
  <c r="X185" i="16"/>
  <c r="Y185" i="16"/>
  <c r="X186" i="16"/>
  <c r="Y186" i="16"/>
  <c r="X143" i="16"/>
  <c r="X183" i="16"/>
  <c r="Y183" i="16"/>
  <c r="X144" i="16"/>
  <c r="X171" i="16"/>
  <c r="Y171" i="16"/>
  <c r="X148" i="16"/>
  <c r="X191" i="16"/>
  <c r="Y191" i="16"/>
  <c r="X150" i="16"/>
  <c r="X199" i="16"/>
  <c r="Y199" i="16"/>
  <c r="X165" i="16"/>
  <c r="Y165" i="16"/>
  <c r="X175" i="16"/>
  <c r="Y175" i="16"/>
  <c r="X192" i="16"/>
  <c r="Y192" i="16"/>
  <c r="X198" i="16"/>
  <c r="Y198" i="16"/>
  <c r="X167" i="16"/>
  <c r="Y167" i="16"/>
  <c r="X194" i="16"/>
  <c r="Y194" i="16"/>
  <c r="X164" i="16"/>
  <c r="Y164" i="16"/>
  <c r="X168" i="16"/>
  <c r="Y168" i="16"/>
  <c r="X153" i="16"/>
  <c r="Y153" i="16"/>
  <c r="X155" i="16"/>
  <c r="Y155" i="16"/>
  <c r="X182" i="16"/>
  <c r="Y182" i="16"/>
  <c r="W182" i="16" s="1"/>
  <c r="X158" i="16"/>
  <c r="Y158" i="16"/>
  <c r="W145" i="16"/>
  <c r="H201" i="16"/>
  <c r="H197" i="16"/>
  <c r="H193" i="16"/>
  <c r="H189" i="16"/>
  <c r="H185" i="16"/>
  <c r="H181" i="16"/>
  <c r="H177" i="16"/>
  <c r="H173" i="16"/>
  <c r="H169" i="16"/>
  <c r="H165" i="16"/>
  <c r="H161" i="16"/>
  <c r="H157" i="16"/>
  <c r="H153" i="16"/>
  <c r="H149" i="16"/>
  <c r="H145" i="16"/>
  <c r="H191" i="16"/>
  <c r="H183" i="16"/>
  <c r="H175" i="16"/>
  <c r="H171" i="16"/>
  <c r="H167" i="16"/>
  <c r="H159" i="16"/>
  <c r="H147" i="16"/>
  <c r="H202" i="16"/>
  <c r="H198" i="16"/>
  <c r="H194" i="16"/>
  <c r="H190" i="16"/>
  <c r="H186" i="16"/>
  <c r="H182" i="16"/>
  <c r="H178" i="16"/>
  <c r="H174" i="16"/>
  <c r="H170" i="16"/>
  <c r="H166" i="16"/>
  <c r="H162" i="16"/>
  <c r="H158" i="16"/>
  <c r="H154" i="16"/>
  <c r="H150" i="16"/>
  <c r="H146" i="16"/>
  <c r="H199" i="16"/>
  <c r="H195" i="16"/>
  <c r="H187" i="16"/>
  <c r="H179" i="16"/>
  <c r="H163" i="16"/>
  <c r="H155" i="16"/>
  <c r="H151" i="16"/>
  <c r="H143" i="16"/>
  <c r="I143" i="16"/>
  <c r="G143" i="16" s="1"/>
  <c r="H200" i="16"/>
  <c r="H196" i="16"/>
  <c r="H192" i="16"/>
  <c r="H188" i="16"/>
  <c r="H184" i="16"/>
  <c r="H180" i="16"/>
  <c r="H176" i="16"/>
  <c r="H172" i="16"/>
  <c r="H168" i="16"/>
  <c r="H164" i="16"/>
  <c r="H160" i="16"/>
  <c r="H156" i="16"/>
  <c r="H152" i="16"/>
  <c r="H148" i="16"/>
  <c r="H144" i="16"/>
  <c r="H180" i="6"/>
  <c r="I181" i="6"/>
  <c r="H178" i="6"/>
  <c r="I178" i="6"/>
  <c r="H179" i="6"/>
  <c r="B182" i="6"/>
  <c r="AC156" i="16"/>
  <c r="AC183" i="16"/>
  <c r="AC199" i="16"/>
  <c r="AC162" i="16"/>
  <c r="AC178" i="16"/>
  <c r="AC161" i="16"/>
  <c r="W153" i="16"/>
  <c r="W186" i="16"/>
  <c r="W201" i="16"/>
  <c r="W195" i="16"/>
  <c r="W188" i="16"/>
  <c r="W174" i="16"/>
  <c r="W176" i="16"/>
  <c r="W194" i="16"/>
  <c r="W173" i="16"/>
  <c r="W175" i="16"/>
  <c r="W199" i="16"/>
  <c r="W156" i="16"/>
  <c r="W169" i="16"/>
  <c r="W191" i="16"/>
  <c r="W187" i="16"/>
  <c r="W168" i="16"/>
  <c r="W159" i="16"/>
  <c r="W178" i="16"/>
  <c r="W183" i="16"/>
  <c r="W172" i="16"/>
  <c r="W180" i="16"/>
  <c r="AI191" i="16"/>
  <c r="AI190" i="16"/>
  <c r="AF149" i="16"/>
  <c r="AF196" i="16"/>
  <c r="AF187" i="16"/>
  <c r="AF168" i="16"/>
  <c r="M154" i="16"/>
  <c r="AF191" i="16"/>
  <c r="AF155" i="16"/>
  <c r="AF184" i="16"/>
  <c r="AF150" i="16"/>
  <c r="AF171" i="16"/>
  <c r="AF156" i="16"/>
  <c r="AF160" i="16"/>
  <c r="AF188" i="16"/>
  <c r="AF189" i="16"/>
  <c r="AF197" i="16"/>
  <c r="AF195" i="16"/>
  <c r="AF151" i="16"/>
  <c r="AF152" i="16"/>
  <c r="AF147" i="16"/>
  <c r="AF183" i="16"/>
  <c r="AF190" i="16"/>
  <c r="AF154" i="16"/>
  <c r="AF172" i="16"/>
  <c r="AF178" i="16"/>
  <c r="AI185" i="16"/>
  <c r="AI199" i="16"/>
  <c r="T181" i="16"/>
  <c r="T151" i="16"/>
  <c r="T182" i="16"/>
  <c r="T178" i="16"/>
  <c r="T150" i="16"/>
  <c r="T199" i="16"/>
  <c r="T195" i="16"/>
  <c r="T177" i="16"/>
  <c r="T200" i="16"/>
  <c r="T146" i="16"/>
  <c r="T170" i="16"/>
  <c r="T161" i="16"/>
  <c r="T190" i="16"/>
  <c r="T201" i="16"/>
  <c r="T149" i="16"/>
  <c r="T148" i="16"/>
  <c r="AI169" i="16"/>
  <c r="I144" i="16"/>
  <c r="I193" i="16"/>
  <c r="I202" i="16"/>
  <c r="I145" i="16"/>
  <c r="I186" i="16"/>
  <c r="I196" i="16"/>
  <c r="I177" i="16"/>
  <c r="I170" i="16"/>
  <c r="I154" i="16"/>
  <c r="I161" i="16"/>
  <c r="I195" i="16"/>
  <c r="I164" i="16"/>
  <c r="G164" i="16" s="1"/>
  <c r="I148" i="16"/>
  <c r="I151" i="16"/>
  <c r="I150" i="16"/>
  <c r="I199" i="16"/>
  <c r="I163" i="16"/>
  <c r="I176" i="16"/>
  <c r="I167" i="16"/>
  <c r="I157" i="16"/>
  <c r="I184" i="16"/>
  <c r="I166" i="16"/>
  <c r="I147" i="16"/>
  <c r="I182" i="16"/>
  <c r="I173" i="16"/>
  <c r="I198" i="16"/>
  <c r="I189" i="16"/>
  <c r="I156" i="16"/>
  <c r="I183" i="16"/>
  <c r="I188" i="16"/>
  <c r="I179" i="16"/>
  <c r="I158" i="16"/>
  <c r="I187" i="16"/>
  <c r="I160" i="16"/>
  <c r="I149" i="16"/>
  <c r="I178" i="16"/>
  <c r="G179" i="16" s="1"/>
  <c r="I162" i="16"/>
  <c r="I194" i="16"/>
  <c r="G194" i="16" s="1"/>
  <c r="I146" i="16"/>
  <c r="I200" i="16"/>
  <c r="G200" i="16" s="1"/>
  <c r="I171" i="16"/>
  <c r="I197" i="16"/>
  <c r="I152" i="16"/>
  <c r="I191" i="16"/>
  <c r="I180" i="16"/>
  <c r="I175" i="16"/>
  <c r="G175" i="16" s="1"/>
  <c r="I172" i="16"/>
  <c r="I155" i="16"/>
  <c r="I181" i="16"/>
  <c r="I168" i="16"/>
  <c r="I159" i="16"/>
  <c r="I153" i="16"/>
  <c r="I174" i="16"/>
  <c r="I192" i="16"/>
  <c r="I165" i="16"/>
  <c r="G166" i="16" s="1"/>
  <c r="I185" i="16"/>
  <c r="I169" i="16"/>
  <c r="I201" i="16"/>
  <c r="I190" i="16"/>
  <c r="G193" i="16"/>
  <c r="G187" i="16"/>
  <c r="G177" i="16"/>
  <c r="G196" i="16"/>
  <c r="G151" i="16"/>
  <c r="G147" i="16"/>
  <c r="G182" i="16"/>
  <c r="G157" i="16"/>
  <c r="G150" i="16"/>
  <c r="G146" i="16"/>
  <c r="G167" i="16"/>
  <c r="G152" i="16"/>
  <c r="G172" i="16"/>
  <c r="G199" i="16"/>
  <c r="G188" i="16"/>
  <c r="G173" i="16"/>
  <c r="G174" i="16"/>
  <c r="G160" i="16"/>
  <c r="G158" i="16"/>
  <c r="G192" i="16"/>
  <c r="G178" i="16"/>
  <c r="G190" i="16"/>
  <c r="G191" i="16"/>
  <c r="G159" i="16"/>
  <c r="G153" i="16"/>
  <c r="K383" i="6"/>
  <c r="L394" i="6"/>
  <c r="N416" i="6"/>
  <c r="N405" i="6"/>
  <c r="BW135" i="15" l="1"/>
  <c r="BV115" i="15"/>
  <c r="P9" i="8"/>
  <c r="D43" i="8" s="1"/>
  <c r="D68" i="8" s="1"/>
  <c r="CF64" i="15"/>
  <c r="BT140" i="15" s="1"/>
  <c r="CF57" i="15"/>
  <c r="BT133" i="15" s="1"/>
  <c r="BX59" i="15"/>
  <c r="CF58" i="15"/>
  <c r="BT134" i="15" s="1"/>
  <c r="CE54" i="15"/>
  <c r="CF52" i="15"/>
  <c r="BT128" i="15" s="1"/>
  <c r="CF9" i="15"/>
  <c r="BT85" i="15" s="1"/>
  <c r="P23" i="15"/>
  <c r="D99" i="15" s="1"/>
  <c r="CF25" i="15"/>
  <c r="BT101" i="15" s="1"/>
  <c r="BU39" i="15"/>
  <c r="I359" i="6"/>
  <c r="AB359" i="6"/>
  <c r="AB360" i="6" s="1"/>
  <c r="V359" i="6"/>
  <c r="V360" i="6" s="1"/>
  <c r="Z359" i="6"/>
  <c r="Z360" i="6" s="1"/>
  <c r="AE359" i="6"/>
  <c r="AE360" i="6" s="1"/>
  <c r="J105" i="6"/>
  <c r="D83" i="6"/>
  <c r="N380" i="6"/>
  <c r="K380" i="6"/>
  <c r="M391" i="6"/>
  <c r="R359" i="6"/>
  <c r="I404" i="6"/>
  <c r="M402" i="6"/>
  <c r="L392" i="6"/>
  <c r="G399" i="6"/>
  <c r="E123" i="6"/>
  <c r="I391" i="6"/>
  <c r="O353" i="6"/>
  <c r="I382" i="6" s="1"/>
  <c r="N382" i="6" s="1"/>
  <c r="P353" i="6"/>
  <c r="P359" i="6" s="1"/>
  <c r="F353" i="6"/>
  <c r="M353" i="6"/>
  <c r="H404" i="6" s="1"/>
  <c r="M404" i="6" s="1"/>
  <c r="M367" i="6"/>
  <c r="N367" i="6"/>
  <c r="P367" i="6"/>
  <c r="R368" i="6"/>
  <c r="S368" i="6"/>
  <c r="H403" i="6"/>
  <c r="M403" i="6" s="1"/>
  <c r="E98" i="6"/>
  <c r="U359" i="6"/>
  <c r="U360" i="6" s="1"/>
  <c r="U361" i="6" s="1"/>
  <c r="V361" i="6" s="1"/>
  <c r="W361" i="6" s="1"/>
  <c r="X361" i="6" s="1"/>
  <c r="Y361" i="6" s="1"/>
  <c r="Z361" i="6" s="1"/>
  <c r="AA361" i="6" s="1"/>
  <c r="I367" i="6"/>
  <c r="W20" i="6"/>
  <c r="R367" i="6"/>
  <c r="S367" i="6"/>
  <c r="W19" i="6"/>
  <c r="H353" i="6"/>
  <c r="S353" i="6"/>
  <c r="K353" i="6"/>
  <c r="D85" i="6"/>
  <c r="W13" i="6"/>
  <c r="J367" i="6"/>
  <c r="K367" i="6"/>
  <c r="L369" i="6"/>
  <c r="M369" i="6"/>
  <c r="N369" i="6"/>
  <c r="E34" i="5"/>
  <c r="E35" i="5" s="1"/>
  <c r="F34" i="5"/>
  <c r="P24" i="2"/>
  <c r="D69" i="2" s="1"/>
  <c r="E45" i="2"/>
  <c r="E46" i="2" s="1"/>
  <c r="I45" i="2"/>
  <c r="I46" i="2" s="1"/>
  <c r="M45" i="2"/>
  <c r="M46" i="2" s="1"/>
  <c r="J45" i="2"/>
  <c r="J46" i="2" s="1"/>
  <c r="N45" i="2"/>
  <c r="N46" i="2" s="1"/>
  <c r="P44" i="2"/>
  <c r="D89" i="2" s="1"/>
  <c r="D45" i="2"/>
  <c r="D46" i="2" s="1"/>
  <c r="G90" i="2"/>
  <c r="W189" i="16"/>
  <c r="W200" i="16"/>
  <c r="W157" i="16"/>
  <c r="G161" i="16"/>
  <c r="W196" i="16"/>
  <c r="T165" i="16"/>
  <c r="T152" i="16"/>
  <c r="T162" i="16"/>
  <c r="T145" i="16"/>
  <c r="T166" i="16"/>
  <c r="T202" i="16"/>
  <c r="T157" i="16"/>
  <c r="H98" i="6"/>
  <c r="H105" i="6" s="1"/>
  <c r="E124" i="6"/>
  <c r="G176" i="16"/>
  <c r="G169" i="16"/>
  <c r="G186" i="16"/>
  <c r="W192" i="16"/>
  <c r="W163" i="16"/>
  <c r="W179" i="16"/>
  <c r="W185" i="16"/>
  <c r="T176" i="16"/>
  <c r="T156" i="16"/>
  <c r="T169" i="16"/>
  <c r="AI157" i="16"/>
  <c r="AF169" i="16"/>
  <c r="AF158" i="16"/>
  <c r="AF153" i="16"/>
  <c r="AC193" i="16"/>
  <c r="AC191" i="16"/>
  <c r="T192" i="16"/>
  <c r="T193" i="16"/>
  <c r="T183" i="16"/>
  <c r="T175" i="16"/>
  <c r="T172" i="16"/>
  <c r="AI167" i="16"/>
  <c r="AI177" i="16"/>
  <c r="AI193" i="16"/>
  <c r="AF192" i="16"/>
  <c r="AF198" i="16"/>
  <c r="AF176" i="16"/>
  <c r="AF170" i="16"/>
  <c r="AF161" i="16"/>
  <c r="AI166" i="16"/>
  <c r="AF146" i="16"/>
  <c r="AF148" i="16"/>
  <c r="AF159" i="16"/>
  <c r="AC166" i="16"/>
  <c r="AC155" i="16"/>
  <c r="W166" i="16"/>
  <c r="AC163" i="16"/>
  <c r="C4" i="2"/>
  <c r="D122" i="6" s="1"/>
  <c r="L29" i="8"/>
  <c r="F28" i="8"/>
  <c r="D29" i="8"/>
  <c r="E28" i="8"/>
  <c r="G29" i="8"/>
  <c r="K29" i="8"/>
  <c r="J29" i="8"/>
  <c r="M28" i="8"/>
  <c r="BX135" i="15"/>
  <c r="BW115" i="15"/>
  <c r="CA39" i="15"/>
  <c r="BO25" i="15"/>
  <c r="BC101" i="15" s="1"/>
  <c r="BO44" i="15"/>
  <c r="BC120" i="15" s="1"/>
  <c r="BO61" i="15"/>
  <c r="BC137" i="15" s="1"/>
  <c r="BO63" i="15"/>
  <c r="BC139" i="15" s="1"/>
  <c r="BO65" i="15"/>
  <c r="BC141" i="15" s="1"/>
  <c r="CF12" i="15"/>
  <c r="BT88" i="15" s="1"/>
  <c r="CF26" i="15"/>
  <c r="BT102" i="15" s="1"/>
  <c r="CF32" i="15"/>
  <c r="BT108" i="15" s="1"/>
  <c r="CF38" i="15"/>
  <c r="BT114" i="15" s="1"/>
  <c r="CF42" i="15"/>
  <c r="BT118" i="15" s="1"/>
  <c r="CF43" i="15"/>
  <c r="BT119" i="15" s="1"/>
  <c r="CF44" i="15"/>
  <c r="BT120" i="15" s="1"/>
  <c r="CF53" i="15"/>
  <c r="BT129" i="15" s="1"/>
  <c r="CF65" i="15"/>
  <c r="BT141" i="15" s="1"/>
  <c r="BU135" i="15"/>
  <c r="CF11" i="15"/>
  <c r="BT87" i="15" s="1"/>
  <c r="CA54" i="15"/>
  <c r="CD39" i="15"/>
  <c r="BV54" i="15"/>
  <c r="CF20" i="15"/>
  <c r="BT96" i="15" s="1"/>
  <c r="BZ39" i="15"/>
  <c r="CC59" i="15"/>
  <c r="CF56" i="15"/>
  <c r="BT132" i="15" s="1"/>
  <c r="BT59" i="15"/>
  <c r="BV27" i="15"/>
  <c r="BZ27" i="15"/>
  <c r="BU27" i="15"/>
  <c r="BY27" i="15"/>
  <c r="BU59" i="15"/>
  <c r="BY59" i="15"/>
  <c r="W152" i="16"/>
  <c r="W197" i="16"/>
  <c r="W198" i="16"/>
  <c r="T143" i="16"/>
  <c r="T144" i="16"/>
  <c r="T155" i="16"/>
  <c r="T154" i="16"/>
  <c r="T179" i="16"/>
  <c r="T180" i="16"/>
  <c r="AC148" i="16"/>
  <c r="AB103" i="15"/>
  <c r="AB125" i="15"/>
  <c r="AB92" i="15"/>
  <c r="G181" i="16"/>
  <c r="G180" i="16"/>
  <c r="O172" i="16"/>
  <c r="O143" i="16"/>
  <c r="O184" i="16"/>
  <c r="O156" i="16"/>
  <c r="O200" i="16"/>
  <c r="O151" i="16"/>
  <c r="O168" i="16"/>
  <c r="O158" i="16"/>
  <c r="O188" i="16"/>
  <c r="O148" i="16"/>
  <c r="O187" i="16"/>
  <c r="O163" i="16"/>
  <c r="O198" i="16"/>
  <c r="O196" i="16"/>
  <c r="O173" i="16"/>
  <c r="O182" i="16"/>
  <c r="O145" i="16"/>
  <c r="N200" i="16"/>
  <c r="N160" i="16"/>
  <c r="N202" i="16"/>
  <c r="N185" i="16"/>
  <c r="N184" i="16"/>
  <c r="N167" i="16"/>
  <c r="N187" i="16"/>
  <c r="N198" i="16"/>
  <c r="N176" i="16"/>
  <c r="N188" i="16"/>
  <c r="N147" i="16"/>
  <c r="N182" i="16"/>
  <c r="N168" i="16"/>
  <c r="N180" i="16"/>
  <c r="N171" i="16"/>
  <c r="O180" i="16"/>
  <c r="O167" i="16"/>
  <c r="M167" i="16" s="1"/>
  <c r="O178" i="16"/>
  <c r="O201" i="16"/>
  <c r="M201" i="16" s="1"/>
  <c r="O179" i="16"/>
  <c r="O162" i="16"/>
  <c r="O174" i="16"/>
  <c r="M174" i="16" s="1"/>
  <c r="O193" i="16"/>
  <c r="O191" i="16"/>
  <c r="O170" i="16"/>
  <c r="O161" i="16"/>
  <c r="O149" i="16"/>
  <c r="O185" i="16"/>
  <c r="O199" i="16"/>
  <c r="M199" i="16" s="1"/>
  <c r="O157" i="16"/>
  <c r="N165" i="16"/>
  <c r="N172" i="16"/>
  <c r="N153" i="16"/>
  <c r="N143" i="16"/>
  <c r="N186" i="16"/>
  <c r="N181" i="16"/>
  <c r="N191" i="16"/>
  <c r="N179" i="16"/>
  <c r="N173" i="16"/>
  <c r="N183" i="16"/>
  <c r="N154" i="16"/>
  <c r="O171" i="16"/>
  <c r="O189" i="16"/>
  <c r="O202" i="16"/>
  <c r="O164" i="16"/>
  <c r="O144" i="16"/>
  <c r="O177" i="16"/>
  <c r="O194" i="16"/>
  <c r="O165" i="16"/>
  <c r="O147" i="16"/>
  <c r="O159" i="16"/>
  <c r="N192" i="16"/>
  <c r="N195" i="16"/>
  <c r="N170" i="16"/>
  <c r="N199" i="16"/>
  <c r="N155" i="16"/>
  <c r="N189" i="16"/>
  <c r="N159" i="16"/>
  <c r="N194" i="16"/>
  <c r="N158" i="16"/>
  <c r="N151" i="16"/>
  <c r="N178" i="16"/>
  <c r="O190" i="16"/>
  <c r="O197" i="16"/>
  <c r="O181" i="16"/>
  <c r="O192" i="16"/>
  <c r="M192" i="16" s="1"/>
  <c r="O195" i="16"/>
  <c r="M195" i="16" s="1"/>
  <c r="O155" i="16"/>
  <c r="M155" i="16" s="1"/>
  <c r="O160" i="16"/>
  <c r="M160" i="16" s="1"/>
  <c r="O183" i="16"/>
  <c r="O150" i="16"/>
  <c r="M150" i="16" s="1"/>
  <c r="N175" i="16"/>
  <c r="N163" i="16"/>
  <c r="N149" i="16"/>
  <c r="N196" i="16"/>
  <c r="N146" i="16"/>
  <c r="N157" i="16"/>
  <c r="N156" i="16"/>
  <c r="N201" i="16"/>
  <c r="N144" i="16"/>
  <c r="N148" i="16"/>
  <c r="N193" i="16"/>
  <c r="V125" i="15"/>
  <c r="V103" i="15"/>
  <c r="V114" i="15"/>
  <c r="G155" i="16"/>
  <c r="T184" i="16"/>
  <c r="T196" i="16"/>
  <c r="M152" i="16"/>
  <c r="AC159" i="16"/>
  <c r="AI189" i="16"/>
  <c r="T173" i="16"/>
  <c r="T188" i="16"/>
  <c r="AI163" i="16"/>
  <c r="AF157" i="16"/>
  <c r="N169" i="16"/>
  <c r="N164" i="16"/>
  <c r="N197" i="16"/>
  <c r="O176" i="16"/>
  <c r="M176" i="16" s="1"/>
  <c r="O169" i="16"/>
  <c r="V92" i="15"/>
  <c r="AC176" i="16"/>
  <c r="I179" i="6"/>
  <c r="G183" i="16"/>
  <c r="W155" i="16"/>
  <c r="W154" i="16"/>
  <c r="W171" i="16"/>
  <c r="W170" i="16"/>
  <c r="T167" i="16"/>
  <c r="T168" i="16"/>
  <c r="T159" i="16"/>
  <c r="Z125" i="15"/>
  <c r="Z103" i="15"/>
  <c r="Z114" i="15"/>
  <c r="G201" i="16"/>
  <c r="G184" i="16"/>
  <c r="G185" i="16"/>
  <c r="T164" i="16"/>
  <c r="AI151" i="16"/>
  <c r="AF162" i="16"/>
  <c r="AF163" i="16"/>
  <c r="AF174" i="16"/>
  <c r="AF173" i="16"/>
  <c r="M153" i="16"/>
  <c r="AB114" i="15"/>
  <c r="G148" i="16"/>
  <c r="G198" i="16"/>
  <c r="G170" i="16"/>
  <c r="G171" i="16"/>
  <c r="AF181" i="16"/>
  <c r="W164" i="16"/>
  <c r="T174" i="16"/>
  <c r="AF167" i="16"/>
  <c r="AF166" i="16"/>
  <c r="AF202" i="16"/>
  <c r="AF201" i="16"/>
  <c r="AF164" i="16"/>
  <c r="AF165" i="16"/>
  <c r="N161" i="16"/>
  <c r="N166" i="16"/>
  <c r="N152" i="16"/>
  <c r="O146" i="16"/>
  <c r="O186" i="16"/>
  <c r="AG114" i="15"/>
  <c r="AG125" i="15"/>
  <c r="AG92" i="15"/>
  <c r="AG103" i="15"/>
  <c r="G202" i="16"/>
  <c r="AI168" i="16"/>
  <c r="AF194" i="16"/>
  <c r="AF193" i="16"/>
  <c r="AF199" i="16"/>
  <c r="G165" i="16"/>
  <c r="G162" i="16"/>
  <c r="G163" i="16"/>
  <c r="G154" i="16"/>
  <c r="AF200" i="16"/>
  <c r="AF186" i="16"/>
  <c r="W184" i="16"/>
  <c r="AC154" i="16"/>
  <c r="W167" i="16"/>
  <c r="W165" i="16"/>
  <c r="W161" i="16"/>
  <c r="T186" i="16"/>
  <c r="T194" i="16"/>
  <c r="T160" i="16"/>
  <c r="T171" i="16"/>
  <c r="AI158" i="16"/>
  <c r="AI174" i="16"/>
  <c r="AF177" i="16"/>
  <c r="H181" i="6"/>
  <c r="AK195" i="16"/>
  <c r="AK178" i="16"/>
  <c r="AI178" i="16" s="1"/>
  <c r="AK186" i="16"/>
  <c r="AI186" i="16" s="1"/>
  <c r="AK149" i="16"/>
  <c r="AI149" i="16" s="1"/>
  <c r="AK144" i="16"/>
  <c r="AK172" i="16"/>
  <c r="AI172" i="16" s="1"/>
  <c r="AK145" i="16"/>
  <c r="AK160" i="16"/>
  <c r="AK202" i="16"/>
  <c r="AK182" i="16"/>
  <c r="AI182" i="16" s="1"/>
  <c r="AK181" i="16"/>
  <c r="AK194" i="16"/>
  <c r="AI194" i="16" s="1"/>
  <c r="AK180" i="16"/>
  <c r="AK196" i="16"/>
  <c r="AI196" i="16" s="1"/>
  <c r="AK154" i="16"/>
  <c r="AI154" i="16" s="1"/>
  <c r="AJ148" i="16"/>
  <c r="AJ196" i="16"/>
  <c r="AJ165" i="16"/>
  <c r="AJ201" i="16"/>
  <c r="AJ174" i="16"/>
  <c r="AJ154" i="16"/>
  <c r="AJ149" i="16"/>
  <c r="AJ179" i="16"/>
  <c r="AJ170" i="16"/>
  <c r="AJ162" i="16"/>
  <c r="AJ168" i="16"/>
  <c r="AJ166" i="16"/>
  <c r="AJ178" i="16"/>
  <c r="AJ176" i="16"/>
  <c r="AJ172" i="16"/>
  <c r="G197" i="16"/>
  <c r="G168" i="16"/>
  <c r="G149" i="16"/>
  <c r="G156" i="16"/>
  <c r="G144" i="16"/>
  <c r="G189" i="16"/>
  <c r="G195" i="16"/>
  <c r="G145" i="16"/>
  <c r="W158" i="16"/>
  <c r="W193" i="16"/>
  <c r="W162" i="16"/>
  <c r="AJ183" i="16"/>
  <c r="AJ184" i="16"/>
  <c r="AJ197" i="16"/>
  <c r="AJ144" i="16"/>
  <c r="AJ167" i="16"/>
  <c r="AJ150" i="16"/>
  <c r="AJ189" i="16"/>
  <c r="AJ157" i="16"/>
  <c r="AJ143" i="16"/>
  <c r="AJ182" i="16"/>
  <c r="AJ195" i="16"/>
  <c r="AJ156" i="16"/>
  <c r="AK155" i="16"/>
  <c r="AI155" i="16" s="1"/>
  <c r="AK164" i="16"/>
  <c r="T153" i="16"/>
  <c r="AK200" i="16"/>
  <c r="AI200" i="16" s="1"/>
  <c r="AK179" i="16"/>
  <c r="AK143" i="16"/>
  <c r="AI143" i="16" s="1"/>
  <c r="AK197" i="16"/>
  <c r="AK175" i="16"/>
  <c r="AK152" i="16"/>
  <c r="AI152" i="16" s="1"/>
  <c r="AK187" i="16"/>
  <c r="AI187" i="16" s="1"/>
  <c r="AK170" i="16"/>
  <c r="AK201" i="16"/>
  <c r="AI201" i="16" s="1"/>
  <c r="AF182" i="16"/>
  <c r="AK159" i="16"/>
  <c r="AI159" i="16" s="1"/>
  <c r="AF125" i="15"/>
  <c r="W103" i="15"/>
  <c r="AD125" i="15"/>
  <c r="AE103" i="15"/>
  <c r="AD187" i="16"/>
  <c r="AD146" i="16"/>
  <c r="AD174" i="16"/>
  <c r="AD196" i="16"/>
  <c r="AD181" i="16"/>
  <c r="AD200" i="16"/>
  <c r="AD167" i="16"/>
  <c r="AD157" i="16"/>
  <c r="AD179" i="16"/>
  <c r="AD172" i="16"/>
  <c r="AD155" i="16"/>
  <c r="AD151" i="16"/>
  <c r="AD161" i="16"/>
  <c r="AD158" i="16"/>
  <c r="AD163" i="16"/>
  <c r="AD160" i="16"/>
  <c r="AD145" i="16"/>
  <c r="AD153" i="16"/>
  <c r="AD162" i="16"/>
  <c r="AD191" i="16"/>
  <c r="AD189" i="16"/>
  <c r="AD177" i="16"/>
  <c r="AD193" i="16"/>
  <c r="Y148" i="16"/>
  <c r="W148" i="16" s="1"/>
  <c r="Y150" i="16"/>
  <c r="W150" i="16" s="1"/>
  <c r="Y146" i="16"/>
  <c r="Y143" i="16"/>
  <c r="AE144" i="16"/>
  <c r="AC144" i="16" s="1"/>
  <c r="AE145" i="16"/>
  <c r="AE195" i="16"/>
  <c r="AC195" i="16" s="1"/>
  <c r="AE146" i="16"/>
  <c r="AC146" i="16" s="1"/>
  <c r="AE169" i="16"/>
  <c r="AC169" i="16" s="1"/>
  <c r="AE171" i="16"/>
  <c r="AC171" i="16" s="1"/>
  <c r="AE184" i="16"/>
  <c r="AE194" i="16"/>
  <c r="AC194" i="16" s="1"/>
  <c r="AE164" i="16"/>
  <c r="AE186" i="16"/>
  <c r="AC186" i="16" s="1"/>
  <c r="AE188" i="16"/>
  <c r="AE201" i="16"/>
  <c r="AC201" i="16" s="1"/>
  <c r="AE157" i="16"/>
  <c r="AE149" i="16"/>
  <c r="AC149" i="16" s="1"/>
  <c r="AE152" i="16"/>
  <c r="AE150" i="16"/>
  <c r="AC150" i="16" s="1"/>
  <c r="AE151" i="16"/>
  <c r="AE187" i="16"/>
  <c r="AC187" i="16" s="1"/>
  <c r="AE174" i="16"/>
  <c r="AC174" i="16" s="1"/>
  <c r="AE196" i="16"/>
  <c r="AE181" i="16"/>
  <c r="AC181" i="16" s="1"/>
  <c r="AE200" i="16"/>
  <c r="AC200" i="16" s="1"/>
  <c r="AE167" i="16"/>
  <c r="AE179" i="16"/>
  <c r="AE172" i="16"/>
  <c r="AC172" i="16" s="1"/>
  <c r="B97" i="6"/>
  <c r="B83" i="6"/>
  <c r="C201" i="6"/>
  <c r="C202" i="6"/>
  <c r="B64" i="6"/>
  <c r="B58" i="6"/>
  <c r="P5" i="6"/>
  <c r="C200" i="6"/>
  <c r="E29" i="8"/>
  <c r="BU102" i="15"/>
  <c r="BU103" i="15" s="1"/>
  <c r="BW102" i="15"/>
  <c r="BW103" i="15" s="1"/>
  <c r="F88" i="6"/>
  <c r="E88" i="6"/>
  <c r="D88" i="6"/>
  <c r="BC31" i="15"/>
  <c r="BJ31" i="15"/>
  <c r="BD31" i="15"/>
  <c r="BI31" i="15"/>
  <c r="BF31" i="15"/>
  <c r="BH31" i="15"/>
  <c r="B263" i="15"/>
  <c r="BK31" i="15"/>
  <c r="BL31" i="15"/>
  <c r="BM31" i="15"/>
  <c r="BG31" i="15"/>
  <c r="A107" i="15"/>
  <c r="BN31" i="15"/>
  <c r="BE31" i="15"/>
  <c r="B194" i="15"/>
  <c r="BW8" i="15"/>
  <c r="CB8" i="15"/>
  <c r="BT8" i="15"/>
  <c r="B240" i="15"/>
  <c r="CC8" i="15"/>
  <c r="BV8" i="15"/>
  <c r="BY8" i="15"/>
  <c r="B171" i="15"/>
  <c r="CE8" i="15"/>
  <c r="BX8" i="15"/>
  <c r="BU8" i="15"/>
  <c r="BZ8" i="15"/>
  <c r="A84" i="15"/>
  <c r="CD8" i="15"/>
  <c r="BW10" i="15"/>
  <c r="CD10" i="15"/>
  <c r="CB10" i="15"/>
  <c r="BZ10" i="15"/>
  <c r="BY10" i="15"/>
  <c r="BV10" i="15"/>
  <c r="B173" i="15"/>
  <c r="CE10" i="15"/>
  <c r="BU10" i="15"/>
  <c r="BT10" i="15"/>
  <c r="B242" i="15"/>
  <c r="CC10" i="15"/>
  <c r="A86" i="15"/>
  <c r="CA10" i="15"/>
  <c r="CA13" i="15" s="1"/>
  <c r="CX88" i="15"/>
  <c r="DB12" i="15"/>
  <c r="BW19" i="15"/>
  <c r="CC19" i="15"/>
  <c r="BY19" i="15"/>
  <c r="CD19" i="15"/>
  <c r="BU19" i="15"/>
  <c r="BX19" i="15"/>
  <c r="B182" i="15"/>
  <c r="CE19" i="15"/>
  <c r="BZ19" i="15"/>
  <c r="CB19" i="15"/>
  <c r="CA19" i="15"/>
  <c r="B251" i="15"/>
  <c r="BV19" i="15"/>
  <c r="A95" i="15"/>
  <c r="BW21" i="15"/>
  <c r="CC21" i="15"/>
  <c r="BY21" i="15"/>
  <c r="CD21" i="15"/>
  <c r="BU21" i="15"/>
  <c r="BX21" i="15"/>
  <c r="B253" i="15"/>
  <c r="B184" i="15"/>
  <c r="CE21" i="15"/>
  <c r="BZ21" i="15"/>
  <c r="CB21" i="15"/>
  <c r="CA21" i="15"/>
  <c r="BV21" i="15"/>
  <c r="BT21" i="15"/>
  <c r="A97" i="15"/>
  <c r="BW29" i="15"/>
  <c r="BY29" i="15"/>
  <c r="CB29" i="15"/>
  <c r="CD29" i="15"/>
  <c r="BX29" i="15"/>
  <c r="BT29" i="15"/>
  <c r="CE29" i="15"/>
  <c r="BZ29" i="15"/>
  <c r="CC29" i="15"/>
  <c r="BV29" i="15"/>
  <c r="A105" i="15"/>
  <c r="BU29" i="15"/>
  <c r="B261" i="15"/>
  <c r="B256" i="15"/>
  <c r="B192" i="15"/>
  <c r="CX108" i="15"/>
  <c r="DB32" i="15"/>
  <c r="DB36" i="15"/>
  <c r="CX112" i="15"/>
  <c r="CA41" i="15"/>
  <c r="CA46" i="15" s="1"/>
  <c r="CD41" i="15"/>
  <c r="CD46" i="15" s="1"/>
  <c r="BV41" i="15"/>
  <c r="BV46" i="15" s="1"/>
  <c r="BU41" i="15"/>
  <c r="BU46" i="15" s="1"/>
  <c r="BT41" i="15"/>
  <c r="BX41" i="15"/>
  <c r="BX46" i="15" s="1"/>
  <c r="B204" i="15"/>
  <c r="A117" i="15"/>
  <c r="CE41" i="15"/>
  <c r="CE46" i="15" s="1"/>
  <c r="BW41" i="15"/>
  <c r="BW46" i="15" s="1"/>
  <c r="BZ41" i="15"/>
  <c r="BZ46" i="15" s="1"/>
  <c r="CC41" i="15"/>
  <c r="CC46" i="15" s="1"/>
  <c r="CB41" i="15"/>
  <c r="CB46" i="15" s="1"/>
  <c r="BY41" i="15"/>
  <c r="BY46" i="15" s="1"/>
  <c r="B273" i="15"/>
  <c r="CX124" i="15"/>
  <c r="DB48" i="15"/>
  <c r="CX126" i="15"/>
  <c r="DB50" i="15"/>
  <c r="BW62" i="15"/>
  <c r="BY62" i="15"/>
  <c r="CB62" i="15"/>
  <c r="B225" i="15"/>
  <c r="A138" i="15"/>
  <c r="CD62" i="15"/>
  <c r="BU62" i="15"/>
  <c r="BT62" i="15"/>
  <c r="CE62" i="15"/>
  <c r="BZ62" i="15"/>
  <c r="BX62" i="15"/>
  <c r="CA62" i="15"/>
  <c r="BV62" i="15"/>
  <c r="B294" i="15"/>
  <c r="CC62" i="15"/>
  <c r="H29" i="8"/>
  <c r="O28" i="8"/>
  <c r="J28" i="8"/>
  <c r="F29" i="8"/>
  <c r="O29" i="8"/>
  <c r="Q19" i="5"/>
  <c r="E53" i="5" s="1"/>
  <c r="F45" i="2"/>
  <c r="F46" i="2" s="1"/>
  <c r="AJ11" i="5"/>
  <c r="G11" i="5"/>
  <c r="O34" i="5"/>
  <c r="BX114" i="15"/>
  <c r="BX115" i="15" s="1"/>
  <c r="BU114" i="15"/>
  <c r="BU115" i="15" s="1"/>
  <c r="BT19" i="15"/>
  <c r="AJ19" i="5"/>
  <c r="D82" i="2"/>
  <c r="P39" i="2"/>
  <c r="J34" i="5"/>
  <c r="L34" i="5"/>
  <c r="J358" i="6"/>
  <c r="D130" i="6"/>
  <c r="I13" i="6"/>
  <c r="BX10" i="15"/>
  <c r="AH37" i="15"/>
  <c r="BD120" i="15"/>
  <c r="BW120" i="15"/>
  <c r="BX120" i="15"/>
  <c r="BW118" i="15"/>
  <c r="BO230" i="15"/>
  <c r="BO232" i="15" s="1"/>
  <c r="A124" i="15"/>
  <c r="A126" i="15"/>
  <c r="B211" i="15"/>
  <c r="B213" i="15"/>
  <c r="B248" i="15"/>
  <c r="B268" i="15"/>
  <c r="BU16" i="15"/>
  <c r="CA16" i="15"/>
  <c r="BX50" i="15"/>
  <c r="CD50" i="15"/>
  <c r="CD54" i="15" s="1"/>
  <c r="BU48" i="15"/>
  <c r="BZ48" i="15"/>
  <c r="BZ54" i="15" s="1"/>
  <c r="BX36" i="15"/>
  <c r="BX39" i="15" s="1"/>
  <c r="BV36" i="15"/>
  <c r="BV39" i="15" s="1"/>
  <c r="CE36" i="15"/>
  <c r="CE39" i="15" s="1"/>
  <c r="BC18" i="15"/>
  <c r="BN18" i="15"/>
  <c r="BH18" i="15"/>
  <c r="BW15" i="15"/>
  <c r="BY15" i="15"/>
  <c r="CB15" i="15"/>
  <c r="BW17" i="15"/>
  <c r="BY17" i="15"/>
  <c r="BT17" i="15"/>
  <c r="BW35" i="15"/>
  <c r="BY35" i="15"/>
  <c r="CB35" i="15"/>
  <c r="CB39" i="15" s="1"/>
  <c r="BW37" i="15"/>
  <c r="BY37" i="15"/>
  <c r="BT37" i="15"/>
  <c r="BW49" i="15"/>
  <c r="CC49" i="15"/>
  <c r="CC54" i="15" s="1"/>
  <c r="BY49" i="15"/>
  <c r="BW51" i="15"/>
  <c r="CC51" i="15"/>
  <c r="BT51" i="15"/>
  <c r="Q31" i="5"/>
  <c r="E65" i="5" s="1"/>
  <c r="J131" i="6"/>
  <c r="E83" i="6"/>
  <c r="F83" i="6"/>
  <c r="A92" i="15"/>
  <c r="B280" i="15"/>
  <c r="BX16" i="15"/>
  <c r="BV16" i="15"/>
  <c r="BU50" i="15"/>
  <c r="BX48" i="15"/>
  <c r="BT36" i="15"/>
  <c r="G81" i="6"/>
  <c r="F87" i="6"/>
  <c r="BW16" i="15"/>
  <c r="CC16" i="15"/>
  <c r="BY16" i="15"/>
  <c r="BW36" i="15"/>
  <c r="CC36" i="15"/>
  <c r="CC39" i="15" s="1"/>
  <c r="BY36" i="15"/>
  <c r="BW48" i="15"/>
  <c r="BW54" i="15" s="1"/>
  <c r="BY48" i="15"/>
  <c r="CB48" i="15"/>
  <c r="CB54" i="15" s="1"/>
  <c r="BW50" i="15"/>
  <c r="BY50" i="15"/>
  <c r="BT50" i="15"/>
  <c r="F84" i="6"/>
  <c r="I72" i="6"/>
  <c r="I98" i="6" s="1"/>
  <c r="D84" i="6"/>
  <c r="G84" i="6"/>
  <c r="J77" i="6"/>
  <c r="I77" i="6"/>
  <c r="F89" i="6"/>
  <c r="D89" i="6"/>
  <c r="I74" i="6"/>
  <c r="AA18" i="6"/>
  <c r="AC16" i="6"/>
  <c r="AC20" i="6"/>
  <c r="AC13" i="6"/>
  <c r="AC17" i="6"/>
  <c r="AC21" i="6"/>
  <c r="AC24" i="6"/>
  <c r="AC8" i="6"/>
  <c r="AC14" i="6"/>
  <c r="AC18" i="6"/>
  <c r="AC22" i="6"/>
  <c r="Y19" i="6"/>
  <c r="E84" i="6"/>
  <c r="H74" i="6"/>
  <c r="D86" i="6" s="1"/>
  <c r="J74" i="6"/>
  <c r="J129" i="6"/>
  <c r="G155" i="6"/>
  <c r="I73" i="6"/>
  <c r="I99" i="6" s="1"/>
  <c r="F85" i="6"/>
  <c r="J73" i="6"/>
  <c r="J79" i="6" s="1"/>
  <c r="E85" i="6"/>
  <c r="B168" i="6"/>
  <c r="AA17" i="6"/>
  <c r="AC19" i="6"/>
  <c r="I71" i="6"/>
  <c r="I97" i="6" s="1"/>
  <c r="J183" i="6"/>
  <c r="AA22" i="6"/>
  <c r="W23" i="6"/>
  <c r="W22" i="6"/>
  <c r="W18" i="6"/>
  <c r="W15" i="6"/>
  <c r="W21" i="6"/>
  <c r="W17" i="6"/>
  <c r="W14" i="6"/>
  <c r="AC15" i="6"/>
  <c r="M1" i="13"/>
  <c r="AA15" i="6"/>
  <c r="AA25" i="6" s="1"/>
  <c r="AA19" i="6"/>
  <c r="AA23" i="6"/>
  <c r="AA16" i="6"/>
  <c r="AA20" i="6"/>
  <c r="AA24" i="6"/>
  <c r="N375" i="6"/>
  <c r="J20" i="8" s="1"/>
  <c r="T375" i="6"/>
  <c r="O20" i="8" s="1"/>
  <c r="Y16" i="6"/>
  <c r="Y20" i="6"/>
  <c r="Y24" i="6"/>
  <c r="Y13" i="6"/>
  <c r="Y25" i="6" s="1"/>
  <c r="Y17" i="6"/>
  <c r="Y21" i="6"/>
  <c r="Y14" i="6"/>
  <c r="Y18" i="6"/>
  <c r="Y22" i="6"/>
  <c r="Y8" i="6"/>
  <c r="J370" i="6"/>
  <c r="J375" i="6" s="1"/>
  <c r="F20" i="8" s="1"/>
  <c r="M370" i="6"/>
  <c r="O368" i="6"/>
  <c r="O375" i="6" s="1"/>
  <c r="K20" i="8" s="1"/>
  <c r="R370" i="6"/>
  <c r="R375" i="6" s="1"/>
  <c r="M20" i="8" s="1"/>
  <c r="G1" i="13"/>
  <c r="C2" i="13"/>
  <c r="AE22" i="6"/>
  <c r="AE18" i="6"/>
  <c r="AE14" i="6"/>
  <c r="AE25" i="6" s="1"/>
  <c r="B2" i="5"/>
  <c r="H368" i="6"/>
  <c r="H375" i="6" s="1"/>
  <c r="H370" i="6"/>
  <c r="I368" i="6"/>
  <c r="I375" i="6" s="1"/>
  <c r="E20" i="8" s="1"/>
  <c r="K370" i="6"/>
  <c r="L368" i="6"/>
  <c r="L375" i="6" s="1"/>
  <c r="H20" i="8" s="1"/>
  <c r="N370" i="6"/>
  <c r="P368" i="6"/>
  <c r="P375" i="6" s="1"/>
  <c r="L20" i="8" s="1"/>
  <c r="S370" i="6"/>
  <c r="AE21" i="6"/>
  <c r="AE17" i="6"/>
  <c r="AE24" i="6"/>
  <c r="AE20" i="6"/>
  <c r="F201" i="6" l="1"/>
  <c r="D105" i="6"/>
  <c r="F202" i="6" s="1"/>
  <c r="AB361" i="6"/>
  <c r="AC361" i="6" s="1"/>
  <c r="AD361" i="6" s="1"/>
  <c r="AE361" i="6" s="1"/>
  <c r="AF361" i="6" s="1"/>
  <c r="AF362" i="6" s="1"/>
  <c r="AG362" i="6" s="1"/>
  <c r="G86" i="6"/>
  <c r="H410" i="6"/>
  <c r="M359" i="6"/>
  <c r="N360" i="6" s="1"/>
  <c r="S375" i="6"/>
  <c r="N20" i="8" s="1"/>
  <c r="K375" i="6"/>
  <c r="G20" i="8" s="1"/>
  <c r="M375" i="6"/>
  <c r="I20" i="8" s="1"/>
  <c r="I21" i="8" s="1"/>
  <c r="I15" i="8" s="1"/>
  <c r="AG361" i="6"/>
  <c r="AH361" i="6" s="1"/>
  <c r="AI361" i="6" s="1"/>
  <c r="AJ361" i="6" s="1"/>
  <c r="AK361" i="6" s="1"/>
  <c r="AL361" i="6" s="1"/>
  <c r="AM361" i="6" s="1"/>
  <c r="AN361" i="6" s="1"/>
  <c r="AO361" i="6" s="1"/>
  <c r="AP361" i="6" s="1"/>
  <c r="AQ361" i="6" s="1"/>
  <c r="AR361" i="6" s="1"/>
  <c r="H393" i="6"/>
  <c r="I393" i="6"/>
  <c r="N393" i="6" s="1"/>
  <c r="H382" i="6"/>
  <c r="K359" i="6"/>
  <c r="I415" i="6"/>
  <c r="S359" i="6"/>
  <c r="O359" i="6"/>
  <c r="E149" i="6"/>
  <c r="H123" i="6"/>
  <c r="I388" i="6"/>
  <c r="H359" i="6"/>
  <c r="G382" i="6"/>
  <c r="F382" i="6"/>
  <c r="F359" i="6"/>
  <c r="G360" i="6" s="1"/>
  <c r="N391" i="6"/>
  <c r="N404" i="6"/>
  <c r="I410" i="6"/>
  <c r="F35" i="5"/>
  <c r="P46" i="2"/>
  <c r="D174" i="6"/>
  <c r="AI156" i="16"/>
  <c r="V5" i="6"/>
  <c r="X5" i="6" s="1"/>
  <c r="Z5" i="6" s="1"/>
  <c r="AB5" i="6" s="1"/>
  <c r="AD5" i="6" s="1"/>
  <c r="D148" i="6"/>
  <c r="B134" i="6"/>
  <c r="B108" i="6"/>
  <c r="CW43" i="7"/>
  <c r="L18" i="6"/>
  <c r="C53" i="6" s="1"/>
  <c r="CW62" i="16"/>
  <c r="I62" i="16" s="1"/>
  <c r="M39" i="8"/>
  <c r="CV29" i="5"/>
  <c r="I5" i="6"/>
  <c r="CW33" i="6"/>
  <c r="DL2" i="2"/>
  <c r="D237" i="15"/>
  <c r="E237" i="15" s="1"/>
  <c r="F237" i="15" s="1"/>
  <c r="G237" i="15" s="1"/>
  <c r="H237" i="15" s="1"/>
  <c r="D33" i="7"/>
  <c r="E33" i="7" s="1"/>
  <c r="F33" i="7" s="1"/>
  <c r="G33" i="7" s="1"/>
  <c r="H33" i="7" s="1"/>
  <c r="P36" i="16"/>
  <c r="E39" i="5"/>
  <c r="E5" i="6"/>
  <c r="BC81" i="15"/>
  <c r="BD81" i="15" s="1"/>
  <c r="BE81" i="15" s="1"/>
  <c r="BF81" i="15" s="1"/>
  <c r="BG81" i="15" s="1"/>
  <c r="H110" i="16"/>
  <c r="T102" i="16"/>
  <c r="O102" i="16"/>
  <c r="DK3" i="6"/>
  <c r="CV38" i="6"/>
  <c r="O38" i="6" s="1"/>
  <c r="CW38" i="6"/>
  <c r="L102" i="16"/>
  <c r="CX44" i="16"/>
  <c r="F110" i="16"/>
  <c r="DL2" i="5"/>
  <c r="Q5" i="5" s="1"/>
  <c r="AI4" i="5" s="1"/>
  <c r="U170" i="5"/>
  <c r="C18" i="6"/>
  <c r="C50" i="6" s="1"/>
  <c r="X102" i="16"/>
  <c r="D102" i="16"/>
  <c r="N110" i="16"/>
  <c r="M102" i="16"/>
  <c r="Q102" i="16"/>
  <c r="D7" i="16"/>
  <c r="D200" i="6"/>
  <c r="F200" i="6" s="1"/>
  <c r="H200" i="6" s="1"/>
  <c r="J200" i="6" s="1"/>
  <c r="L200" i="6" s="1"/>
  <c r="B186" i="6"/>
  <c r="B160" i="6"/>
  <c r="D96" i="6"/>
  <c r="CW44" i="7"/>
  <c r="CX62" i="16"/>
  <c r="CW49" i="16"/>
  <c r="M49" i="16" s="1"/>
  <c r="CW2" i="5"/>
  <c r="DL3" i="5"/>
  <c r="CW36" i="16"/>
  <c r="B36" i="16" s="1"/>
  <c r="B102" i="16" s="1"/>
  <c r="E42" i="6"/>
  <c r="F42" i="6" s="1"/>
  <c r="G42" i="6" s="1"/>
  <c r="H42" i="6" s="1"/>
  <c r="I42" i="6" s="1"/>
  <c r="CX36" i="16"/>
  <c r="Y110" i="16"/>
  <c r="DL3" i="2"/>
  <c r="DS2" i="15"/>
  <c r="P5" i="15" s="1"/>
  <c r="P168" i="15" s="1"/>
  <c r="DK2" i="7"/>
  <c r="P6" i="7" s="1"/>
  <c r="F102" i="16"/>
  <c r="E102" i="16"/>
  <c r="AA170" i="5"/>
  <c r="DK3" i="8"/>
  <c r="K5" i="6"/>
  <c r="CV30" i="7"/>
  <c r="C30" i="7" s="1"/>
  <c r="N102" i="16"/>
  <c r="U102" i="16"/>
  <c r="B48" i="2"/>
  <c r="D381" i="15"/>
  <c r="E381" i="15" s="1"/>
  <c r="F381" i="15" s="1"/>
  <c r="G381" i="15" s="1"/>
  <c r="H381" i="15" s="1"/>
  <c r="D81" i="15"/>
  <c r="E105" i="16"/>
  <c r="R102" i="16"/>
  <c r="Y102" i="16"/>
  <c r="J110" i="16"/>
  <c r="S110" i="16"/>
  <c r="B82" i="6"/>
  <c r="F70" i="6" s="1"/>
  <c r="CW3" i="7"/>
  <c r="I18" i="6"/>
  <c r="C52" i="6" s="1"/>
  <c r="B40" i="8"/>
  <c r="J54" i="8" s="1"/>
  <c r="CV2" i="5"/>
  <c r="U2" i="5" s="1"/>
  <c r="D97" i="2"/>
  <c r="E97" i="2" s="1"/>
  <c r="F97" i="2" s="1"/>
  <c r="G97" i="2" s="1"/>
  <c r="H97" i="2" s="1"/>
  <c r="Z102" i="16"/>
  <c r="G5" i="6"/>
  <c r="J102" i="16"/>
  <c r="P5" i="2"/>
  <c r="C102" i="16"/>
  <c r="P102" i="16"/>
  <c r="D50" i="2"/>
  <c r="E50" i="2" s="1"/>
  <c r="F50" i="2" s="1"/>
  <c r="G50" i="2" s="1"/>
  <c r="H50" i="2" s="1"/>
  <c r="H102" i="16"/>
  <c r="P110" i="16"/>
  <c r="D41" i="8"/>
  <c r="V102" i="16"/>
  <c r="AA110" i="16"/>
  <c r="D111" i="2"/>
  <c r="E111" i="2" s="1"/>
  <c r="F111" i="2" s="1"/>
  <c r="G111" i="2" s="1"/>
  <c r="H111" i="2" s="1"/>
  <c r="P44" i="16"/>
  <c r="CW5" i="8"/>
  <c r="CV5" i="8"/>
  <c r="B5" i="8" s="1"/>
  <c r="L110" i="16"/>
  <c r="AB170" i="5"/>
  <c r="W170" i="5"/>
  <c r="D47" i="7"/>
  <c r="E47" i="7" s="1"/>
  <c r="F47" i="7" s="1"/>
  <c r="G47" i="7" s="1"/>
  <c r="H47" i="7" s="1"/>
  <c r="CV44" i="7"/>
  <c r="C44" i="7" s="1"/>
  <c r="CW39" i="8"/>
  <c r="U110" i="16"/>
  <c r="W102" i="16"/>
  <c r="DK2" i="6"/>
  <c r="Z170" i="5"/>
  <c r="CW30" i="7"/>
  <c r="F18" i="6"/>
  <c r="C51" i="6" s="1"/>
  <c r="CX49" i="16"/>
  <c r="CW29" i="5"/>
  <c r="S102" i="16"/>
  <c r="BT81" i="15"/>
  <c r="BU81" i="15" s="1"/>
  <c r="BV81" i="15" s="1"/>
  <c r="BW81" i="15" s="1"/>
  <c r="BX81" i="15" s="1"/>
  <c r="DK3" i="7"/>
  <c r="I102" i="16"/>
  <c r="DK2" i="8"/>
  <c r="P7" i="8" s="1"/>
  <c r="CV33" i="6"/>
  <c r="O33" i="6" s="1"/>
  <c r="DS3" i="15"/>
  <c r="B3" i="2"/>
  <c r="C202" i="8"/>
  <c r="E379" i="6"/>
  <c r="CV3" i="7"/>
  <c r="C3" i="7" s="1"/>
  <c r="AC110" i="16"/>
  <c r="Y170" i="5"/>
  <c r="M5" i="6"/>
  <c r="T349" i="6" s="1"/>
  <c r="O347" i="6" s="1"/>
  <c r="CV43" i="7"/>
  <c r="CW44" i="16"/>
  <c r="B44" i="16" s="1"/>
  <c r="G102" i="16"/>
  <c r="X170" i="5"/>
  <c r="B96" i="2"/>
  <c r="CV39" i="8"/>
  <c r="B39" i="8" s="1"/>
  <c r="K102" i="16"/>
  <c r="W110" i="16"/>
  <c r="V170" i="5"/>
  <c r="M170" i="16"/>
  <c r="M162" i="16"/>
  <c r="M148" i="16"/>
  <c r="AC175" i="16"/>
  <c r="H124" i="6"/>
  <c r="E150" i="6"/>
  <c r="AC202" i="16"/>
  <c r="AC151" i="16"/>
  <c r="M193" i="16"/>
  <c r="M156" i="16"/>
  <c r="P29" i="8"/>
  <c r="CF59" i="15"/>
  <c r="BT135" i="15" s="1"/>
  <c r="CF21" i="15"/>
  <c r="BT97" i="15" s="1"/>
  <c r="CF27" i="15"/>
  <c r="BT103" i="15" s="1"/>
  <c r="BX54" i="15"/>
  <c r="CF37" i="15"/>
  <c r="BT113" i="15" s="1"/>
  <c r="BY39" i="15"/>
  <c r="BT13" i="15"/>
  <c r="D79" i="6"/>
  <c r="D202" i="6" s="1"/>
  <c r="D201" i="6"/>
  <c r="BW138" i="15"/>
  <c r="BV138" i="15"/>
  <c r="BU138" i="15"/>
  <c r="BX138" i="15"/>
  <c r="BX126" i="15"/>
  <c r="BW126" i="15"/>
  <c r="BU126" i="15"/>
  <c r="BV126" i="15"/>
  <c r="G13" i="5"/>
  <c r="G34" i="5" s="1"/>
  <c r="Q11" i="5"/>
  <c r="BV117" i="15"/>
  <c r="BV122" i="15" s="1"/>
  <c r="BU117" i="15"/>
  <c r="BU122" i="15" s="1"/>
  <c r="BW117" i="15"/>
  <c r="BW122" i="15" s="1"/>
  <c r="BX117" i="15"/>
  <c r="BX122" i="15" s="1"/>
  <c r="BV13" i="15"/>
  <c r="BO31" i="15"/>
  <c r="BC107" i="15" s="1"/>
  <c r="AC157" i="16"/>
  <c r="AC158" i="16"/>
  <c r="AI164" i="16"/>
  <c r="AI165" i="16"/>
  <c r="M186" i="16"/>
  <c r="W149" i="16"/>
  <c r="M181" i="16"/>
  <c r="M165" i="16"/>
  <c r="M164" i="16"/>
  <c r="M196" i="16"/>
  <c r="M151" i="16"/>
  <c r="M143" i="16"/>
  <c r="I125" i="6"/>
  <c r="H79" i="6"/>
  <c r="E86" i="6"/>
  <c r="F86" i="6"/>
  <c r="F92" i="6" s="1"/>
  <c r="G32" i="6" s="1"/>
  <c r="D92" i="6"/>
  <c r="G87" i="6"/>
  <c r="H81" i="6"/>
  <c r="G85" i="6"/>
  <c r="G89" i="6"/>
  <c r="G90" i="6"/>
  <c r="BV92" i="15"/>
  <c r="BU92" i="15"/>
  <c r="BX92" i="15"/>
  <c r="BW92" i="15"/>
  <c r="G83" i="6"/>
  <c r="CF35" i="15"/>
  <c r="BT111" i="15" s="1"/>
  <c r="BW39" i="15"/>
  <c r="BX124" i="15"/>
  <c r="BU124" i="15"/>
  <c r="BU130" i="15" s="1"/>
  <c r="BV124" i="15"/>
  <c r="BV130" i="15" s="1"/>
  <c r="BW124" i="15"/>
  <c r="X388" i="6"/>
  <c r="D358" i="6" s="1"/>
  <c r="I14" i="6"/>
  <c r="F54" i="8" s="1"/>
  <c r="CF62" i="15"/>
  <c r="BT138" i="15" s="1"/>
  <c r="CF29" i="15"/>
  <c r="BT105" i="15" s="1"/>
  <c r="BV84" i="15"/>
  <c r="BW84" i="15"/>
  <c r="BU84" i="15"/>
  <c r="BX84" i="15"/>
  <c r="CE13" i="15"/>
  <c r="CC13" i="15"/>
  <c r="BW13" i="15"/>
  <c r="BE107" i="15"/>
  <c r="BD107" i="15"/>
  <c r="BF107" i="15"/>
  <c r="BG107" i="15"/>
  <c r="AC179" i="16"/>
  <c r="AC180" i="16"/>
  <c r="AC196" i="16"/>
  <c r="AC197" i="16"/>
  <c r="W144" i="16"/>
  <c r="W143" i="16"/>
  <c r="AI179" i="16"/>
  <c r="AI180" i="16"/>
  <c r="AI202" i="16"/>
  <c r="AI144" i="16"/>
  <c r="AI195" i="16"/>
  <c r="M146" i="16"/>
  <c r="AI173" i="16"/>
  <c r="M169" i="16"/>
  <c r="M197" i="16"/>
  <c r="M194" i="16"/>
  <c r="M202" i="16"/>
  <c r="M185" i="16"/>
  <c r="M191" i="16"/>
  <c r="M179" i="16"/>
  <c r="M180" i="16"/>
  <c r="M145" i="16"/>
  <c r="M198" i="16"/>
  <c r="M188" i="16"/>
  <c r="M200" i="16"/>
  <c r="M172" i="16"/>
  <c r="AG363" i="6"/>
  <c r="AH362" i="6"/>
  <c r="H54" i="5"/>
  <c r="H68" i="5" s="1"/>
  <c r="C4" i="8"/>
  <c r="I54" i="5"/>
  <c r="G54" i="5"/>
  <c r="G68" i="5" s="1"/>
  <c r="F54" i="5"/>
  <c r="F68" i="5" s="1"/>
  <c r="CV12" i="5"/>
  <c r="H46" i="5"/>
  <c r="G46" i="5"/>
  <c r="G66" i="5" s="1"/>
  <c r="P25" i="5"/>
  <c r="F20" i="5"/>
  <c r="G30" i="5"/>
  <c r="M20" i="5"/>
  <c r="N30" i="5"/>
  <c r="J25" i="5"/>
  <c r="E12" i="5"/>
  <c r="M25" i="5"/>
  <c r="J12" i="5"/>
  <c r="J32" i="5" s="1"/>
  <c r="H20" i="5"/>
  <c r="K20" i="5"/>
  <c r="O20" i="5"/>
  <c r="C4" i="6"/>
  <c r="CY166" i="15"/>
  <c r="B166" i="15" s="1"/>
  <c r="C6" i="8"/>
  <c r="F64" i="5"/>
  <c r="H64" i="5"/>
  <c r="P30" i="5"/>
  <c r="L25" i="5"/>
  <c r="I12" i="5"/>
  <c r="O25" i="5"/>
  <c r="E20" i="5"/>
  <c r="J30" i="5"/>
  <c r="F25" i="5"/>
  <c r="M30" i="5"/>
  <c r="I25" i="5"/>
  <c r="G20" i="5"/>
  <c r="H12" i="5"/>
  <c r="P20" i="5"/>
  <c r="CY235" i="15"/>
  <c r="B235" i="15" s="1"/>
  <c r="C4" i="7"/>
  <c r="G64" i="5"/>
  <c r="G67" i="5" s="1"/>
  <c r="I64" i="5"/>
  <c r="L30" i="5"/>
  <c r="H25" i="5"/>
  <c r="O30" i="5"/>
  <c r="K25" i="5"/>
  <c r="N12" i="5"/>
  <c r="F30" i="5"/>
  <c r="J20" i="5"/>
  <c r="I30" i="5"/>
  <c r="E25" i="5"/>
  <c r="K12" i="5"/>
  <c r="L20" i="5"/>
  <c r="P12" i="5"/>
  <c r="D4" i="15"/>
  <c r="BG138" i="15" s="1"/>
  <c r="CW12" i="5"/>
  <c r="I46" i="5"/>
  <c r="I66" i="5" s="1"/>
  <c r="F46" i="5"/>
  <c r="F67" i="5" s="1"/>
  <c r="H30" i="5"/>
  <c r="N20" i="5"/>
  <c r="K30" i="5"/>
  <c r="G25" i="5"/>
  <c r="F12" i="5"/>
  <c r="N25" i="5"/>
  <c r="M12" i="5"/>
  <c r="E30" i="5"/>
  <c r="I20" i="5"/>
  <c r="O12" i="5"/>
  <c r="L12" i="5"/>
  <c r="L33" i="5" s="1"/>
  <c r="G12" i="5"/>
  <c r="D2" i="5"/>
  <c r="G33" i="5"/>
  <c r="K33" i="5"/>
  <c r="D131" i="6"/>
  <c r="H202" i="6" s="1"/>
  <c r="H201" i="6"/>
  <c r="BV105" i="15"/>
  <c r="BU105" i="15"/>
  <c r="BX105" i="15"/>
  <c r="BW105" i="15"/>
  <c r="BG105" i="15"/>
  <c r="BE105" i="15"/>
  <c r="BF105" i="15"/>
  <c r="BX13" i="15"/>
  <c r="CB13" i="15"/>
  <c r="D20" i="8"/>
  <c r="J155" i="6"/>
  <c r="J157" i="6" s="1"/>
  <c r="I155" i="6"/>
  <c r="H155" i="6"/>
  <c r="AC25" i="6"/>
  <c r="BO18" i="15"/>
  <c r="BC94" i="15" s="1"/>
  <c r="CF19" i="15"/>
  <c r="BT95" i="15" s="1"/>
  <c r="B109" i="6"/>
  <c r="B123" i="6"/>
  <c r="AC168" i="16"/>
  <c r="AC167" i="16"/>
  <c r="AC152" i="16"/>
  <c r="AC188" i="16"/>
  <c r="AC189" i="16"/>
  <c r="AC184" i="16"/>
  <c r="AC185" i="16"/>
  <c r="W146" i="16"/>
  <c r="W147" i="16"/>
  <c r="AI175" i="16"/>
  <c r="AI176" i="16"/>
  <c r="AI161" i="16"/>
  <c r="AI160" i="16"/>
  <c r="AC170" i="16"/>
  <c r="AC182" i="16"/>
  <c r="AC153" i="16"/>
  <c r="M190" i="16"/>
  <c r="M159" i="16"/>
  <c r="M177" i="16"/>
  <c r="M189" i="16"/>
  <c r="M149" i="16"/>
  <c r="M182" i="16"/>
  <c r="M163" i="16"/>
  <c r="M158" i="16"/>
  <c r="M166" i="16"/>
  <c r="M21" i="8"/>
  <c r="M15" i="8" s="1"/>
  <c r="F21" i="8"/>
  <c r="F15" i="8" s="1"/>
  <c r="L21" i="8"/>
  <c r="L15" i="8" s="1"/>
  <c r="H21" i="8"/>
  <c r="H15" i="8" s="1"/>
  <c r="E21" i="8"/>
  <c r="E15" i="8" s="1"/>
  <c r="N21" i="8"/>
  <c r="N15" i="8" s="1"/>
  <c r="J21" i="8"/>
  <c r="J15" i="8" s="1"/>
  <c r="K21" i="8"/>
  <c r="K15" i="8" s="1"/>
  <c r="O21" i="8"/>
  <c r="O15" i="8" s="1"/>
  <c r="G21" i="8"/>
  <c r="G15" i="8" s="1"/>
  <c r="D67" i="5"/>
  <c r="K1" i="13"/>
  <c r="D66" i="5"/>
  <c r="J1" i="13"/>
  <c r="H1" i="13"/>
  <c r="I123" i="6"/>
  <c r="CD13" i="15"/>
  <c r="AC165" i="16"/>
  <c r="AC164" i="16"/>
  <c r="I124" i="6"/>
  <c r="CF51" i="15"/>
  <c r="BT127" i="15" s="1"/>
  <c r="CF17" i="15"/>
  <c r="BT93" i="15" s="1"/>
  <c r="Q21" i="5"/>
  <c r="E55" i="5" s="1"/>
  <c r="H130" i="6"/>
  <c r="I130" i="6"/>
  <c r="D84" i="2"/>
  <c r="P45" i="2"/>
  <c r="D90" i="2" s="1"/>
  <c r="BX95" i="15"/>
  <c r="BW95" i="15"/>
  <c r="BV95" i="15"/>
  <c r="BU95" i="15"/>
  <c r="BF95" i="15"/>
  <c r="BE95" i="15"/>
  <c r="BG95" i="15"/>
  <c r="BD95" i="15"/>
  <c r="CF10" i="15"/>
  <c r="BT86" i="15" s="1"/>
  <c r="BZ13" i="15"/>
  <c r="C26" i="5"/>
  <c r="C60" i="5" s="1"/>
  <c r="C13" i="5"/>
  <c r="C47" i="5" s="1"/>
  <c r="C21" i="5"/>
  <c r="C55" i="5" s="1"/>
  <c r="C35" i="5"/>
  <c r="C69" i="5" s="1"/>
  <c r="C11" i="5"/>
  <c r="C45" i="5" s="1"/>
  <c r="V11" i="5"/>
  <c r="V44" i="5" s="1"/>
  <c r="V19" i="5"/>
  <c r="C31" i="5"/>
  <c r="C65" i="5" s="1"/>
  <c r="C19" i="5"/>
  <c r="C53" i="5" s="1"/>
  <c r="V46" i="5" s="1"/>
  <c r="C34" i="5"/>
  <c r="C68" i="5" s="1"/>
  <c r="C12" i="5"/>
  <c r="E1" i="13"/>
  <c r="CV30" i="8"/>
  <c r="C30" i="8" s="1"/>
  <c r="C64" i="8" s="1"/>
  <c r="CW30" i="8"/>
  <c r="CW64" i="8" s="1"/>
  <c r="CV64" i="8"/>
  <c r="L201" i="6"/>
  <c r="D183" i="6"/>
  <c r="L202" i="6" s="1"/>
  <c r="B169" i="6"/>
  <c r="B194" i="6"/>
  <c r="B195" i="6" s="1"/>
  <c r="BT54" i="15"/>
  <c r="CF50" i="15"/>
  <c r="BT126" i="15" s="1"/>
  <c r="BY54" i="15"/>
  <c r="BT39" i="15"/>
  <c r="CF36" i="15"/>
  <c r="BT112" i="15" s="1"/>
  <c r="E92" i="6"/>
  <c r="F32" i="6" s="1"/>
  <c r="CF49" i="15"/>
  <c r="BT125" i="15" s="1"/>
  <c r="CF15" i="15"/>
  <c r="BT91" i="15" s="1"/>
  <c r="CF48" i="15"/>
  <c r="BT124" i="15" s="1"/>
  <c r="BU54" i="15"/>
  <c r="CF16" i="15"/>
  <c r="BT92" i="15" s="1"/>
  <c r="G409" i="6"/>
  <c r="J359" i="6"/>
  <c r="P28" i="8"/>
  <c r="BT46" i="15"/>
  <c r="CF46" i="15" s="1"/>
  <c r="BT122" i="15" s="1"/>
  <c r="CF41" i="15"/>
  <c r="BT117" i="15" s="1"/>
  <c r="BX97" i="15"/>
  <c r="BU97" i="15"/>
  <c r="BW97" i="15"/>
  <c r="BV97" i="15"/>
  <c r="BG97" i="15"/>
  <c r="BE97" i="15"/>
  <c r="BF97" i="15"/>
  <c r="BD97" i="15"/>
  <c r="BV86" i="15"/>
  <c r="BW86" i="15"/>
  <c r="BU86" i="15"/>
  <c r="BX86" i="15"/>
  <c r="BG86" i="15"/>
  <c r="BE86" i="15"/>
  <c r="BD86" i="15"/>
  <c r="BF86" i="15"/>
  <c r="BU13" i="15"/>
  <c r="BY13" i="15"/>
  <c r="CF8" i="15"/>
  <c r="G88" i="6"/>
  <c r="G70" i="6"/>
  <c r="G96" i="6"/>
  <c r="G122" i="6" s="1"/>
  <c r="G148" i="6" s="1"/>
  <c r="G174" i="6" s="1"/>
  <c r="AC145" i="16"/>
  <c r="AI170" i="16"/>
  <c r="AI171" i="16"/>
  <c r="AI198" i="16"/>
  <c r="AI197" i="16"/>
  <c r="AI181" i="16"/>
  <c r="AI145" i="16"/>
  <c r="AI146" i="16"/>
  <c r="AI183" i="16"/>
  <c r="AC173" i="16"/>
  <c r="AI153" i="16"/>
  <c r="W151" i="16"/>
  <c r="AI188" i="16"/>
  <c r="M183" i="16"/>
  <c r="M147" i="16"/>
  <c r="M144" i="16"/>
  <c r="M171" i="16"/>
  <c r="M157" i="16"/>
  <c r="M161" i="16"/>
  <c r="M178" i="16"/>
  <c r="M173" i="16"/>
  <c r="M187" i="16"/>
  <c r="M168" i="16"/>
  <c r="M184" i="16"/>
  <c r="AC147" i="16"/>
  <c r="M175" i="16"/>
  <c r="AI150" i="16"/>
  <c r="I399" i="6" l="1"/>
  <c r="T360" i="6"/>
  <c r="M382" i="6"/>
  <c r="H388" i="6"/>
  <c r="T376" i="6"/>
  <c r="L382" i="6"/>
  <c r="G388" i="6"/>
  <c r="E175" i="6"/>
  <c r="H175" i="6" s="1"/>
  <c r="H149" i="6"/>
  <c r="J360" i="6"/>
  <c r="K382" i="6"/>
  <c r="F388" i="6"/>
  <c r="N415" i="6"/>
  <c r="I421" i="6"/>
  <c r="M393" i="6"/>
  <c r="H399" i="6"/>
  <c r="M33" i="5"/>
  <c r="K32" i="5"/>
  <c r="P32" i="5"/>
  <c r="N32" i="5"/>
  <c r="M26" i="8" s="1"/>
  <c r="H67" i="5"/>
  <c r="I67" i="5"/>
  <c r="E176" i="6"/>
  <c r="H150" i="6"/>
  <c r="E423" i="6"/>
  <c r="F423" i="6" s="1"/>
  <c r="G423" i="6" s="1"/>
  <c r="H423" i="6" s="1"/>
  <c r="I423" i="6" s="1"/>
  <c r="E390" i="6"/>
  <c r="F390" i="6" s="1"/>
  <c r="G390" i="6" s="1"/>
  <c r="H390" i="6" s="1"/>
  <c r="I390" i="6" s="1"/>
  <c r="F379" i="6"/>
  <c r="G379" i="6" s="1"/>
  <c r="H379" i="6" s="1"/>
  <c r="I379" i="6" s="1"/>
  <c r="C378" i="6"/>
  <c r="C389" i="6" s="1"/>
  <c r="C400" i="6" s="1"/>
  <c r="C411" i="6" s="1"/>
  <c r="C422" i="6" s="1"/>
  <c r="E412" i="6"/>
  <c r="F412" i="6" s="1"/>
  <c r="G412" i="6" s="1"/>
  <c r="H412" i="6" s="1"/>
  <c r="I412" i="6" s="1"/>
  <c r="E401" i="6"/>
  <c r="F401" i="6" s="1"/>
  <c r="G401" i="6" s="1"/>
  <c r="H401" i="6" s="1"/>
  <c r="I401" i="6" s="1"/>
  <c r="F174" i="6"/>
  <c r="D185" i="6"/>
  <c r="J349" i="6"/>
  <c r="H347" i="6" s="1"/>
  <c r="M349" i="6"/>
  <c r="R349" i="6"/>
  <c r="AG348" i="6" s="1"/>
  <c r="N349" i="6"/>
  <c r="K347" i="6" s="1"/>
  <c r="S349" i="6"/>
  <c r="O349" i="6"/>
  <c r="H349" i="6"/>
  <c r="C366" i="6"/>
  <c r="H365" i="6" s="1"/>
  <c r="F349" i="6"/>
  <c r="E349" i="6"/>
  <c r="K349" i="6"/>
  <c r="E41" i="8"/>
  <c r="C201" i="8"/>
  <c r="D205" i="8"/>
  <c r="I349" i="6"/>
  <c r="L349" i="6"/>
  <c r="P349" i="6"/>
  <c r="G349" i="6"/>
  <c r="F347" i="6" s="1"/>
  <c r="E366" i="6"/>
  <c r="G105" i="16"/>
  <c r="I105" i="16"/>
  <c r="K105" i="16"/>
  <c r="M105" i="16"/>
  <c r="J7" i="16"/>
  <c r="F7" i="16"/>
  <c r="CX42" i="16"/>
  <c r="CX34" i="16"/>
  <c r="L7" i="16"/>
  <c r="CW53" i="16" s="1"/>
  <c r="B53" i="16" s="1"/>
  <c r="CW42" i="16"/>
  <c r="B42" i="16" s="1"/>
  <c r="H7" i="16"/>
  <c r="D55" i="16"/>
  <c r="E55" i="16" s="1"/>
  <c r="F55" i="16" s="1"/>
  <c r="G55" i="16" s="1"/>
  <c r="H55" i="16" s="1"/>
  <c r="CX53" i="16"/>
  <c r="CW34" i="16"/>
  <c r="B34" i="16" s="1"/>
  <c r="Q137" i="16"/>
  <c r="B142" i="16"/>
  <c r="X37" i="5"/>
  <c r="F39" i="5"/>
  <c r="F96" i="6"/>
  <c r="D107" i="6"/>
  <c r="F104" i="6"/>
  <c r="U5" i="15"/>
  <c r="U81" i="15" s="1"/>
  <c r="U92" i="15" s="1"/>
  <c r="U103" i="15" s="1"/>
  <c r="U114" i="15" s="1"/>
  <c r="U125" i="15" s="1"/>
  <c r="E81" i="15"/>
  <c r="F148" i="6"/>
  <c r="F156" i="6"/>
  <c r="D159" i="6"/>
  <c r="D133" i="6"/>
  <c r="D136" i="6" s="1"/>
  <c r="F130" i="6"/>
  <c r="E130" i="6" s="1"/>
  <c r="F122" i="6"/>
  <c r="CF39" i="15"/>
  <c r="BT115" i="15" s="1"/>
  <c r="M32" i="5"/>
  <c r="H66" i="5"/>
  <c r="P33" i="5"/>
  <c r="O25" i="8" s="1"/>
  <c r="J33" i="5"/>
  <c r="I25" i="8" s="1"/>
  <c r="I33" i="5"/>
  <c r="H25" i="8" s="1"/>
  <c r="F32" i="5"/>
  <c r="E26" i="8" s="1"/>
  <c r="H33" i="5"/>
  <c r="G25" i="8" s="1"/>
  <c r="Q25" i="5"/>
  <c r="E59" i="5" s="1"/>
  <c r="N33" i="5"/>
  <c r="M25" i="8" s="1"/>
  <c r="BX130" i="15"/>
  <c r="BW130" i="15"/>
  <c r="CF13" i="15"/>
  <c r="BT89" i="15" s="1"/>
  <c r="O33" i="5"/>
  <c r="N25" i="8" s="1"/>
  <c r="F66" i="5"/>
  <c r="F33" i="5"/>
  <c r="E25" i="8" s="1"/>
  <c r="G32" i="5"/>
  <c r="F26" i="8" s="1"/>
  <c r="F68" i="15"/>
  <c r="F231" i="15"/>
  <c r="D12" i="13"/>
  <c r="I12" i="13"/>
  <c r="D135" i="6"/>
  <c r="I149" i="6"/>
  <c r="I32" i="5"/>
  <c r="H26" i="8" s="1"/>
  <c r="E32" i="5"/>
  <c r="D26" i="8" s="1"/>
  <c r="CW37" i="7"/>
  <c r="CW8" i="7"/>
  <c r="CV35" i="7"/>
  <c r="C35" i="7" s="1"/>
  <c r="CV37" i="7"/>
  <c r="C37" i="7" s="1"/>
  <c r="H8" i="7"/>
  <c r="E35" i="7"/>
  <c r="M8" i="7"/>
  <c r="CW35" i="7"/>
  <c r="CV10" i="7"/>
  <c r="C10" i="7" s="1"/>
  <c r="K8" i="7"/>
  <c r="J8" i="7"/>
  <c r="G8" i="7"/>
  <c r="CW10" i="7"/>
  <c r="L8" i="7"/>
  <c r="CV8" i="7"/>
  <c r="C8" i="7" s="1"/>
  <c r="F8" i="7"/>
  <c r="O8" i="7"/>
  <c r="I8" i="7"/>
  <c r="F35" i="7"/>
  <c r="G35" i="7"/>
  <c r="N8" i="7"/>
  <c r="D8" i="7"/>
  <c r="E8" i="7"/>
  <c r="CW45" i="8"/>
  <c r="CW11" i="8"/>
  <c r="CV11" i="8"/>
  <c r="C11" i="8" s="1"/>
  <c r="CV45" i="8"/>
  <c r="C45" i="8" s="1"/>
  <c r="Q12" i="5"/>
  <c r="E46" i="5" s="1"/>
  <c r="U173" i="5"/>
  <c r="I68" i="5"/>
  <c r="H35" i="7" s="1"/>
  <c r="BV107" i="15"/>
  <c r="BV109" i="15" s="1"/>
  <c r="BG84" i="15"/>
  <c r="BX89" i="15"/>
  <c r="BF124" i="15"/>
  <c r="BG92" i="15"/>
  <c r="I81" i="6"/>
  <c r="H87" i="6"/>
  <c r="H85" i="6"/>
  <c r="H90" i="6"/>
  <c r="H91" i="6" s="1"/>
  <c r="H86" i="6"/>
  <c r="H84" i="6"/>
  <c r="H83" i="6"/>
  <c r="H88" i="6"/>
  <c r="H89" i="6"/>
  <c r="BD126" i="15"/>
  <c r="E68" i="15"/>
  <c r="E231" i="15"/>
  <c r="C32" i="5"/>
  <c r="C33" i="5"/>
  <c r="C20" i="5"/>
  <c r="C46" i="5"/>
  <c r="H131" i="6"/>
  <c r="I150" i="6"/>
  <c r="G77" i="15"/>
  <c r="G76" i="15" s="1"/>
  <c r="CV3" i="5"/>
  <c r="B3" i="5" s="1"/>
  <c r="J77" i="15"/>
  <c r="J76" i="15" s="1"/>
  <c r="CV71" i="5"/>
  <c r="B71" i="5" s="1"/>
  <c r="I71" i="5" s="1"/>
  <c r="CV70" i="5"/>
  <c r="N37" i="5" s="1"/>
  <c r="J2" i="13"/>
  <c r="CV37" i="5"/>
  <c r="B37" i="5" s="1"/>
  <c r="J201" i="6"/>
  <c r="D157" i="6"/>
  <c r="J202" i="6" s="1"/>
  <c r="CW32" i="5"/>
  <c r="CW33" i="5"/>
  <c r="CV33" i="5"/>
  <c r="CV32" i="5"/>
  <c r="BX63" i="15"/>
  <c r="BX66" i="15" s="1"/>
  <c r="CE31" i="15"/>
  <c r="CE33" i="15" s="1"/>
  <c r="BW31" i="15"/>
  <c r="BW33" i="15" s="1"/>
  <c r="BX139" i="15"/>
  <c r="BG129" i="15"/>
  <c r="BG125" i="15"/>
  <c r="BG118" i="15"/>
  <c r="BG112" i="15"/>
  <c r="CD31" i="15"/>
  <c r="CD33" i="15" s="1"/>
  <c r="BW94" i="15"/>
  <c r="BW99" i="15" s="1"/>
  <c r="BF134" i="15"/>
  <c r="BF128" i="15"/>
  <c r="BF111" i="15"/>
  <c r="BF102" i="15"/>
  <c r="BF103" i="15" s="1"/>
  <c r="BY63" i="15"/>
  <c r="BY66" i="15" s="1"/>
  <c r="BV94" i="15"/>
  <c r="BV99" i="15" s="1"/>
  <c r="BE129" i="15"/>
  <c r="BE118" i="15"/>
  <c r="BF91" i="15"/>
  <c r="BF85" i="15"/>
  <c r="BI64" i="15"/>
  <c r="BE62" i="15"/>
  <c r="BM57" i="15"/>
  <c r="BI56" i="15"/>
  <c r="BE53" i="15"/>
  <c r="BM51" i="15"/>
  <c r="BI50" i="15"/>
  <c r="BE49" i="15"/>
  <c r="BM45" i="15"/>
  <c r="BI43" i="15"/>
  <c r="BE42" i="15"/>
  <c r="BM38" i="15"/>
  <c r="BI37" i="15"/>
  <c r="BE36" i="15"/>
  <c r="BM32" i="15"/>
  <c r="BI30" i="15"/>
  <c r="BE29" i="15"/>
  <c r="BE26" i="15"/>
  <c r="BE27" i="15" s="1"/>
  <c r="BD22" i="15"/>
  <c r="BL20" i="15"/>
  <c r="BH19" i="15"/>
  <c r="BD17" i="15"/>
  <c r="BL15" i="15"/>
  <c r="BH12" i="15"/>
  <c r="BD11" i="15"/>
  <c r="BL9" i="15"/>
  <c r="BH8" i="15"/>
  <c r="BD7" i="15"/>
  <c r="BD29" i="15"/>
  <c r="BU63" i="15"/>
  <c r="BU66" i="15" s="1"/>
  <c r="BD127" i="15"/>
  <c r="BD114" i="15"/>
  <c r="BD98" i="15"/>
  <c r="BE88" i="15"/>
  <c r="BD64" i="15"/>
  <c r="BL58" i="15"/>
  <c r="BH57" i="15"/>
  <c r="BD56" i="15"/>
  <c r="BL52" i="15"/>
  <c r="BH51" i="15"/>
  <c r="BD50" i="15"/>
  <c r="BL48" i="15"/>
  <c r="BH45" i="15"/>
  <c r="BD43" i="15"/>
  <c r="BL41" i="15"/>
  <c r="BH38" i="15"/>
  <c r="BD37" i="15"/>
  <c r="BL35" i="15"/>
  <c r="BD32" i="15"/>
  <c r="BL26" i="15"/>
  <c r="BL27" i="15" s="1"/>
  <c r="BE134" i="15"/>
  <c r="BE111" i="15"/>
  <c r="BD88" i="15"/>
  <c r="BC64" i="15"/>
  <c r="BU18" i="15"/>
  <c r="BU23" i="15" s="1"/>
  <c r="BG58" i="15"/>
  <c r="BK53" i="15"/>
  <c r="BC51" i="15"/>
  <c r="BG48" i="15"/>
  <c r="BK42" i="15"/>
  <c r="BC38" i="15"/>
  <c r="BG35" i="15"/>
  <c r="BK29" i="15"/>
  <c r="BG22" i="15"/>
  <c r="BI20" i="15"/>
  <c r="BK17" i="15"/>
  <c r="BN15" i="15"/>
  <c r="BE12" i="15"/>
  <c r="BG10" i="15"/>
  <c r="BJ8" i="15"/>
  <c r="BT63" i="15"/>
  <c r="BT31" i="15"/>
  <c r="BX18" i="15"/>
  <c r="BX23" i="15" s="1"/>
  <c r="BU139" i="15"/>
  <c r="BU142" i="15" s="1"/>
  <c r="CE63" i="15"/>
  <c r="CE66" i="15" s="1"/>
  <c r="CE18" i="15"/>
  <c r="CE23" i="15" s="1"/>
  <c r="BW18" i="15"/>
  <c r="BW23" i="15" s="1"/>
  <c r="BG134" i="15"/>
  <c r="BG128" i="15"/>
  <c r="BG111" i="15"/>
  <c r="BG102" i="15"/>
  <c r="BG103" i="15" s="1"/>
  <c r="BG96" i="15"/>
  <c r="BG91" i="15"/>
  <c r="CD63" i="15"/>
  <c r="CD66" i="15" s="1"/>
  <c r="BZ31" i="15"/>
  <c r="BZ33" i="15" s="1"/>
  <c r="CD18" i="15"/>
  <c r="BF133" i="15"/>
  <c r="BF127" i="15"/>
  <c r="BF121" i="15"/>
  <c r="BF114" i="15"/>
  <c r="BF108" i="15"/>
  <c r="BF98" i="15"/>
  <c r="BF93" i="15"/>
  <c r="BU31" i="15"/>
  <c r="BU33" i="15" s="1"/>
  <c r="BE127" i="15"/>
  <c r="BE114" i="15"/>
  <c r="BE98" i="15"/>
  <c r="BF88" i="15"/>
  <c r="BE64" i="15"/>
  <c r="BM58" i="15"/>
  <c r="BI57" i="15"/>
  <c r="BE56" i="15"/>
  <c r="BM52" i="15"/>
  <c r="BI51" i="15"/>
  <c r="BE50" i="15"/>
  <c r="BM48" i="15"/>
  <c r="BI45" i="15"/>
  <c r="BE43" i="15"/>
  <c r="BM41" i="15"/>
  <c r="BI38" i="15"/>
  <c r="BE37" i="15"/>
  <c r="BM35" i="15"/>
  <c r="BI32" i="15"/>
  <c r="BE30" i="15"/>
  <c r="BM26" i="15"/>
  <c r="BM27" i="15" s="1"/>
  <c r="BL21" i="15"/>
  <c r="BH20" i="15"/>
  <c r="BD19" i="15"/>
  <c r="BL16" i="15"/>
  <c r="BH15" i="15"/>
  <c r="BD12" i="15"/>
  <c r="BL10" i="15"/>
  <c r="BH9" i="15"/>
  <c r="BD8" i="15"/>
  <c r="BH32" i="15"/>
  <c r="BH26" i="15"/>
  <c r="BH27" i="15" s="1"/>
  <c r="CC18" i="15"/>
  <c r="BD125" i="15"/>
  <c r="BD112" i="15"/>
  <c r="BD96" i="15"/>
  <c r="BE87" i="15"/>
  <c r="BE83" i="15"/>
  <c r="BL62" i="15"/>
  <c r="BH58" i="15"/>
  <c r="BD57" i="15"/>
  <c r="BL53" i="15"/>
  <c r="BH52" i="15"/>
  <c r="BD51" i="15"/>
  <c r="BL49" i="15"/>
  <c r="BH48" i="15"/>
  <c r="BD45" i="15"/>
  <c r="BL42" i="15"/>
  <c r="BH41" i="15"/>
  <c r="BD38" i="15"/>
  <c r="BL36" i="15"/>
  <c r="BH35" i="15"/>
  <c r="BL30" i="15"/>
  <c r="CC31" i="15"/>
  <c r="CC33" i="15" s="1"/>
  <c r="BE132" i="15"/>
  <c r="BE119" i="15"/>
  <c r="BE106" i="15"/>
  <c r="BD87" i="15"/>
  <c r="BD83" i="15"/>
  <c r="BK62" i="15"/>
  <c r="BD132" i="15"/>
  <c r="BG85" i="15"/>
  <c r="BK57" i="15"/>
  <c r="BC53" i="15"/>
  <c r="BG50" i="15"/>
  <c r="BK45" i="15"/>
  <c r="BC42" i="15"/>
  <c r="BG37" i="15"/>
  <c r="BK32" i="15"/>
  <c r="BC29" i="15"/>
  <c r="BM21" i="15"/>
  <c r="BC20" i="15"/>
  <c r="BF17" i="15"/>
  <c r="BI15" i="15"/>
  <c r="BK11" i="15"/>
  <c r="BN9" i="15"/>
  <c r="BE8" i="15"/>
  <c r="BG87" i="15"/>
  <c r="BG45" i="15"/>
  <c r="BG29" i="15"/>
  <c r="BM12" i="15"/>
  <c r="BD128" i="15"/>
  <c r="BG88" i="15"/>
  <c r="BF58" i="15"/>
  <c r="BJ53" i="15"/>
  <c r="BN50" i="15"/>
  <c r="BF48" i="15"/>
  <c r="BJ42" i="15"/>
  <c r="BN37" i="15"/>
  <c r="BF35" i="15"/>
  <c r="BJ29" i="15"/>
  <c r="BK22" i="15"/>
  <c r="BM20" i="15"/>
  <c r="BC19" i="15"/>
  <c r="BF16" i="15"/>
  <c r="BI12" i="15"/>
  <c r="BK10" i="15"/>
  <c r="BN8" i="15"/>
  <c r="BE7" i="15"/>
  <c r="BK58" i="15"/>
  <c r="BK41" i="15"/>
  <c r="BC26" i="15"/>
  <c r="BC17" i="15"/>
  <c r="BK56" i="15"/>
  <c r="BK37" i="15"/>
  <c r="BE21" i="15"/>
  <c r="BG12" i="15"/>
  <c r="BD134" i="15"/>
  <c r="BN57" i="15"/>
  <c r="BF53" i="15"/>
  <c r="BJ50" i="15"/>
  <c r="BN45" i="15"/>
  <c r="BF42" i="15"/>
  <c r="BJ37" i="15"/>
  <c r="BN32" i="15"/>
  <c r="BF29" i="15"/>
  <c r="BN21" i="15"/>
  <c r="BE20" i="15"/>
  <c r="BG17" i="15"/>
  <c r="BJ15" i="15"/>
  <c r="BM11" i="15"/>
  <c r="BC10" i="15"/>
  <c r="BF8" i="15"/>
  <c r="BG83" i="15"/>
  <c r="BK50" i="15"/>
  <c r="BG36" i="15"/>
  <c r="BI17" i="15"/>
  <c r="BG8" i="15"/>
  <c r="BM8" i="15"/>
  <c r="CB31" i="15"/>
  <c r="CB33" i="15" s="1"/>
  <c r="BT18" i="15"/>
  <c r="CA63" i="15"/>
  <c r="CA66" i="15" s="1"/>
  <c r="CA31" i="15"/>
  <c r="CA33" i="15" s="1"/>
  <c r="BX94" i="15"/>
  <c r="BX99" i="15" s="1"/>
  <c r="BG133" i="15"/>
  <c r="BG127" i="15"/>
  <c r="BG121" i="15"/>
  <c r="BG114" i="15"/>
  <c r="BG108" i="15"/>
  <c r="BZ63" i="15"/>
  <c r="BZ66" i="15" s="1"/>
  <c r="BZ18" i="15"/>
  <c r="BZ23" i="15" s="1"/>
  <c r="BW139" i="15"/>
  <c r="BW142" i="15" s="1"/>
  <c r="BF140" i="15"/>
  <c r="BF132" i="15"/>
  <c r="BF135" i="15" s="1"/>
  <c r="BF119" i="15"/>
  <c r="BF113" i="15"/>
  <c r="BF106" i="15"/>
  <c r="BF109" i="15" s="1"/>
  <c r="BE125" i="15"/>
  <c r="BE112" i="15"/>
  <c r="BE96" i="15"/>
  <c r="BF87" i="15"/>
  <c r="BF83" i="15"/>
  <c r="BM62" i="15"/>
  <c r="BI58" i="15"/>
  <c r="BE57" i="15"/>
  <c r="BM53" i="15"/>
  <c r="BI52" i="15"/>
  <c r="BE51" i="15"/>
  <c r="BM49" i="15"/>
  <c r="BI48" i="15"/>
  <c r="BE45" i="15"/>
  <c r="BM42" i="15"/>
  <c r="BI41" i="15"/>
  <c r="BE38" i="15"/>
  <c r="BM36" i="15"/>
  <c r="BI35" i="15"/>
  <c r="BE32" i="15"/>
  <c r="BM29" i="15"/>
  <c r="BM22" i="15"/>
  <c r="BH21" i="15"/>
  <c r="BD20" i="15"/>
  <c r="BL17" i="15"/>
  <c r="BH16" i="15"/>
  <c r="BD15" i="15"/>
  <c r="BL11" i="15"/>
  <c r="BH10" i="15"/>
  <c r="BD9" i="15"/>
  <c r="BL7" i="15"/>
  <c r="BH30" i="15"/>
  <c r="BV139" i="15"/>
  <c r="BV142" i="15" s="1"/>
  <c r="BD133" i="15"/>
  <c r="BD121" i="15"/>
  <c r="BD108" i="15"/>
  <c r="BD93" i="15"/>
  <c r="BL64" i="15"/>
  <c r="BH62" i="15"/>
  <c r="BD58" i="15"/>
  <c r="BL56" i="15"/>
  <c r="BH53" i="15"/>
  <c r="BD52" i="15"/>
  <c r="BL50" i="15"/>
  <c r="BH49" i="15"/>
  <c r="BD48" i="15"/>
  <c r="BL43" i="15"/>
  <c r="BH42" i="15"/>
  <c r="BD41" i="15"/>
  <c r="BL37" i="15"/>
  <c r="BH36" i="15"/>
  <c r="BD35" i="15"/>
  <c r="BD30" i="15"/>
  <c r="BD26" i="15"/>
  <c r="BD27" i="15" s="1"/>
  <c r="BE128" i="15"/>
  <c r="BE102" i="15"/>
  <c r="BE103" i="15" s="1"/>
  <c r="BK64" i="15"/>
  <c r="BG62" i="15"/>
  <c r="BD119" i="15"/>
  <c r="BJ64" i="15"/>
  <c r="BC57" i="15"/>
  <c r="BG52" i="15"/>
  <c r="BK49" i="15"/>
  <c r="BC45" i="15"/>
  <c r="BG41" i="15"/>
  <c r="BK36" i="15"/>
  <c r="BC32" i="15"/>
  <c r="BG26" i="15"/>
  <c r="BG27" i="15" s="1"/>
  <c r="BG21" i="15"/>
  <c r="BJ19" i="15"/>
  <c r="BM16" i="15"/>
  <c r="BC15" i="15"/>
  <c r="BF11" i="15"/>
  <c r="BI9" i="15"/>
  <c r="CB63" i="15"/>
  <c r="CB66" i="15" s="1"/>
  <c r="BX31" i="15"/>
  <c r="BX33" i="15" s="1"/>
  <c r="CB18" i="15"/>
  <c r="CB23" i="15" s="1"/>
  <c r="BW63" i="15"/>
  <c r="BW66" i="15" s="1"/>
  <c r="CA18" i="15"/>
  <c r="BG140" i="15"/>
  <c r="BG142" i="15" s="1"/>
  <c r="BG132" i="15"/>
  <c r="BG135" i="15" s="1"/>
  <c r="BG119" i="15"/>
  <c r="BG113" i="15"/>
  <c r="BG106" i="15"/>
  <c r="BG109" i="15" s="1"/>
  <c r="BG98" i="15"/>
  <c r="BG93" i="15"/>
  <c r="BV63" i="15"/>
  <c r="BV66" i="15" s="1"/>
  <c r="BV31" i="15"/>
  <c r="BV33" i="15" s="1"/>
  <c r="BV18" i="15"/>
  <c r="BV23" i="15" s="1"/>
  <c r="BF129" i="15"/>
  <c r="BF125" i="15"/>
  <c r="BF118" i="15"/>
  <c r="BF112" i="15"/>
  <c r="BF96" i="15"/>
  <c r="BE133" i="15"/>
  <c r="BE121" i="15"/>
  <c r="BE108" i="15"/>
  <c r="BE93" i="15"/>
  <c r="BM64" i="15"/>
  <c r="BI62" i="15"/>
  <c r="BI66" i="15" s="1"/>
  <c r="BE58" i="15"/>
  <c r="BM56" i="15"/>
  <c r="BI53" i="15"/>
  <c r="BE52" i="15"/>
  <c r="BM50" i="15"/>
  <c r="BI49" i="15"/>
  <c r="BE48" i="15"/>
  <c r="BM43" i="15"/>
  <c r="BI42" i="15"/>
  <c r="BE41" i="15"/>
  <c r="BM37" i="15"/>
  <c r="BI36" i="15"/>
  <c r="BE35" i="15"/>
  <c r="BE39" i="15" s="1"/>
  <c r="BM30" i="15"/>
  <c r="BI29" i="15"/>
  <c r="BI33" i="15" s="1"/>
  <c r="BI26" i="15"/>
  <c r="BI27" i="15" s="1"/>
  <c r="BI22" i="15"/>
  <c r="BD21" i="15"/>
  <c r="BL19" i="15"/>
  <c r="BH17" i="15"/>
  <c r="BD16" i="15"/>
  <c r="BL12" i="15"/>
  <c r="BH11" i="15"/>
  <c r="BD10" i="15"/>
  <c r="BL8" i="15"/>
  <c r="BH7" i="15"/>
  <c r="BL29" i="15"/>
  <c r="BU94" i="15"/>
  <c r="BD129" i="15"/>
  <c r="BD118" i="15"/>
  <c r="BE91" i="15"/>
  <c r="BE85" i="15"/>
  <c r="BH64" i="15"/>
  <c r="BD62" i="15"/>
  <c r="BD66" i="15" s="1"/>
  <c r="BL57" i="15"/>
  <c r="BH56" i="15"/>
  <c r="BD53" i="15"/>
  <c r="BL51" i="15"/>
  <c r="BH50" i="15"/>
  <c r="BD49" i="15"/>
  <c r="BL45" i="15"/>
  <c r="BH43" i="15"/>
  <c r="BD42" i="15"/>
  <c r="BL38" i="15"/>
  <c r="BH37" i="15"/>
  <c r="BD36" i="15"/>
  <c r="BL32" i="15"/>
  <c r="BH29" i="15"/>
  <c r="BH33" i="15" s="1"/>
  <c r="BY18" i="15"/>
  <c r="BE140" i="15"/>
  <c r="BE113" i="15"/>
  <c r="BD91" i="15"/>
  <c r="BD85" i="15"/>
  <c r="BG64" i="15"/>
  <c r="BC62" i="15"/>
  <c r="BD106" i="15"/>
  <c r="BF62" i="15"/>
  <c r="BG56" i="15"/>
  <c r="BK51" i="15"/>
  <c r="BC49" i="15"/>
  <c r="BG43" i="15"/>
  <c r="BK38" i="15"/>
  <c r="BC36" i="15"/>
  <c r="BG30" i="15"/>
  <c r="BL22" i="15"/>
  <c r="BN20" i="15"/>
  <c r="BE19" i="15"/>
  <c r="BG16" i="15"/>
  <c r="BJ12" i="15"/>
  <c r="BM10" i="15"/>
  <c r="BC9" i="15"/>
  <c r="BF7" i="15"/>
  <c r="BK52" i="15"/>
  <c r="BG38" i="15"/>
  <c r="BM19" i="15"/>
  <c r="BD102" i="15"/>
  <c r="BD103" i="15" s="1"/>
  <c r="BF64" i="15"/>
  <c r="BN56" i="15"/>
  <c r="BF52" i="15"/>
  <c r="BJ49" i="15"/>
  <c r="BN43" i="15"/>
  <c r="BF41" i="15"/>
  <c r="BJ36" i="15"/>
  <c r="BN30" i="15"/>
  <c r="BF26" i="15"/>
  <c r="BF27" i="15" s="1"/>
  <c r="BK21" i="15"/>
  <c r="BN19" i="15"/>
  <c r="BE17" i="15"/>
  <c r="BG15" i="15"/>
  <c r="BJ11" i="15"/>
  <c r="BM9" i="15"/>
  <c r="BC8" i="15"/>
  <c r="BD140" i="15"/>
  <c r="BG51" i="15"/>
  <c r="BC35" i="15"/>
  <c r="BC22" i="15"/>
  <c r="BI11" i="15"/>
  <c r="BG49" i="15"/>
  <c r="BK26" i="15"/>
  <c r="BK27" i="15" s="1"/>
  <c r="BN17" i="15"/>
  <c r="BY31" i="15"/>
  <c r="BY33" i="15" s="1"/>
  <c r="BD111" i="15"/>
  <c r="BJ62" i="15"/>
  <c r="BJ56" i="15"/>
  <c r="BN51" i="15"/>
  <c r="BF49" i="15"/>
  <c r="BJ43" i="15"/>
  <c r="BK7" i="15"/>
  <c r="BG42" i="15"/>
  <c r="BC11" i="15"/>
  <c r="BN52" i="15"/>
  <c r="BJ45" i="15"/>
  <c r="BF37" i="15"/>
  <c r="BN26" i="15"/>
  <c r="BN27" i="15" s="1"/>
  <c r="BG20" i="15"/>
  <c r="BM15" i="15"/>
  <c r="BF10" i="15"/>
  <c r="CC63" i="15"/>
  <c r="CC66" i="15" s="1"/>
  <c r="BC37" i="15"/>
  <c r="BF15" i="15"/>
  <c r="BG32" i="15"/>
  <c r="BJ10" i="15"/>
  <c r="BN64" i="15"/>
  <c r="BJ52" i="15"/>
  <c r="BF45" i="15"/>
  <c r="BF38" i="15"/>
  <c r="BF32" i="15"/>
  <c r="BN22" i="15"/>
  <c r="BJ20" i="15"/>
  <c r="BN16" i="15"/>
  <c r="BK12" i="15"/>
  <c r="BI10" i="15"/>
  <c r="BM7" i="15"/>
  <c r="BC58" i="15"/>
  <c r="BC41" i="15"/>
  <c r="BK15" i="15"/>
  <c r="BK9" i="15"/>
  <c r="CZ79" i="15"/>
  <c r="CZ3" i="15"/>
  <c r="B30" i="15"/>
  <c r="B106" i="15" s="1"/>
  <c r="A262" i="15" s="1"/>
  <c r="B57" i="15"/>
  <c r="B133" i="15" s="1"/>
  <c r="A289" i="15" s="1"/>
  <c r="B52" i="15"/>
  <c r="B128" i="15" s="1"/>
  <c r="A284" i="15" s="1"/>
  <c r="B37" i="15"/>
  <c r="B113" i="15" s="1"/>
  <c r="A269" i="15" s="1"/>
  <c r="B31" i="15"/>
  <c r="B107" i="15" s="1"/>
  <c r="A263" i="15" s="1"/>
  <c r="B9" i="15"/>
  <c r="B85" i="15" s="1"/>
  <c r="A241" i="15" s="1"/>
  <c r="CY167" i="15"/>
  <c r="B167" i="15" s="1"/>
  <c r="B236" i="15" s="1"/>
  <c r="B63" i="15"/>
  <c r="B139" i="15" s="1"/>
  <c r="A295" i="15" s="1"/>
  <c r="B51" i="15"/>
  <c r="B127" i="15" s="1"/>
  <c r="A283" i="15" s="1"/>
  <c r="B25" i="15"/>
  <c r="B101" i="15" s="1"/>
  <c r="A257" i="15" s="1"/>
  <c r="B41" i="15"/>
  <c r="B117" i="15" s="1"/>
  <c r="A273" i="15" s="1"/>
  <c r="B36" i="15"/>
  <c r="B112" i="15" s="1"/>
  <c r="A268" i="15" s="1"/>
  <c r="BD113" i="15"/>
  <c r="BK35" i="15"/>
  <c r="BK39" i="15" s="1"/>
  <c r="BN58" i="15"/>
  <c r="BJ51" i="15"/>
  <c r="BF43" i="15"/>
  <c r="BN35" i="15"/>
  <c r="BI19" i="15"/>
  <c r="BN12" i="15"/>
  <c r="BG9" i="15"/>
  <c r="BK30" i="15"/>
  <c r="BJ58" i="15"/>
  <c r="BF51" i="15"/>
  <c r="BN42" i="15"/>
  <c r="BN36" i="15"/>
  <c r="BJ30" i="15"/>
  <c r="BH22" i="15"/>
  <c r="BK19" i="15"/>
  <c r="BI16" i="15"/>
  <c r="BF12" i="15"/>
  <c r="BJ9" i="15"/>
  <c r="BG7" i="15"/>
  <c r="BG53" i="15"/>
  <c r="BC30" i="15"/>
  <c r="BN11" i="15"/>
  <c r="BN7" i="15"/>
  <c r="B61" i="15"/>
  <c r="B137" i="15" s="1"/>
  <c r="A293" i="15" s="1"/>
  <c r="B11" i="15"/>
  <c r="B87" i="15" s="1"/>
  <c r="A243" i="15" s="1"/>
  <c r="BR135" i="15"/>
  <c r="B16" i="15"/>
  <c r="B92" i="15" s="1"/>
  <c r="A248" i="15" s="1"/>
  <c r="B64" i="15"/>
  <c r="B140" i="15" s="1"/>
  <c r="A296" i="15" s="1"/>
  <c r="B44" i="15"/>
  <c r="B18" i="15"/>
  <c r="B94" i="15" s="1"/>
  <c r="A250" i="15" s="1"/>
  <c r="B49" i="15"/>
  <c r="B125" i="15" s="1"/>
  <c r="A281" i="15" s="1"/>
  <c r="BC50" i="15"/>
  <c r="BJ16" i="15"/>
  <c r="BF56" i="15"/>
  <c r="BN48" i="15"/>
  <c r="BJ38" i="15"/>
  <c r="BF30" i="15"/>
  <c r="BF21" i="15"/>
  <c r="BK16" i="15"/>
  <c r="BE11" i="15"/>
  <c r="BJ7" i="15"/>
  <c r="BK48" i="15"/>
  <c r="BF20" i="15"/>
  <c r="BC43" i="15"/>
  <c r="BE16" i="15"/>
  <c r="BN53" i="15"/>
  <c r="BJ48" i="15"/>
  <c r="BJ54" i="15" s="1"/>
  <c r="BN38" i="15"/>
  <c r="BJ35" i="15"/>
  <c r="BJ26" i="15"/>
  <c r="BJ27" i="15" s="1"/>
  <c r="BC21" i="15"/>
  <c r="BM17" i="15"/>
  <c r="BE15" i="15"/>
  <c r="BN10" i="15"/>
  <c r="BK8" i="15"/>
  <c r="BN62" i="15"/>
  <c r="BK43" i="15"/>
  <c r="BK20" i="15"/>
  <c r="BF9" i="15"/>
  <c r="BI7" i="15"/>
  <c r="CZ4" i="15"/>
  <c r="B62" i="15"/>
  <c r="B138" i="15" s="1"/>
  <c r="A294" i="15" s="1"/>
  <c r="B29" i="15"/>
  <c r="B105" i="15" s="1"/>
  <c r="A261" i="15" s="1"/>
  <c r="B20" i="15"/>
  <c r="B96" i="15" s="1"/>
  <c r="A252" i="15" s="1"/>
  <c r="CY79" i="15"/>
  <c r="B79" i="15" s="1"/>
  <c r="CY80" i="15"/>
  <c r="B43" i="15"/>
  <c r="B119" i="15" s="1"/>
  <c r="A275" i="15" s="1"/>
  <c r="B48" i="15"/>
  <c r="B124" i="15" s="1"/>
  <c r="A280" i="15" s="1"/>
  <c r="CY4" i="15"/>
  <c r="B4" i="15" s="1"/>
  <c r="B80" i="15" s="1"/>
  <c r="D167" i="15"/>
  <c r="CY3" i="15"/>
  <c r="B3" i="15" s="1"/>
  <c r="B7" i="15"/>
  <c r="B83" i="15" s="1"/>
  <c r="A239" i="15" s="1"/>
  <c r="B50" i="15"/>
  <c r="B19" i="15"/>
  <c r="B95" i="15" s="1"/>
  <c r="A251" i="15" s="1"/>
  <c r="B8" i="15"/>
  <c r="B84" i="15" s="1"/>
  <c r="A240" i="15" s="1"/>
  <c r="B10" i="15"/>
  <c r="B86" i="15" s="1"/>
  <c r="A242" i="15" s="1"/>
  <c r="BG57" i="15"/>
  <c r="BF50" i="15"/>
  <c r="BJ17" i="15"/>
  <c r="BF57" i="15"/>
  <c r="BN29" i="15"/>
  <c r="BN33" i="15" s="1"/>
  <c r="BG11" i="15"/>
  <c r="BJ22" i="15"/>
  <c r="B42" i="15"/>
  <c r="B118" i="15" s="1"/>
  <c r="A274" i="15" s="1"/>
  <c r="B38" i="15"/>
  <c r="B21" i="15"/>
  <c r="B97" i="15" s="1"/>
  <c r="A253" i="15" s="1"/>
  <c r="B135" i="15"/>
  <c r="A291" i="15" s="1"/>
  <c r="BJ21" i="15"/>
  <c r="BN41" i="15"/>
  <c r="BC12" i="15"/>
  <c r="BC52" i="15"/>
  <c r="BN49" i="15"/>
  <c r="BI21" i="15"/>
  <c r="BE9" i="15"/>
  <c r="BE10" i="15"/>
  <c r="B56" i="15"/>
  <c r="B132" i="15" s="1"/>
  <c r="A288" i="15" s="1"/>
  <c r="BI8" i="15"/>
  <c r="BJ41" i="15"/>
  <c r="BE22" i="15"/>
  <c r="B17" i="15"/>
  <c r="B93" i="15" s="1"/>
  <c r="A249" i="15" s="1"/>
  <c r="BJ57" i="15"/>
  <c r="BG19" i="15"/>
  <c r="BC16" i="15"/>
  <c r="BJ32" i="15"/>
  <c r="BC48" i="15"/>
  <c r="BF22" i="15"/>
  <c r="BF36" i="15"/>
  <c r="BC7" i="15"/>
  <c r="BA135" i="15"/>
  <c r="B15" i="15"/>
  <c r="B91" i="15" s="1"/>
  <c r="A247" i="15" s="1"/>
  <c r="BC56" i="15"/>
  <c r="BF19" i="15"/>
  <c r="B35" i="15"/>
  <c r="B111" i="15" s="1"/>
  <c r="A267" i="15" s="1"/>
  <c r="Q20" i="5"/>
  <c r="E54" i="5" s="1"/>
  <c r="CV55" i="8"/>
  <c r="C55" i="8" s="1"/>
  <c r="CV29" i="8"/>
  <c r="C29" i="8" s="1"/>
  <c r="CW48" i="8"/>
  <c r="CW60" i="8"/>
  <c r="CW24" i="8"/>
  <c r="CW58" i="8" s="1"/>
  <c r="CW15" i="8"/>
  <c r="CV63" i="8"/>
  <c r="C63" i="8" s="1"/>
  <c r="CW29" i="8"/>
  <c r="CW63" i="8" s="1"/>
  <c r="CW56" i="8"/>
  <c r="E64" i="8"/>
  <c r="CW12" i="8"/>
  <c r="CV22" i="8"/>
  <c r="C22" i="8" s="1"/>
  <c r="CV58" i="8"/>
  <c r="C58" i="8" s="1"/>
  <c r="CV15" i="8"/>
  <c r="C15" i="8" s="1"/>
  <c r="CV24" i="8"/>
  <c r="C24" i="8" s="1"/>
  <c r="CV26" i="8"/>
  <c r="C26" i="8" s="1"/>
  <c r="G64" i="8"/>
  <c r="O30" i="8"/>
  <c r="CW46" i="8"/>
  <c r="G60" i="8"/>
  <c r="J25" i="8"/>
  <c r="J26" i="8"/>
  <c r="H60" i="8"/>
  <c r="F25" i="8"/>
  <c r="L25" i="8"/>
  <c r="D30" i="8"/>
  <c r="CW49" i="8"/>
  <c r="CW22" i="8"/>
  <c r="CW21" i="8"/>
  <c r="CW55" i="8" s="1"/>
  <c r="CV21" i="8"/>
  <c r="C21" i="8" s="1"/>
  <c r="M30" i="8"/>
  <c r="CV25" i="8"/>
  <c r="C25" i="8" s="1"/>
  <c r="CV48" i="8"/>
  <c r="C48" i="8" s="1"/>
  <c r="CV49" i="8"/>
  <c r="C49" i="8" s="1"/>
  <c r="CV60" i="8"/>
  <c r="C60" i="8" s="1"/>
  <c r="H30" i="8"/>
  <c r="CV20" i="8"/>
  <c r="C20" i="8" s="1"/>
  <c r="P20" i="8" s="1"/>
  <c r="J30" i="8"/>
  <c r="K30" i="8"/>
  <c r="F59" i="8"/>
  <c r="L26" i="8"/>
  <c r="E60" i="8"/>
  <c r="O26" i="8"/>
  <c r="CW14" i="8"/>
  <c r="CW23" i="8"/>
  <c r="CW57" i="8" s="1"/>
  <c r="H64" i="8"/>
  <c r="CV54" i="8"/>
  <c r="C54" i="8" s="1"/>
  <c r="CV23" i="8"/>
  <c r="C23" i="8" s="1"/>
  <c r="CV12" i="8"/>
  <c r="C12" i="8" s="1"/>
  <c r="I30" i="8"/>
  <c r="CV57" i="8"/>
  <c r="C57" i="8" s="1"/>
  <c r="F64" i="8"/>
  <c r="CV56" i="8"/>
  <c r="C56" i="8" s="1"/>
  <c r="N30" i="8"/>
  <c r="E59" i="8"/>
  <c r="K25" i="8"/>
  <c r="M11" i="8"/>
  <c r="J11" i="8"/>
  <c r="G59" i="8"/>
  <c r="F60" i="8"/>
  <c r="CW26" i="8"/>
  <c r="L30" i="8"/>
  <c r="CV46" i="8"/>
  <c r="C46" i="8" s="1"/>
  <c r="H59" i="8"/>
  <c r="N11" i="8"/>
  <c r="F11" i="8"/>
  <c r="G11" i="8"/>
  <c r="G45" i="8"/>
  <c r="CW20" i="8"/>
  <c r="CW54" i="8" s="1"/>
  <c r="O11" i="8"/>
  <c r="CW59" i="8"/>
  <c r="E30" i="8"/>
  <c r="E45" i="8"/>
  <c r="H45" i="8"/>
  <c r="I11" i="8"/>
  <c r="F45" i="8"/>
  <c r="CW25" i="8"/>
  <c r="G30" i="8"/>
  <c r="F30" i="8"/>
  <c r="K11" i="8"/>
  <c r="I26" i="8"/>
  <c r="H11" i="8"/>
  <c r="CV59" i="8"/>
  <c r="C59" i="8" s="1"/>
  <c r="E11" i="8"/>
  <c r="D11" i="8"/>
  <c r="L11" i="8"/>
  <c r="CV14" i="8"/>
  <c r="C14" i="8" s="1"/>
  <c r="BX107" i="15"/>
  <c r="BX109" i="15" s="1"/>
  <c r="BF84" i="15"/>
  <c r="BU89" i="15"/>
  <c r="BE92" i="15"/>
  <c r="G91" i="6"/>
  <c r="BE117" i="15"/>
  <c r="BE122" i="15" s="1"/>
  <c r="BE126" i="15"/>
  <c r="BF138" i="15"/>
  <c r="BF142" i="15" s="1"/>
  <c r="BX142" i="15"/>
  <c r="L409" i="6"/>
  <c r="O409" i="6" s="1"/>
  <c r="G410" i="6"/>
  <c r="D21" i="8"/>
  <c r="D15" i="8" s="1"/>
  <c r="B135" i="6"/>
  <c r="B149" i="6"/>
  <c r="BD105" i="15"/>
  <c r="L32" i="5"/>
  <c r="K26" i="8" s="1"/>
  <c r="O32" i="5"/>
  <c r="N26" i="8" s="1"/>
  <c r="E33" i="5"/>
  <c r="Q30" i="5"/>
  <c r="E64" i="5" s="1"/>
  <c r="CV16" i="6"/>
  <c r="B16" i="6" s="1"/>
  <c r="CV40" i="6"/>
  <c r="B40" i="6" s="1"/>
  <c r="CV3" i="6"/>
  <c r="B3" i="6" s="1"/>
  <c r="CW40" i="6"/>
  <c r="CW16" i="6"/>
  <c r="CV34" i="6"/>
  <c r="B34" i="6" s="1"/>
  <c r="CW29" i="6"/>
  <c r="CV29" i="6"/>
  <c r="B29" i="6" s="1"/>
  <c r="CW34" i="6"/>
  <c r="CW3" i="6"/>
  <c r="BU107" i="15"/>
  <c r="BU109" i="15" s="1"/>
  <c r="BD84" i="15"/>
  <c r="BW89" i="15"/>
  <c r="BD124" i="15"/>
  <c r="BG124" i="15"/>
  <c r="BF92" i="15"/>
  <c r="BD117" i="15"/>
  <c r="BG117" i="15"/>
  <c r="BG122" i="15" s="1"/>
  <c r="Q13" i="5"/>
  <c r="E47" i="5" s="1"/>
  <c r="E68" i="5" s="1"/>
  <c r="E69" i="5" s="1"/>
  <c r="F69" i="5" s="1"/>
  <c r="G69" i="5" s="1"/>
  <c r="H69" i="5" s="1"/>
  <c r="E45" i="5"/>
  <c r="BG126" i="15"/>
  <c r="BE138" i="15"/>
  <c r="BE142" i="15" s="1"/>
  <c r="BT84" i="15"/>
  <c r="CF54" i="15"/>
  <c r="BT130" i="15" s="1"/>
  <c r="CW70" i="5"/>
  <c r="CW71" i="5"/>
  <c r="CW37" i="5"/>
  <c r="G78" i="15"/>
  <c r="K2" i="13"/>
  <c r="CW3" i="5"/>
  <c r="J78" i="15"/>
  <c r="H32" i="5"/>
  <c r="G26" i="8" s="1"/>
  <c r="AH363" i="6"/>
  <c r="AI362" i="6"/>
  <c r="BW107" i="15"/>
  <c r="BW109" i="15" s="1"/>
  <c r="BE84" i="15"/>
  <c r="BV89" i="15"/>
  <c r="BE124" i="15"/>
  <c r="BD92" i="15"/>
  <c r="BU99" i="15"/>
  <c r="E32" i="6"/>
  <c r="I151" i="6"/>
  <c r="BF117" i="15"/>
  <c r="BF122" i="15" s="1"/>
  <c r="G35" i="5"/>
  <c r="H35" i="5" s="1"/>
  <c r="I35" i="5" s="1"/>
  <c r="J35" i="5" s="1"/>
  <c r="K35" i="5" s="1"/>
  <c r="L35" i="5" s="1"/>
  <c r="M35" i="5" s="1"/>
  <c r="N35" i="5" s="1"/>
  <c r="O35" i="5" s="1"/>
  <c r="P35" i="5" s="1"/>
  <c r="Q34" i="5"/>
  <c r="BF126" i="15"/>
  <c r="BD138" i="15"/>
  <c r="BD122" i="15" l="1"/>
  <c r="BD109" i="15"/>
  <c r="BN66" i="15"/>
  <c r="BM59" i="15"/>
  <c r="BE46" i="15"/>
  <c r="H157" i="6"/>
  <c r="K12" i="8"/>
  <c r="L12" i="8"/>
  <c r="M12" i="8"/>
  <c r="Q33" i="5"/>
  <c r="E67" i="5" s="1"/>
  <c r="D59" i="8" s="1"/>
  <c r="J12" i="8"/>
  <c r="H12" i="8"/>
  <c r="E12" i="8"/>
  <c r="I69" i="5"/>
  <c r="D137" i="6"/>
  <c r="D142" i="6"/>
  <c r="Q140" i="16"/>
  <c r="Q138" i="16" s="1"/>
  <c r="E104" i="6"/>
  <c r="D116" i="6"/>
  <c r="D117" i="6" s="1"/>
  <c r="U348" i="6"/>
  <c r="E347" i="6"/>
  <c r="D139" i="6"/>
  <c r="D141" i="6"/>
  <c r="D138" i="6"/>
  <c r="D140" i="6"/>
  <c r="E133" i="6"/>
  <c r="U17" i="15"/>
  <c r="F81" i="15"/>
  <c r="D113" i="6"/>
  <c r="D114" i="6"/>
  <c r="E107" i="6"/>
  <c r="D112" i="6"/>
  <c r="D115" i="6"/>
  <c r="D109" i="6"/>
  <c r="D110" i="6"/>
  <c r="D111" i="6"/>
  <c r="B143" i="16"/>
  <c r="B158" i="16"/>
  <c r="B160" i="16"/>
  <c r="B173" i="16"/>
  <c r="B167" i="16"/>
  <c r="B178" i="16"/>
  <c r="B180" i="16"/>
  <c r="B177" i="16"/>
  <c r="B187" i="16"/>
  <c r="B200" i="16"/>
  <c r="AP137" i="16"/>
  <c r="E130" i="16"/>
  <c r="B184" i="16"/>
  <c r="B185" i="16"/>
  <c r="B175" i="16"/>
  <c r="B153" i="16"/>
  <c r="B151" i="16"/>
  <c r="B174" i="16"/>
  <c r="B176" i="16"/>
  <c r="B189" i="16"/>
  <c r="B171" i="16"/>
  <c r="B194" i="16"/>
  <c r="B196" i="16"/>
  <c r="B193" i="16"/>
  <c r="B166" i="16"/>
  <c r="B165" i="16"/>
  <c r="B170" i="16"/>
  <c r="B169" i="16"/>
  <c r="B181" i="16"/>
  <c r="B195" i="16"/>
  <c r="B186" i="16"/>
  <c r="B199" i="16"/>
  <c r="B155" i="16"/>
  <c r="B190" i="16"/>
  <c r="B192" i="16"/>
  <c r="B147" i="16"/>
  <c r="B146" i="16"/>
  <c r="B148" i="16"/>
  <c r="B145" i="16"/>
  <c r="B163" i="16"/>
  <c r="B198" i="16"/>
  <c r="B197" i="16"/>
  <c r="B202" i="16"/>
  <c r="B183" i="16"/>
  <c r="B150" i="16"/>
  <c r="B154" i="16"/>
  <c r="B149" i="16"/>
  <c r="B179" i="16"/>
  <c r="B168" i="16"/>
  <c r="B172" i="16"/>
  <c r="B156" i="16"/>
  <c r="B152" i="16"/>
  <c r="B201" i="16"/>
  <c r="AM137" i="16"/>
  <c r="B144" i="16"/>
  <c r="B157" i="16"/>
  <c r="B162" i="16"/>
  <c r="B164" i="16"/>
  <c r="B161" i="16"/>
  <c r="B159" i="16"/>
  <c r="B191" i="16"/>
  <c r="B182" i="16"/>
  <c r="B188" i="16"/>
  <c r="F41" i="8"/>
  <c r="E205" i="8"/>
  <c r="D165" i="6"/>
  <c r="E159" i="6"/>
  <c r="D164" i="6"/>
  <c r="D166" i="6"/>
  <c r="D167" i="6"/>
  <c r="E185" i="6"/>
  <c r="D193" i="6"/>
  <c r="D192" i="6"/>
  <c r="D190" i="6"/>
  <c r="D191" i="6"/>
  <c r="D168" i="6"/>
  <c r="E156" i="6"/>
  <c r="G39" i="5"/>
  <c r="Y37" i="5"/>
  <c r="H176" i="6"/>
  <c r="H183" i="6" s="1"/>
  <c r="BH59" i="15"/>
  <c r="BW143" i="15"/>
  <c r="G150" i="15" s="1"/>
  <c r="G58" i="8" s="1"/>
  <c r="BU67" i="15"/>
  <c r="E74" i="15" s="1"/>
  <c r="E24" i="8" s="1"/>
  <c r="BJ66" i="15"/>
  <c r="BD130" i="15"/>
  <c r="BD142" i="15"/>
  <c r="BE130" i="15"/>
  <c r="I12" i="8"/>
  <c r="BJ46" i="15"/>
  <c r="BO12" i="15"/>
  <c r="BC88" i="15" s="1"/>
  <c r="BK54" i="15"/>
  <c r="BF59" i="15"/>
  <c r="BO37" i="15"/>
  <c r="BC113" i="15" s="1"/>
  <c r="BE54" i="15"/>
  <c r="BX143" i="15"/>
  <c r="H150" i="15" s="1"/>
  <c r="H58" i="8" s="1"/>
  <c r="BN46" i="15"/>
  <c r="BJ39" i="15"/>
  <c r="BE109" i="15"/>
  <c r="BV143" i="15"/>
  <c r="F150" i="15" s="1"/>
  <c r="F58" i="8" s="1"/>
  <c r="O12" i="8"/>
  <c r="F12" i="8"/>
  <c r="BO16" i="15"/>
  <c r="BC92" i="15" s="1"/>
  <c r="BO52" i="15"/>
  <c r="BC128" i="15" s="1"/>
  <c r="N12" i="8"/>
  <c r="BU143" i="15"/>
  <c r="E150" i="15" s="1"/>
  <c r="G12" i="8"/>
  <c r="AJ362" i="6"/>
  <c r="AI363" i="6"/>
  <c r="D25" i="8"/>
  <c r="D12" i="8" s="1"/>
  <c r="D54" i="8"/>
  <c r="BC54" i="15"/>
  <c r="BO48" i="15"/>
  <c r="BC124" i="15" s="1"/>
  <c r="B126" i="15"/>
  <c r="A282" i="15" s="1"/>
  <c r="B130" i="15"/>
  <c r="BE23" i="15"/>
  <c r="BJ13" i="15"/>
  <c r="B115" i="15"/>
  <c r="B120" i="15"/>
  <c r="A276" i="15" s="1"/>
  <c r="BO30" i="15"/>
  <c r="BC106" i="15" s="1"/>
  <c r="BO58" i="15"/>
  <c r="BC134" i="15" s="1"/>
  <c r="BO11" i="15"/>
  <c r="BC87" i="15" s="1"/>
  <c r="BD115" i="15"/>
  <c r="BF46" i="15"/>
  <c r="BN59" i="15"/>
  <c r="BG59" i="15"/>
  <c r="BH13" i="15"/>
  <c r="BG66" i="15"/>
  <c r="BD54" i="15"/>
  <c r="BM66" i="15"/>
  <c r="BK46" i="15"/>
  <c r="BD135" i="15"/>
  <c r="BH46" i="15"/>
  <c r="CC23" i="15"/>
  <c r="CC67" i="15" s="1"/>
  <c r="M74" i="15" s="1"/>
  <c r="BG99" i="15"/>
  <c r="CF63" i="15"/>
  <c r="BT139" i="15" s="1"/>
  <c r="BT66" i="15"/>
  <c r="CF66" i="15" s="1"/>
  <c r="BT142" i="15" s="1"/>
  <c r="BN23" i="15"/>
  <c r="BK33" i="15"/>
  <c r="BG54" i="15"/>
  <c r="BL23" i="15"/>
  <c r="BF99" i="15"/>
  <c r="C66" i="5"/>
  <c r="D32" i="5"/>
  <c r="H92" i="6"/>
  <c r="I32" i="6" s="1"/>
  <c r="Q32" i="5"/>
  <c r="E66" i="5" s="1"/>
  <c r="D60" i="8" s="1"/>
  <c r="BZ67" i="15"/>
  <c r="J74" i="15" s="1"/>
  <c r="D68" i="15"/>
  <c r="D231" i="15"/>
  <c r="I177" i="6"/>
  <c r="D163" i="6"/>
  <c r="BG130" i="15"/>
  <c r="P11" i="8"/>
  <c r="P15" i="8"/>
  <c r="D49" i="8" s="1"/>
  <c r="BO7" i="15"/>
  <c r="BC13" i="15"/>
  <c r="BI13" i="15"/>
  <c r="BO43" i="15"/>
  <c r="BC119" i="15" s="1"/>
  <c r="BO50" i="15"/>
  <c r="BC126" i="15" s="1"/>
  <c r="BN39" i="15"/>
  <c r="BM13" i="15"/>
  <c r="BG23" i="15"/>
  <c r="BF66" i="15"/>
  <c r="BY23" i="15"/>
  <c r="BY67" i="15" s="1"/>
  <c r="I74" i="15" s="1"/>
  <c r="BG46" i="15"/>
  <c r="BO57" i="15"/>
  <c r="BC133" i="15" s="1"/>
  <c r="BD46" i="15"/>
  <c r="BL59" i="15"/>
  <c r="BM33" i="15"/>
  <c r="BI54" i="15"/>
  <c r="BF89" i="15"/>
  <c r="BG89" i="15"/>
  <c r="BJ23" i="15"/>
  <c r="BF33" i="15"/>
  <c r="BK59" i="15"/>
  <c r="BG33" i="15"/>
  <c r="BO20" i="15"/>
  <c r="BC96" i="15" s="1"/>
  <c r="BO53" i="15"/>
  <c r="BC129" i="15" s="1"/>
  <c r="BK66" i="15"/>
  <c r="BH39" i="15"/>
  <c r="BM54" i="15"/>
  <c r="BE59" i="15"/>
  <c r="CD23" i="15"/>
  <c r="CD67" i="15" s="1"/>
  <c r="N74" i="15" s="1"/>
  <c r="BG39" i="15"/>
  <c r="BO51" i="15"/>
  <c r="BC127" i="15" s="1"/>
  <c r="BO64" i="15"/>
  <c r="BC140" i="15" s="1"/>
  <c r="BL54" i="15"/>
  <c r="BD59" i="15"/>
  <c r="BE66" i="15"/>
  <c r="P8" i="7"/>
  <c r="CE67" i="15"/>
  <c r="O74" i="15" s="1"/>
  <c r="BX67" i="15"/>
  <c r="H74" i="15" s="1"/>
  <c r="B161" i="6"/>
  <c r="B175" i="6"/>
  <c r="B187" i="6" s="1"/>
  <c r="G92" i="6"/>
  <c r="E55" i="8"/>
  <c r="H55" i="8"/>
  <c r="F55" i="8"/>
  <c r="G55" i="8"/>
  <c r="BC59" i="15"/>
  <c r="BO56" i="15"/>
  <c r="BC132" i="15" s="1"/>
  <c r="BO21" i="15"/>
  <c r="BC97" i="15" s="1"/>
  <c r="BN54" i="15"/>
  <c r="BN13" i="15"/>
  <c r="BG13" i="15"/>
  <c r="BK23" i="15"/>
  <c r="BF23" i="15"/>
  <c r="BM23" i="15"/>
  <c r="BK13" i="15"/>
  <c r="BJ59" i="15"/>
  <c r="BO22" i="15"/>
  <c r="BC98" i="15" s="1"/>
  <c r="BO8" i="15"/>
  <c r="BC84" i="15" s="1"/>
  <c r="BF13" i="15"/>
  <c r="BO49" i="15"/>
  <c r="BC125" i="15" s="1"/>
  <c r="BD99" i="15"/>
  <c r="BO15" i="15"/>
  <c r="BC91" i="15" s="1"/>
  <c r="BC23" i="15"/>
  <c r="BD39" i="15"/>
  <c r="BI46" i="15"/>
  <c r="CF18" i="15"/>
  <c r="BT23" i="15"/>
  <c r="BO17" i="15"/>
  <c r="BC93" i="15" s="1"/>
  <c r="BE13" i="15"/>
  <c r="BJ33" i="15"/>
  <c r="BF54" i="15"/>
  <c r="BO42" i="15"/>
  <c r="BC118" i="15" s="1"/>
  <c r="BD89" i="15"/>
  <c r="BE135" i="15"/>
  <c r="BL66" i="15"/>
  <c r="BM46" i="15"/>
  <c r="BO38" i="15"/>
  <c r="BC114" i="15" s="1"/>
  <c r="BL46" i="15"/>
  <c r="BD33" i="15"/>
  <c r="BE33" i="15"/>
  <c r="BF115" i="15"/>
  <c r="C54" i="5"/>
  <c r="C25" i="5"/>
  <c r="I175" i="6"/>
  <c r="D161" i="6"/>
  <c r="BW67" i="15"/>
  <c r="G74" i="15" s="1"/>
  <c r="E46" i="8"/>
  <c r="H46" i="8" s="1"/>
  <c r="F46" i="8"/>
  <c r="P21" i="8"/>
  <c r="D55" i="8" s="1"/>
  <c r="P30" i="8"/>
  <c r="D64" i="8" s="1"/>
  <c r="P26" i="8"/>
  <c r="H199" i="15"/>
  <c r="H212" i="15"/>
  <c r="K193" i="15"/>
  <c r="L200" i="15"/>
  <c r="O216" i="15"/>
  <c r="G200" i="15"/>
  <c r="N183" i="15"/>
  <c r="G296" i="15"/>
  <c r="F275" i="15"/>
  <c r="L198" i="15"/>
  <c r="M216" i="15"/>
  <c r="H241" i="15"/>
  <c r="H170" i="15"/>
  <c r="G221" i="15"/>
  <c r="K208" i="15"/>
  <c r="H250" i="15"/>
  <c r="F172" i="15"/>
  <c r="E220" i="15"/>
  <c r="G269" i="15"/>
  <c r="F215" i="15"/>
  <c r="F183" i="15"/>
  <c r="M212" i="15"/>
  <c r="D208" i="15"/>
  <c r="M179" i="15"/>
  <c r="I185" i="15"/>
  <c r="O185" i="15"/>
  <c r="E239" i="15"/>
  <c r="H185" i="15"/>
  <c r="M180" i="15"/>
  <c r="D227" i="15"/>
  <c r="E243" i="15"/>
  <c r="G252" i="15"/>
  <c r="H258" i="15"/>
  <c r="K214" i="15"/>
  <c r="D183" i="15"/>
  <c r="G199" i="15"/>
  <c r="E264" i="15"/>
  <c r="L195" i="15"/>
  <c r="G247" i="15"/>
  <c r="K189" i="15"/>
  <c r="I200" i="15"/>
  <c r="F181" i="15"/>
  <c r="N199" i="15"/>
  <c r="G249" i="15"/>
  <c r="E276" i="15"/>
  <c r="I220" i="15"/>
  <c r="D189" i="15"/>
  <c r="G254" i="15"/>
  <c r="D205" i="15"/>
  <c r="F297" i="15"/>
  <c r="E205" i="15"/>
  <c r="O198" i="15"/>
  <c r="D180" i="15"/>
  <c r="G201" i="15"/>
  <c r="J193" i="15"/>
  <c r="D212" i="15"/>
  <c r="E285" i="15"/>
  <c r="E295" i="15"/>
  <c r="D195" i="15"/>
  <c r="J212" i="15"/>
  <c r="E206" i="15"/>
  <c r="G295" i="15"/>
  <c r="E275" i="15"/>
  <c r="D179" i="15"/>
  <c r="G193" i="15"/>
  <c r="H188" i="15"/>
  <c r="F270" i="15"/>
  <c r="J185" i="15"/>
  <c r="H219" i="15"/>
  <c r="O174" i="15"/>
  <c r="F175" i="15"/>
  <c r="F262" i="15"/>
  <c r="E174" i="15"/>
  <c r="K226" i="15"/>
  <c r="G275" i="15"/>
  <c r="I179" i="15"/>
  <c r="F189" i="15"/>
  <c r="H252" i="15"/>
  <c r="G288" i="15"/>
  <c r="D181" i="15"/>
  <c r="E249" i="15"/>
  <c r="J181" i="15"/>
  <c r="L205" i="15"/>
  <c r="E284" i="15"/>
  <c r="N185" i="15"/>
  <c r="D170" i="15"/>
  <c r="N172" i="15"/>
  <c r="K199" i="15"/>
  <c r="G175" i="15"/>
  <c r="J178" i="15"/>
  <c r="I199" i="15"/>
  <c r="M170" i="15"/>
  <c r="G185" i="15"/>
  <c r="E207" i="15"/>
  <c r="H243" i="15"/>
  <c r="L188" i="15"/>
  <c r="G170" i="15"/>
  <c r="G290" i="15"/>
  <c r="J205" i="15"/>
  <c r="I180" i="15"/>
  <c r="J180" i="15"/>
  <c r="G257" i="15"/>
  <c r="J175" i="15"/>
  <c r="H220" i="15"/>
  <c r="N195" i="15"/>
  <c r="J228" i="15"/>
  <c r="H275" i="15"/>
  <c r="F221" i="15"/>
  <c r="E244" i="15"/>
  <c r="E274" i="15"/>
  <c r="G297" i="15"/>
  <c r="O170" i="15"/>
  <c r="K180" i="15"/>
  <c r="E258" i="15"/>
  <c r="E290" i="15"/>
  <c r="F174" i="15"/>
  <c r="J189" i="15"/>
  <c r="G285" i="15"/>
  <c r="D201" i="15"/>
  <c r="N227" i="15"/>
  <c r="O206" i="15"/>
  <c r="G189" i="15"/>
  <c r="O214" i="15"/>
  <c r="O180" i="15"/>
  <c r="H276" i="15"/>
  <c r="H267" i="15"/>
  <c r="G207" i="15"/>
  <c r="M175" i="15"/>
  <c r="D221" i="15"/>
  <c r="O189" i="15"/>
  <c r="F228" i="15"/>
  <c r="L220" i="15"/>
  <c r="K183" i="15"/>
  <c r="E252" i="15"/>
  <c r="F212" i="15"/>
  <c r="F214" i="15"/>
  <c r="F288" i="15"/>
  <c r="L181" i="15"/>
  <c r="E228" i="15"/>
  <c r="O195" i="15"/>
  <c r="H254" i="15"/>
  <c r="F239" i="15"/>
  <c r="M220" i="15"/>
  <c r="F284" i="15"/>
  <c r="F290" i="15"/>
  <c r="K178" i="15"/>
  <c r="I195" i="15"/>
  <c r="N226" i="15"/>
  <c r="I228" i="15"/>
  <c r="H180" i="15"/>
  <c r="F281" i="15"/>
  <c r="K216" i="15"/>
  <c r="F226" i="15"/>
  <c r="H270" i="15"/>
  <c r="G274" i="15"/>
  <c r="F295" i="15"/>
  <c r="F220" i="15"/>
  <c r="D185" i="15"/>
  <c r="K206" i="15"/>
  <c r="G268" i="15"/>
  <c r="G227" i="15"/>
  <c r="H285" i="15"/>
  <c r="N179" i="15"/>
  <c r="G239" i="15"/>
  <c r="F243" i="15"/>
  <c r="D214" i="15"/>
  <c r="D216" i="15"/>
  <c r="E170" i="15"/>
  <c r="O220" i="15"/>
  <c r="E219" i="15"/>
  <c r="G250" i="15"/>
  <c r="H284" i="15"/>
  <c r="J208" i="15"/>
  <c r="D178" i="15"/>
  <c r="J188" i="15"/>
  <c r="H269" i="15"/>
  <c r="H244" i="15"/>
  <c r="K220" i="15"/>
  <c r="F254" i="15"/>
  <c r="L175" i="15"/>
  <c r="O188" i="15"/>
  <c r="O190" i="15" s="1"/>
  <c r="N215" i="15"/>
  <c r="M183" i="15"/>
  <c r="N193" i="15"/>
  <c r="I193" i="15"/>
  <c r="H195" i="15"/>
  <c r="J200" i="15"/>
  <c r="H297" i="15"/>
  <c r="F285" i="15"/>
  <c r="O212" i="15"/>
  <c r="H179" i="15"/>
  <c r="H289" i="15"/>
  <c r="I172" i="15"/>
  <c r="F264" i="15"/>
  <c r="I181" i="15"/>
  <c r="D228" i="15"/>
  <c r="H264" i="15"/>
  <c r="H181" i="15"/>
  <c r="E227" i="15"/>
  <c r="O226" i="15"/>
  <c r="I208" i="15"/>
  <c r="F206" i="15"/>
  <c r="E179" i="15"/>
  <c r="H274" i="15"/>
  <c r="K170" i="15"/>
  <c r="L189" i="15"/>
  <c r="M189" i="15"/>
  <c r="D172" i="15"/>
  <c r="F178" i="15"/>
  <c r="F205" i="15"/>
  <c r="M221" i="15"/>
  <c r="G262" i="15"/>
  <c r="E267" i="15"/>
  <c r="I215" i="15"/>
  <c r="I201" i="15"/>
  <c r="E254" i="15"/>
  <c r="H198" i="15"/>
  <c r="I212" i="15"/>
  <c r="G214" i="15"/>
  <c r="G208" i="15"/>
  <c r="E268" i="15"/>
  <c r="J214" i="15"/>
  <c r="O227" i="15"/>
  <c r="D188" i="15"/>
  <c r="H249" i="15"/>
  <c r="E189" i="15"/>
  <c r="L193" i="15"/>
  <c r="L208" i="15"/>
  <c r="E281" i="15"/>
  <c r="F219" i="15"/>
  <c r="F185" i="15"/>
  <c r="G181" i="15"/>
  <c r="J174" i="15"/>
  <c r="G174" i="15"/>
  <c r="L185" i="15"/>
  <c r="H201" i="15"/>
  <c r="G244" i="15"/>
  <c r="H206" i="15"/>
  <c r="E200" i="15"/>
  <c r="H178" i="15"/>
  <c r="E214" i="15"/>
  <c r="E283" i="15"/>
  <c r="F249" i="15"/>
  <c r="H200" i="15"/>
  <c r="K205" i="15"/>
  <c r="M198" i="15"/>
  <c r="N170" i="15"/>
  <c r="K188" i="15"/>
  <c r="K190" i="15" s="1"/>
  <c r="L180" i="15"/>
  <c r="G219" i="15"/>
  <c r="F267" i="15"/>
  <c r="F193" i="15"/>
  <c r="M193" i="15"/>
  <c r="J179" i="15"/>
  <c r="D199" i="15"/>
  <c r="F257" i="15"/>
  <c r="F201" i="15"/>
  <c r="F170" i="15"/>
  <c r="E199" i="15"/>
  <c r="H288" i="15"/>
  <c r="E193" i="15"/>
  <c r="H295" i="15"/>
  <c r="K212" i="15"/>
  <c r="F274" i="15"/>
  <c r="D220" i="15"/>
  <c r="H172" i="15"/>
  <c r="O179" i="15"/>
  <c r="E215" i="15"/>
  <c r="N180" i="15"/>
  <c r="D207" i="15"/>
  <c r="J172" i="15"/>
  <c r="E257" i="15"/>
  <c r="G270" i="15"/>
  <c r="G228" i="15"/>
  <c r="E195" i="15"/>
  <c r="I198" i="15"/>
  <c r="M227" i="15"/>
  <c r="K200" i="15"/>
  <c r="F180" i="15"/>
  <c r="I205" i="15"/>
  <c r="I183" i="15"/>
  <c r="N220" i="15"/>
  <c r="H268" i="15"/>
  <c r="E250" i="15"/>
  <c r="H226" i="15"/>
  <c r="F216" i="15"/>
  <c r="F244" i="15"/>
  <c r="L199" i="15"/>
  <c r="G216" i="15"/>
  <c r="E277" i="15"/>
  <c r="N216" i="15"/>
  <c r="F247" i="15"/>
  <c r="D193" i="15"/>
  <c r="F258" i="15"/>
  <c r="I174" i="15"/>
  <c r="F296" i="15"/>
  <c r="K207" i="15"/>
  <c r="E247" i="15"/>
  <c r="O208" i="15"/>
  <c r="H277" i="15"/>
  <c r="E172" i="15"/>
  <c r="H189" i="15"/>
  <c r="H257" i="15"/>
  <c r="G215" i="15"/>
  <c r="I170" i="15"/>
  <c r="M201" i="15"/>
  <c r="G180" i="15"/>
  <c r="J216" i="15"/>
  <c r="J215" i="15"/>
  <c r="I226" i="15"/>
  <c r="L201" i="15"/>
  <c r="F200" i="15"/>
  <c r="F252" i="15"/>
  <c r="O219" i="15"/>
  <c r="H247" i="15"/>
  <c r="N208" i="15"/>
  <c r="O199" i="15"/>
  <c r="L207" i="15"/>
  <c r="H183" i="15"/>
  <c r="F277" i="15"/>
  <c r="F227" i="15"/>
  <c r="G212" i="15"/>
  <c r="F198" i="15"/>
  <c r="L227" i="15"/>
  <c r="I216" i="15"/>
  <c r="G283" i="15"/>
  <c r="F179" i="15"/>
  <c r="E183" i="15"/>
  <c r="J220" i="15"/>
  <c r="M181" i="15"/>
  <c r="N212" i="15"/>
  <c r="E175" i="15"/>
  <c r="N188" i="15"/>
  <c r="H228" i="15"/>
  <c r="M188" i="15"/>
  <c r="M190" i="15" s="1"/>
  <c r="M208" i="15"/>
  <c r="F188" i="15"/>
  <c r="F190" i="15" s="1"/>
  <c r="G179" i="15"/>
  <c r="F269" i="15"/>
  <c r="N178" i="15"/>
  <c r="K215" i="15"/>
  <c r="G198" i="15"/>
  <c r="E216" i="15"/>
  <c r="G206" i="15"/>
  <c r="O172" i="15"/>
  <c r="L215" i="15"/>
  <c r="G267" i="15"/>
  <c r="N214" i="15"/>
  <c r="L170" i="15"/>
  <c r="I207" i="15"/>
  <c r="K227" i="15"/>
  <c r="E180" i="15"/>
  <c r="D215" i="15"/>
  <c r="F207" i="15"/>
  <c r="O221" i="15"/>
  <c r="L206" i="15"/>
  <c r="H262" i="15"/>
  <c r="H296" i="15"/>
  <c r="I175" i="15"/>
  <c r="D198" i="15"/>
  <c r="O178" i="15"/>
  <c r="M205" i="15"/>
  <c r="J226" i="15"/>
  <c r="K181" i="15"/>
  <c r="F289" i="15"/>
  <c r="J227" i="15"/>
  <c r="D226" i="15"/>
  <c r="G241" i="15"/>
  <c r="L216" i="15"/>
  <c r="K175" i="15"/>
  <c r="I221" i="15"/>
  <c r="G277" i="15"/>
  <c r="H214" i="15"/>
  <c r="N219" i="15"/>
  <c r="I188" i="15"/>
  <c r="J221" i="15"/>
  <c r="E262" i="15"/>
  <c r="J170" i="15"/>
  <c r="J201" i="15"/>
  <c r="D206" i="15"/>
  <c r="K201" i="15"/>
  <c r="D174" i="15"/>
  <c r="N174" i="15"/>
  <c r="J219" i="15"/>
  <c r="G172" i="15"/>
  <c r="H290" i="15"/>
  <c r="E185" i="15"/>
  <c r="G188" i="15"/>
  <c r="G190" i="15" s="1"/>
  <c r="M185" i="15"/>
  <c r="N198" i="15"/>
  <c r="G220" i="15"/>
  <c r="L178" i="15"/>
  <c r="F199" i="15"/>
  <c r="O215" i="15"/>
  <c r="E208" i="15"/>
  <c r="M199" i="15"/>
  <c r="M172" i="15"/>
  <c r="G276" i="15"/>
  <c r="E297" i="15"/>
  <c r="F268" i="15"/>
  <c r="M174" i="15"/>
  <c r="L219" i="15"/>
  <c r="L228" i="15"/>
  <c r="H175" i="15"/>
  <c r="G281" i="15"/>
  <c r="N207" i="15"/>
  <c r="L179" i="15"/>
  <c r="N221" i="15"/>
  <c r="I189" i="15"/>
  <c r="G195" i="15"/>
  <c r="G258" i="15"/>
  <c r="L221" i="15"/>
  <c r="E212" i="15"/>
  <c r="E178" i="15"/>
  <c r="N189" i="15"/>
  <c r="L212" i="15"/>
  <c r="E226" i="15"/>
  <c r="M215" i="15"/>
  <c r="J183" i="15"/>
  <c r="F276" i="15"/>
  <c r="K172" i="15"/>
  <c r="G264" i="15"/>
  <c r="O175" i="15"/>
  <c r="H227" i="15"/>
  <c r="N205" i="15"/>
  <c r="F283" i="15"/>
  <c r="D175" i="15"/>
  <c r="E198" i="15"/>
  <c r="N206" i="15"/>
  <c r="H205" i="15"/>
  <c r="K195" i="15"/>
  <c r="E289" i="15"/>
  <c r="H193" i="15"/>
  <c r="J206" i="15"/>
  <c r="I227" i="15"/>
  <c r="L214" i="15"/>
  <c r="E270" i="15"/>
  <c r="K179" i="15"/>
  <c r="I219" i="15"/>
  <c r="I222" i="15" s="1"/>
  <c r="E181" i="15"/>
  <c r="H174" i="15"/>
  <c r="M206" i="15"/>
  <c r="F208" i="15"/>
  <c r="O228" i="15"/>
  <c r="K174" i="15"/>
  <c r="M207" i="15"/>
  <c r="M178" i="15"/>
  <c r="L174" i="15"/>
  <c r="J195" i="15"/>
  <c r="F195" i="15"/>
  <c r="D200" i="15"/>
  <c r="G284" i="15"/>
  <c r="M219" i="15"/>
  <c r="L172" i="15"/>
  <c r="H215" i="15"/>
  <c r="O200" i="15"/>
  <c r="K221" i="15"/>
  <c r="N228" i="15"/>
  <c r="M228" i="15"/>
  <c r="E288" i="15"/>
  <c r="E291" i="15" s="1"/>
  <c r="K185" i="15"/>
  <c r="K198" i="15"/>
  <c r="J199" i="15"/>
  <c r="N181" i="15"/>
  <c r="O207" i="15"/>
  <c r="N175" i="15"/>
  <c r="M200" i="15"/>
  <c r="G226" i="15"/>
  <c r="E269" i="15"/>
  <c r="K228" i="15"/>
  <c r="E296" i="15"/>
  <c r="G183" i="15"/>
  <c r="N200" i="15"/>
  <c r="H281" i="15"/>
  <c r="G178" i="15"/>
  <c r="E201" i="15"/>
  <c r="H221" i="15"/>
  <c r="O193" i="15"/>
  <c r="H239" i="15"/>
  <c r="H216" i="15"/>
  <c r="J198" i="15"/>
  <c r="M214" i="15"/>
  <c r="K219" i="15"/>
  <c r="L226" i="15"/>
  <c r="L183" i="15"/>
  <c r="E188" i="15"/>
  <c r="E190" i="15" s="1"/>
  <c r="O181" i="15"/>
  <c r="I206" i="15"/>
  <c r="D219" i="15"/>
  <c r="I178" i="15"/>
  <c r="O205" i="15"/>
  <c r="M195" i="15"/>
  <c r="I214" i="15"/>
  <c r="M226" i="15"/>
  <c r="O183" i="15"/>
  <c r="E241" i="15"/>
  <c r="G243" i="15"/>
  <c r="E221" i="15"/>
  <c r="F250" i="15"/>
  <c r="N201" i="15"/>
  <c r="G289" i="15"/>
  <c r="H208" i="15"/>
  <c r="O201" i="15"/>
  <c r="H207" i="15"/>
  <c r="G205" i="15"/>
  <c r="J207" i="15"/>
  <c r="F241" i="15"/>
  <c r="H283" i="15"/>
  <c r="F294" i="15"/>
  <c r="H282" i="15"/>
  <c r="G273" i="15"/>
  <c r="G192" i="15"/>
  <c r="D192" i="15"/>
  <c r="L192" i="15"/>
  <c r="G248" i="15"/>
  <c r="F280" i="15"/>
  <c r="N225" i="15"/>
  <c r="H225" i="15"/>
  <c r="O225" i="15"/>
  <c r="F204" i="15"/>
  <c r="J204" i="15"/>
  <c r="G204" i="15"/>
  <c r="H182" i="15"/>
  <c r="L182" i="15"/>
  <c r="K182" i="15"/>
  <c r="E173" i="15"/>
  <c r="O173" i="15"/>
  <c r="I173" i="15"/>
  <c r="F240" i="15"/>
  <c r="H263" i="15"/>
  <c r="E261" i="15"/>
  <c r="E171" i="15"/>
  <c r="K171" i="15"/>
  <c r="G171" i="15"/>
  <c r="L213" i="15"/>
  <c r="H213" i="15"/>
  <c r="F213" i="15"/>
  <c r="F184" i="15"/>
  <c r="E184" i="15"/>
  <c r="G184" i="15"/>
  <c r="H251" i="15"/>
  <c r="I194" i="15"/>
  <c r="J194" i="15"/>
  <c r="N194" i="15"/>
  <c r="E211" i="15"/>
  <c r="M211" i="15"/>
  <c r="K211" i="15"/>
  <c r="F242" i="15"/>
  <c r="H253" i="15"/>
  <c r="E294" i="15"/>
  <c r="F282" i="15"/>
  <c r="F192" i="15"/>
  <c r="M192" i="15"/>
  <c r="E192" i="15"/>
  <c r="E248" i="15"/>
  <c r="G225" i="15"/>
  <c r="I225" i="15"/>
  <c r="E225" i="15"/>
  <c r="O204" i="15"/>
  <c r="M204" i="15"/>
  <c r="K204" i="15"/>
  <c r="F182" i="15"/>
  <c r="O182" i="15"/>
  <c r="J182" i="15"/>
  <c r="F173" i="15"/>
  <c r="N173" i="15"/>
  <c r="G173" i="15"/>
  <c r="G240" i="15"/>
  <c r="F263" i="15"/>
  <c r="F261" i="15"/>
  <c r="I171" i="15"/>
  <c r="L171" i="15"/>
  <c r="M171" i="15"/>
  <c r="E213" i="15"/>
  <c r="G213" i="15"/>
  <c r="I213" i="15"/>
  <c r="O184" i="15"/>
  <c r="M184" i="15"/>
  <c r="N184" i="15"/>
  <c r="G251" i="15"/>
  <c r="F194" i="15"/>
  <c r="K194" i="15"/>
  <c r="H194" i="15"/>
  <c r="J211" i="15"/>
  <c r="F211" i="15"/>
  <c r="L211" i="15"/>
  <c r="F253" i="15"/>
  <c r="E242" i="15"/>
  <c r="G211" i="15"/>
  <c r="N211" i="15"/>
  <c r="D211" i="15"/>
  <c r="E253" i="15"/>
  <c r="H211" i="15"/>
  <c r="G294" i="15"/>
  <c r="G282" i="15"/>
  <c r="E273" i="15"/>
  <c r="E278" i="15" s="1"/>
  <c r="J192" i="15"/>
  <c r="I192" i="15"/>
  <c r="H192" i="15"/>
  <c r="F248" i="15"/>
  <c r="H280" i="15"/>
  <c r="G280" i="15"/>
  <c r="J225" i="15"/>
  <c r="M225" i="15"/>
  <c r="L225" i="15"/>
  <c r="L204" i="15"/>
  <c r="N204" i="15"/>
  <c r="H204" i="15"/>
  <c r="G182" i="15"/>
  <c r="N182" i="15"/>
  <c r="D182" i="15"/>
  <c r="J173" i="15"/>
  <c r="K173" i="15"/>
  <c r="H173" i="15"/>
  <c r="H240" i="15"/>
  <c r="G263" i="15"/>
  <c r="G261" i="15"/>
  <c r="O171" i="15"/>
  <c r="J171" i="15"/>
  <c r="D171" i="15"/>
  <c r="O213" i="15"/>
  <c r="K213" i="15"/>
  <c r="J213" i="15"/>
  <c r="D184" i="15"/>
  <c r="K184" i="15"/>
  <c r="J184" i="15"/>
  <c r="E251" i="15"/>
  <c r="F251" i="15"/>
  <c r="L194" i="15"/>
  <c r="G194" i="15"/>
  <c r="O194" i="15"/>
  <c r="H242" i="15"/>
  <c r="O211" i="15"/>
  <c r="G253" i="15"/>
  <c r="G242" i="15"/>
  <c r="H294" i="15"/>
  <c r="E282" i="15"/>
  <c r="H273" i="15"/>
  <c r="F273" i="15"/>
  <c r="O192" i="15"/>
  <c r="N192" i="15"/>
  <c r="K192" i="15"/>
  <c r="H248" i="15"/>
  <c r="E280" i="15"/>
  <c r="K225" i="15"/>
  <c r="D225" i="15"/>
  <c r="F225" i="15"/>
  <c r="E204" i="15"/>
  <c r="E209" i="15" s="1"/>
  <c r="D204" i="15"/>
  <c r="I204" i="15"/>
  <c r="M182" i="15"/>
  <c r="E182" i="15"/>
  <c r="I182" i="15"/>
  <c r="L173" i="15"/>
  <c r="D173" i="15"/>
  <c r="M173" i="15"/>
  <c r="E240" i="15"/>
  <c r="E263" i="15"/>
  <c r="H261" i="15"/>
  <c r="H171" i="15"/>
  <c r="N171" i="15"/>
  <c r="F171" i="15"/>
  <c r="M213" i="15"/>
  <c r="D213" i="15"/>
  <c r="N213" i="15"/>
  <c r="H184" i="15"/>
  <c r="L184" i="15"/>
  <c r="I184" i="15"/>
  <c r="E194" i="15"/>
  <c r="D194" i="15"/>
  <c r="M194" i="15"/>
  <c r="I211" i="15"/>
  <c r="BC46" i="15"/>
  <c r="BO41" i="15"/>
  <c r="BC117" i="15" s="1"/>
  <c r="BO35" i="15"/>
  <c r="BC111" i="15" s="1"/>
  <c r="BC39" i="15"/>
  <c r="BO9" i="15"/>
  <c r="BC85" i="15" s="1"/>
  <c r="BO36" i="15"/>
  <c r="BC112" i="15" s="1"/>
  <c r="BC66" i="15"/>
  <c r="BO62" i="15"/>
  <c r="BC138" i="15" s="1"/>
  <c r="BE99" i="15"/>
  <c r="BL33" i="15"/>
  <c r="CA23" i="15"/>
  <c r="CA67" i="15" s="1"/>
  <c r="K74" i="15" s="1"/>
  <c r="BO32" i="15"/>
  <c r="BC108" i="15" s="1"/>
  <c r="BH66" i="15"/>
  <c r="BL13" i="15"/>
  <c r="BD23" i="15"/>
  <c r="BI39" i="15"/>
  <c r="BO10" i="15"/>
  <c r="BC86" i="15" s="1"/>
  <c r="BC27" i="15"/>
  <c r="BO27" i="15" s="1"/>
  <c r="BC103" i="15" s="1"/>
  <c r="BO26" i="15"/>
  <c r="BC102" i="15" s="1"/>
  <c r="BO19" i="15"/>
  <c r="BC95" i="15" s="1"/>
  <c r="BF39" i="15"/>
  <c r="BI23" i="15"/>
  <c r="BO29" i="15"/>
  <c r="BC105" i="15" s="1"/>
  <c r="BC33" i="15"/>
  <c r="BH54" i="15"/>
  <c r="BE89" i="15"/>
  <c r="BH23" i="15"/>
  <c r="BM39" i="15"/>
  <c r="BG115" i="15"/>
  <c r="CF31" i="15"/>
  <c r="BT107" i="15" s="1"/>
  <c r="BT33" i="15"/>
  <c r="CF33" i="15" s="1"/>
  <c r="BT109" i="15" s="1"/>
  <c r="BE115" i="15"/>
  <c r="BL39" i="15"/>
  <c r="BD13" i="15"/>
  <c r="BI59" i="15"/>
  <c r="D162" i="6"/>
  <c r="I176" i="6"/>
  <c r="D33" i="5"/>
  <c r="C67" i="5"/>
  <c r="I87" i="6"/>
  <c r="I85" i="6"/>
  <c r="J81" i="6"/>
  <c r="I90" i="6"/>
  <c r="I86" i="6"/>
  <c r="I88" i="6"/>
  <c r="I89" i="6"/>
  <c r="I83" i="6"/>
  <c r="I84" i="6"/>
  <c r="BF130" i="15"/>
  <c r="BV67" i="15"/>
  <c r="F74" i="15" s="1"/>
  <c r="CB67" i="15"/>
  <c r="L74" i="15" s="1"/>
  <c r="H259" i="15" l="1"/>
  <c r="O217" i="15"/>
  <c r="J217" i="15"/>
  <c r="BD67" i="15"/>
  <c r="E73" i="15" s="1"/>
  <c r="E23" i="8" s="1"/>
  <c r="E14" i="8" s="1"/>
  <c r="I202" i="15"/>
  <c r="P12" i="8"/>
  <c r="D46" i="8" s="1"/>
  <c r="G46" i="8" s="1"/>
  <c r="D143" i="6"/>
  <c r="D144" i="6" s="1"/>
  <c r="Q139" i="16"/>
  <c r="Q155" i="16" s="1"/>
  <c r="E155" i="16" s="1"/>
  <c r="AO154" i="16"/>
  <c r="AO143" i="16"/>
  <c r="AO148" i="16"/>
  <c r="AO150" i="16"/>
  <c r="AO175" i="16"/>
  <c r="AO155" i="16"/>
  <c r="AO178" i="16"/>
  <c r="AO166" i="16"/>
  <c r="AO181" i="16"/>
  <c r="AO177" i="16"/>
  <c r="AO152" i="16"/>
  <c r="AO164" i="16"/>
  <c r="AO170" i="16"/>
  <c r="AO189" i="16"/>
  <c r="AO200" i="16"/>
  <c r="AO194" i="16"/>
  <c r="AO191" i="16"/>
  <c r="AO183" i="16"/>
  <c r="AO147" i="16"/>
  <c r="AO190" i="16"/>
  <c r="AO146" i="16"/>
  <c r="AO172" i="16"/>
  <c r="AO188" i="16"/>
  <c r="AO162" i="16"/>
  <c r="AO192" i="16"/>
  <c r="AO202" i="16"/>
  <c r="AO185" i="16"/>
  <c r="AO182" i="16"/>
  <c r="AO151" i="16"/>
  <c r="AO165" i="16"/>
  <c r="AO193" i="16"/>
  <c r="AO186" i="16"/>
  <c r="AO173" i="16"/>
  <c r="AO157" i="16"/>
  <c r="AO161" i="16"/>
  <c r="AO197" i="16"/>
  <c r="AO168" i="16"/>
  <c r="AO158" i="16"/>
  <c r="AO169" i="16"/>
  <c r="AO180" i="16"/>
  <c r="AO159" i="16"/>
  <c r="AO171" i="16"/>
  <c r="AO145" i="16"/>
  <c r="AO179" i="16"/>
  <c r="AO198" i="16"/>
  <c r="AO201" i="16"/>
  <c r="AO176" i="16"/>
  <c r="AO149" i="16"/>
  <c r="AO184" i="16"/>
  <c r="AO195" i="16"/>
  <c r="AO144" i="16"/>
  <c r="AO196" i="16"/>
  <c r="AO153" i="16"/>
  <c r="AO199" i="16"/>
  <c r="AO163" i="16"/>
  <c r="AO160" i="16"/>
  <c r="AO156" i="16"/>
  <c r="AO174" i="16"/>
  <c r="AO167" i="16"/>
  <c r="AO187" i="16"/>
  <c r="E112" i="6"/>
  <c r="E115" i="6"/>
  <c r="E113" i="6"/>
  <c r="F107" i="6"/>
  <c r="E114" i="6"/>
  <c r="E109" i="6"/>
  <c r="E111" i="6"/>
  <c r="E110" i="6"/>
  <c r="AL174" i="16"/>
  <c r="AL165" i="16"/>
  <c r="AL162" i="16"/>
  <c r="AL157" i="16"/>
  <c r="AL151" i="16"/>
  <c r="AL148" i="16"/>
  <c r="AL193" i="16"/>
  <c r="AL182" i="16"/>
  <c r="AL172" i="16"/>
  <c r="AL177" i="16"/>
  <c r="AL168" i="16"/>
  <c r="AL146" i="16"/>
  <c r="AL152" i="16"/>
  <c r="AL192" i="16"/>
  <c r="AL183" i="16"/>
  <c r="AL199" i="16"/>
  <c r="AL181" i="16"/>
  <c r="AL198" i="16"/>
  <c r="AL187" i="16"/>
  <c r="AL173" i="16"/>
  <c r="AL180" i="16"/>
  <c r="AL158" i="16"/>
  <c r="AL161" i="16"/>
  <c r="AL155" i="16"/>
  <c r="AL195" i="16"/>
  <c r="AL202" i="16"/>
  <c r="AL178" i="16"/>
  <c r="AL160" i="16"/>
  <c r="AL150" i="16"/>
  <c r="AL143" i="16"/>
  <c r="AL189" i="16"/>
  <c r="AL164" i="16"/>
  <c r="AL190" i="16"/>
  <c r="AL194" i="16"/>
  <c r="AL147" i="16"/>
  <c r="AL200" i="16"/>
  <c r="AL163" i="16"/>
  <c r="AL185" i="16"/>
  <c r="AL186" i="16"/>
  <c r="AL179" i="16"/>
  <c r="AL188" i="16"/>
  <c r="AL191" i="16"/>
  <c r="AL184" i="16"/>
  <c r="AL171" i="16"/>
  <c r="AL175" i="16"/>
  <c r="AL159" i="16"/>
  <c r="AL201" i="16"/>
  <c r="AL144" i="16"/>
  <c r="AL145" i="16"/>
  <c r="AL196" i="16"/>
  <c r="AL156" i="16"/>
  <c r="AL176" i="16"/>
  <c r="AL170" i="16"/>
  <c r="AL153" i="16"/>
  <c r="AL197" i="16"/>
  <c r="AL149" i="16"/>
  <c r="AL154" i="16"/>
  <c r="AL166" i="16"/>
  <c r="AL167" i="16"/>
  <c r="AL169" i="16"/>
  <c r="F133" i="6"/>
  <c r="E140" i="6"/>
  <c r="E139" i="6"/>
  <c r="E138" i="6"/>
  <c r="E141" i="6"/>
  <c r="E136" i="6"/>
  <c r="E137" i="6"/>
  <c r="E135" i="6"/>
  <c r="E142" i="6"/>
  <c r="E116" i="6"/>
  <c r="E117" i="6" s="1"/>
  <c r="H39" i="5"/>
  <c r="Z37" i="5"/>
  <c r="F159" i="6"/>
  <c r="E165" i="6"/>
  <c r="E166" i="6"/>
  <c r="E164" i="6"/>
  <c r="E167" i="6"/>
  <c r="E168" i="6"/>
  <c r="F185" i="6"/>
  <c r="F187" i="6" s="1"/>
  <c r="E192" i="6"/>
  <c r="E190" i="6"/>
  <c r="E193" i="6"/>
  <c r="E191" i="6"/>
  <c r="D118" i="6"/>
  <c r="E37" i="6" s="1"/>
  <c r="E162" i="6"/>
  <c r="E161" i="6"/>
  <c r="E163" i="6"/>
  <c r="G41" i="8"/>
  <c r="F205" i="8"/>
  <c r="I130" i="16"/>
  <c r="AD130" i="16"/>
  <c r="P130" i="16"/>
  <c r="F130" i="16"/>
  <c r="T130" i="16"/>
  <c r="AC130" i="16"/>
  <c r="O130" i="16"/>
  <c r="H130" i="16"/>
  <c r="V130" i="16"/>
  <c r="S130" i="16"/>
  <c r="M130" i="16"/>
  <c r="Z130" i="16"/>
  <c r="L130" i="16"/>
  <c r="Y130" i="16"/>
  <c r="AA130" i="16"/>
  <c r="J130" i="16"/>
  <c r="W130" i="16"/>
  <c r="X130" i="16"/>
  <c r="Q130" i="16"/>
  <c r="AB130" i="16"/>
  <c r="U130" i="16"/>
  <c r="N130" i="16"/>
  <c r="G130" i="16"/>
  <c r="K130" i="16"/>
  <c r="G81" i="15"/>
  <c r="U29" i="15"/>
  <c r="BK67" i="15"/>
  <c r="L73" i="15" s="1"/>
  <c r="L23" i="8" s="1"/>
  <c r="BG67" i="15"/>
  <c r="H73" i="15" s="1"/>
  <c r="H23" i="8" s="1"/>
  <c r="BF67" i="15"/>
  <c r="G73" i="15" s="1"/>
  <c r="G23" i="8" s="1"/>
  <c r="K196" i="15"/>
  <c r="I196" i="15"/>
  <c r="O222" i="15"/>
  <c r="BO46" i="15"/>
  <c r="BC122" i="15" s="1"/>
  <c r="J196" i="15"/>
  <c r="K209" i="15"/>
  <c r="J202" i="15"/>
  <c r="M222" i="15"/>
  <c r="BD143" i="15"/>
  <c r="E149" i="15" s="1"/>
  <c r="E57" i="8" s="1"/>
  <c r="BN67" i="15"/>
  <c r="O73" i="15" s="1"/>
  <c r="O23" i="8" s="1"/>
  <c r="BE143" i="15"/>
  <c r="F149" i="15" s="1"/>
  <c r="F151" i="15" s="1"/>
  <c r="F278" i="15"/>
  <c r="BG143" i="15"/>
  <c r="H149" i="15" s="1"/>
  <c r="H57" i="8" s="1"/>
  <c r="H48" i="8" s="1"/>
  <c r="P194" i="15"/>
  <c r="D263" i="15" s="1"/>
  <c r="I209" i="15"/>
  <c r="P225" i="15"/>
  <c r="D294" i="15" s="1"/>
  <c r="H278" i="15"/>
  <c r="L209" i="15"/>
  <c r="G286" i="15"/>
  <c r="L217" i="15"/>
  <c r="M217" i="15"/>
  <c r="K202" i="15"/>
  <c r="L222" i="15"/>
  <c r="N222" i="15"/>
  <c r="G202" i="15"/>
  <c r="G222" i="15"/>
  <c r="F222" i="15"/>
  <c r="BM67" i="15"/>
  <c r="N73" i="15" s="1"/>
  <c r="N23" i="8" s="1"/>
  <c r="BL67" i="15"/>
  <c r="M73" i="15" s="1"/>
  <c r="M23" i="8" s="1"/>
  <c r="BO33" i="15"/>
  <c r="BC109" i="15" s="1"/>
  <c r="N196" i="15"/>
  <c r="G265" i="15"/>
  <c r="H286" i="15"/>
  <c r="H217" i="15"/>
  <c r="G217" i="15"/>
  <c r="F217" i="15"/>
  <c r="M196" i="15"/>
  <c r="J209" i="15"/>
  <c r="N190" i="15"/>
  <c r="H202" i="15"/>
  <c r="BF143" i="15"/>
  <c r="G149" i="15" s="1"/>
  <c r="G57" i="8" s="1"/>
  <c r="G48" i="8" s="1"/>
  <c r="BE67" i="15"/>
  <c r="F73" i="15" s="1"/>
  <c r="F23" i="8" s="1"/>
  <c r="BJ67" i="15"/>
  <c r="K73" i="15" s="1"/>
  <c r="K23" i="8" s="1"/>
  <c r="BI67" i="15"/>
  <c r="J73" i="15" s="1"/>
  <c r="J23" i="8" s="1"/>
  <c r="P25" i="8"/>
  <c r="BH67" i="15"/>
  <c r="I73" i="15" s="1"/>
  <c r="I23" i="8" s="1"/>
  <c r="I24" i="8"/>
  <c r="M24" i="8"/>
  <c r="N24" i="8"/>
  <c r="D209" i="15"/>
  <c r="P204" i="15"/>
  <c r="D273" i="15" s="1"/>
  <c r="E217" i="15"/>
  <c r="D196" i="15"/>
  <c r="P192" i="15"/>
  <c r="D261" i="15" s="1"/>
  <c r="D222" i="15"/>
  <c r="P219" i="15"/>
  <c r="D288" i="15" s="1"/>
  <c r="O186" i="15"/>
  <c r="P215" i="15"/>
  <c r="D284" i="15" s="1"/>
  <c r="L176" i="15"/>
  <c r="I176" i="15"/>
  <c r="P193" i="15"/>
  <c r="D262" i="15" s="1"/>
  <c r="P220" i="15"/>
  <c r="D289" i="15" s="1"/>
  <c r="E271" i="15"/>
  <c r="F186" i="15"/>
  <c r="K176" i="15"/>
  <c r="F291" i="15"/>
  <c r="P221" i="15"/>
  <c r="D290" i="15" s="1"/>
  <c r="G176" i="15"/>
  <c r="H222" i="15"/>
  <c r="P180" i="15"/>
  <c r="D249" i="15" s="1"/>
  <c r="P205" i="15"/>
  <c r="D274" i="15" s="1"/>
  <c r="H176" i="15"/>
  <c r="BT67" i="15"/>
  <c r="D74" i="15" s="1"/>
  <c r="BO23" i="15"/>
  <c r="BC99" i="15" s="1"/>
  <c r="F49" i="8"/>
  <c r="E75" i="15"/>
  <c r="BO13" i="15"/>
  <c r="BC89" i="15" s="1"/>
  <c r="H231" i="15"/>
  <c r="H68" i="15"/>
  <c r="E58" i="8"/>
  <c r="I91" i="6"/>
  <c r="L24" i="8"/>
  <c r="J87" i="6"/>
  <c r="K81" i="6"/>
  <c r="J84" i="6"/>
  <c r="J90" i="6"/>
  <c r="J91" i="6" s="1"/>
  <c r="J83" i="6"/>
  <c r="J86" i="6"/>
  <c r="J88" i="6"/>
  <c r="J85" i="6"/>
  <c r="J89" i="6"/>
  <c r="E188" i="6"/>
  <c r="D188" i="6"/>
  <c r="K24" i="8"/>
  <c r="BO39" i="15"/>
  <c r="BC115" i="15" s="1"/>
  <c r="I217" i="15"/>
  <c r="P213" i="15"/>
  <c r="D282" i="15" s="1"/>
  <c r="E286" i="15"/>
  <c r="O196" i="15"/>
  <c r="P184" i="15"/>
  <c r="D253" i="15" s="1"/>
  <c r="P171" i="15"/>
  <c r="D240" i="15" s="1"/>
  <c r="H209" i="15"/>
  <c r="M209" i="15"/>
  <c r="F196" i="15"/>
  <c r="F209" i="15"/>
  <c r="F286" i="15"/>
  <c r="G196" i="15"/>
  <c r="E202" i="15"/>
  <c r="L186" i="15"/>
  <c r="J222" i="15"/>
  <c r="P206" i="15"/>
  <c r="D275" i="15" s="1"/>
  <c r="D202" i="15"/>
  <c r="P198" i="15"/>
  <c r="D267" i="15" s="1"/>
  <c r="N186" i="15"/>
  <c r="F255" i="15"/>
  <c r="E259" i="15"/>
  <c r="H291" i="15"/>
  <c r="F259" i="15"/>
  <c r="H186" i="15"/>
  <c r="D190" i="15"/>
  <c r="P188" i="15"/>
  <c r="D257" i="15" s="1"/>
  <c r="P172" i="15"/>
  <c r="D241" i="15" s="1"/>
  <c r="P228" i="15"/>
  <c r="D297" i="15" s="1"/>
  <c r="E176" i="15"/>
  <c r="G245" i="15"/>
  <c r="O176" i="15"/>
  <c r="L190" i="15"/>
  <c r="M176" i="15"/>
  <c r="P181" i="15"/>
  <c r="D250" i="15" s="1"/>
  <c r="P179" i="15"/>
  <c r="D248" i="15" s="1"/>
  <c r="P212" i="15"/>
  <c r="D281" i="15" s="1"/>
  <c r="O202" i="15"/>
  <c r="E187" i="6"/>
  <c r="D187" i="6"/>
  <c r="BT94" i="15"/>
  <c r="BO59" i="15"/>
  <c r="BC135" i="15" s="1"/>
  <c r="H49" i="8"/>
  <c r="BC67" i="15"/>
  <c r="D73" i="15" s="1"/>
  <c r="D45" i="8"/>
  <c r="D189" i="6"/>
  <c r="E189" i="6"/>
  <c r="AK362" i="6"/>
  <c r="AJ363" i="6"/>
  <c r="F24" i="8"/>
  <c r="BO66" i="15"/>
  <c r="BC142" i="15" s="1"/>
  <c r="H265" i="15"/>
  <c r="P173" i="15"/>
  <c r="D242" i="15" s="1"/>
  <c r="P182" i="15"/>
  <c r="D251" i="15" s="1"/>
  <c r="N209" i="15"/>
  <c r="H196" i="15"/>
  <c r="P211" i="15"/>
  <c r="D280" i="15" s="1"/>
  <c r="D217" i="15"/>
  <c r="O209" i="15"/>
  <c r="K217" i="15"/>
  <c r="E265" i="15"/>
  <c r="G278" i="15"/>
  <c r="K222" i="15"/>
  <c r="H245" i="15"/>
  <c r="G186" i="15"/>
  <c r="P200" i="15"/>
  <c r="D269" i="15" s="1"/>
  <c r="M186" i="15"/>
  <c r="P175" i="15"/>
  <c r="D244" i="15" s="1"/>
  <c r="I190" i="15"/>
  <c r="P226" i="15"/>
  <c r="D295" i="15" s="1"/>
  <c r="G271" i="15"/>
  <c r="F202" i="15"/>
  <c r="H255" i="15"/>
  <c r="P199" i="15"/>
  <c r="D268" i="15" s="1"/>
  <c r="F271" i="15"/>
  <c r="N176" i="15"/>
  <c r="J190" i="15"/>
  <c r="P216" i="15"/>
  <c r="D285" i="15" s="1"/>
  <c r="P201" i="15"/>
  <c r="D270" i="15" s="1"/>
  <c r="G291" i="15"/>
  <c r="P195" i="15"/>
  <c r="D264" i="15" s="1"/>
  <c r="P189" i="15"/>
  <c r="D258" i="15" s="1"/>
  <c r="G255" i="15"/>
  <c r="P183" i="15"/>
  <c r="D252" i="15" s="1"/>
  <c r="E245" i="15"/>
  <c r="P208" i="15"/>
  <c r="D277" i="15" s="1"/>
  <c r="C30" i="5"/>
  <c r="C64" i="5" s="1"/>
  <c r="C59" i="5"/>
  <c r="E49" i="8"/>
  <c r="H24" i="8"/>
  <c r="BC83" i="15"/>
  <c r="J24" i="8"/>
  <c r="BO54" i="15"/>
  <c r="BC130" i="15" s="1"/>
  <c r="N217" i="15"/>
  <c r="F265" i="15"/>
  <c r="E196" i="15"/>
  <c r="G209" i="15"/>
  <c r="L196" i="15"/>
  <c r="I186" i="15"/>
  <c r="E186" i="15"/>
  <c r="N202" i="15"/>
  <c r="P174" i="15"/>
  <c r="D243" i="15" s="1"/>
  <c r="J176" i="15"/>
  <c r="E255" i="15"/>
  <c r="P207" i="15"/>
  <c r="D276" i="15" s="1"/>
  <c r="F176" i="15"/>
  <c r="M202" i="15"/>
  <c r="P178" i="15"/>
  <c r="D247" i="15" s="1"/>
  <c r="D186" i="15"/>
  <c r="E222" i="15"/>
  <c r="P214" i="15"/>
  <c r="D283" i="15" s="1"/>
  <c r="P185" i="15"/>
  <c r="D254" i="15" s="1"/>
  <c r="K186" i="15"/>
  <c r="F245" i="15"/>
  <c r="H271" i="15"/>
  <c r="G259" i="15"/>
  <c r="J186" i="15"/>
  <c r="P170" i="15"/>
  <c r="D176" i="15"/>
  <c r="H190" i="15"/>
  <c r="P227" i="15"/>
  <c r="D296" i="15" s="1"/>
  <c r="L202" i="15"/>
  <c r="G24" i="8"/>
  <c r="CF23" i="15"/>
  <c r="BT99" i="15" s="1"/>
  <c r="G49" i="8"/>
  <c r="H32" i="6"/>
  <c r="O24" i="8"/>
  <c r="D35" i="7"/>
  <c r="F57" i="8" l="1"/>
  <c r="F48" i="8" s="1"/>
  <c r="F52" i="8" s="1"/>
  <c r="F69" i="8" s="1"/>
  <c r="H75" i="15"/>
  <c r="H14" i="8"/>
  <c r="K75" i="15"/>
  <c r="Q167" i="16"/>
  <c r="E167" i="16" s="1"/>
  <c r="J14" i="8"/>
  <c r="G14" i="8"/>
  <c r="K14" i="8"/>
  <c r="Q150" i="16"/>
  <c r="E150" i="16" s="1"/>
  <c r="U113" i="16" s="1"/>
  <c r="O75" i="15"/>
  <c r="Q171" i="16"/>
  <c r="E171" i="16" s="1"/>
  <c r="Q193" i="16"/>
  <c r="E193" i="16" s="1"/>
  <c r="Q148" i="16"/>
  <c r="E148" i="16" s="1"/>
  <c r="I38" i="16" s="1"/>
  <c r="H104" i="16" s="1"/>
  <c r="Q143" i="16"/>
  <c r="E143" i="16" s="1"/>
  <c r="F113" i="16" s="1"/>
  <c r="Q196" i="16"/>
  <c r="Q172" i="16"/>
  <c r="E172" i="16" s="1"/>
  <c r="N14" i="8"/>
  <c r="G75" i="15"/>
  <c r="J75" i="15"/>
  <c r="N75" i="15"/>
  <c r="D169" i="6"/>
  <c r="D195" i="6" s="1"/>
  <c r="Q185" i="16"/>
  <c r="E185" i="16" s="1"/>
  <c r="Q177" i="16"/>
  <c r="E177" i="16" s="1"/>
  <c r="Q184" i="16"/>
  <c r="E184" i="16" s="1"/>
  <c r="Q182" i="16"/>
  <c r="E182" i="16" s="1"/>
  <c r="Q194" i="16"/>
  <c r="E194" i="16" s="1"/>
  <c r="Q174" i="16"/>
  <c r="E174" i="16" s="1"/>
  <c r="Q189" i="16"/>
  <c r="E189" i="16" s="1"/>
  <c r="Q145" i="16"/>
  <c r="E145" i="16" s="1"/>
  <c r="J113" i="16" s="1"/>
  <c r="Q181" i="16"/>
  <c r="E181" i="16" s="1"/>
  <c r="Q202" i="16"/>
  <c r="E202" i="16" s="1"/>
  <c r="Q180" i="16"/>
  <c r="E180" i="16" s="1"/>
  <c r="Q173" i="16"/>
  <c r="E173" i="16" s="1"/>
  <c r="Q149" i="16"/>
  <c r="E149" i="16" s="1"/>
  <c r="J38" i="16" s="1"/>
  <c r="Q198" i="16"/>
  <c r="E198" i="16" s="1"/>
  <c r="Q144" i="16"/>
  <c r="E144" i="16" s="1"/>
  <c r="E38" i="16" s="1"/>
  <c r="S171" i="16"/>
  <c r="F171" i="16" s="1"/>
  <c r="Q164" i="16"/>
  <c r="E164" i="16" s="1"/>
  <c r="AW113" i="16" s="1"/>
  <c r="Q188" i="16"/>
  <c r="E188" i="16" s="1"/>
  <c r="Q170" i="16"/>
  <c r="E170" i="16" s="1"/>
  <c r="Q162" i="16"/>
  <c r="E162" i="16" s="1"/>
  <c r="K46" i="16" s="1"/>
  <c r="V104" i="16" s="1"/>
  <c r="Q186" i="16"/>
  <c r="E186" i="16" s="1"/>
  <c r="Q199" i="16"/>
  <c r="E199" i="16" s="1"/>
  <c r="Q191" i="16"/>
  <c r="E191" i="16" s="1"/>
  <c r="K38" i="16"/>
  <c r="J104" i="16" s="1"/>
  <c r="S174" i="16"/>
  <c r="F174" i="16" s="1"/>
  <c r="Q200" i="16"/>
  <c r="E200" i="16" s="1"/>
  <c r="Q154" i="16"/>
  <c r="E154" i="16" s="1"/>
  <c r="O38" i="16" s="1"/>
  <c r="Q158" i="16"/>
  <c r="E158" i="16" s="1"/>
  <c r="AK113" i="16" s="1"/>
  <c r="Q201" i="16"/>
  <c r="S201" i="16" s="1"/>
  <c r="Q152" i="16"/>
  <c r="E152" i="16" s="1"/>
  <c r="Y113" i="16" s="1"/>
  <c r="Q168" i="16"/>
  <c r="E168" i="16" s="1"/>
  <c r="Q156" i="16"/>
  <c r="E156" i="16" s="1"/>
  <c r="Q175" i="16"/>
  <c r="E175" i="16" s="1"/>
  <c r="Q179" i="16"/>
  <c r="E179" i="16" s="1"/>
  <c r="Q151" i="16"/>
  <c r="Q165" i="16"/>
  <c r="E165" i="16" s="1"/>
  <c r="N46" i="16" s="1"/>
  <c r="Y104" i="16" s="1"/>
  <c r="Q169" i="16"/>
  <c r="E169" i="16" s="1"/>
  <c r="Q146" i="16"/>
  <c r="E146" i="16" s="1"/>
  <c r="L113" i="16" s="1"/>
  <c r="Q187" i="16"/>
  <c r="E187" i="16" s="1"/>
  <c r="Q192" i="16"/>
  <c r="E192" i="16" s="1"/>
  <c r="Q190" i="16"/>
  <c r="E190" i="16" s="1"/>
  <c r="Q153" i="16"/>
  <c r="E153" i="16" s="1"/>
  <c r="N38" i="16" s="1"/>
  <c r="Q157" i="16"/>
  <c r="E157" i="16" s="1"/>
  <c r="AI113" i="16" s="1"/>
  <c r="Q197" i="16"/>
  <c r="E197" i="16" s="1"/>
  <c r="Q159" i="16"/>
  <c r="E159" i="16" s="1"/>
  <c r="AM113" i="16" s="1"/>
  <c r="Q163" i="16"/>
  <c r="E163" i="16" s="1"/>
  <c r="L46" i="16" s="1"/>
  <c r="W104" i="16" s="1"/>
  <c r="Q183" i="16"/>
  <c r="E183" i="16" s="1"/>
  <c r="Q195" i="16"/>
  <c r="E195" i="16" s="1"/>
  <c r="S155" i="16"/>
  <c r="F155" i="16" s="1"/>
  <c r="Q161" i="16"/>
  <c r="E161" i="16" s="1"/>
  <c r="AQ113" i="16" s="1"/>
  <c r="Q160" i="16"/>
  <c r="E160" i="16" s="1"/>
  <c r="AO113" i="16" s="1"/>
  <c r="Q176" i="16"/>
  <c r="E176" i="16" s="1"/>
  <c r="Q178" i="16"/>
  <c r="E178" i="16" s="1"/>
  <c r="Q166" i="16"/>
  <c r="E166" i="16" s="1"/>
  <c r="BA113" i="16" s="1"/>
  <c r="Q147" i="16"/>
  <c r="E147" i="16" s="1"/>
  <c r="N113" i="16" s="1"/>
  <c r="F188" i="6"/>
  <c r="S198" i="16"/>
  <c r="F198" i="16" s="1"/>
  <c r="F189" i="6"/>
  <c r="H41" i="8"/>
  <c r="H205" i="8" s="1"/>
  <c r="G205" i="8"/>
  <c r="S113" i="16"/>
  <c r="L14" i="8"/>
  <c r="M14" i="8"/>
  <c r="S149" i="16"/>
  <c r="S177" i="16"/>
  <c r="E118" i="6"/>
  <c r="F37" i="6" s="1"/>
  <c r="E196" i="16"/>
  <c r="S196" i="16"/>
  <c r="AA37" i="5"/>
  <c r="I39" i="5"/>
  <c r="F14" i="8"/>
  <c r="L75" i="15"/>
  <c r="H81" i="15"/>
  <c r="U53" i="15" s="1"/>
  <c r="U41" i="15"/>
  <c r="S178" i="16"/>
  <c r="AE113" i="16"/>
  <c r="D46" i="16"/>
  <c r="G185" i="6"/>
  <c r="F192" i="6"/>
  <c r="F190" i="6"/>
  <c r="F193" i="6"/>
  <c r="F191" i="6"/>
  <c r="F165" i="6"/>
  <c r="G159" i="6"/>
  <c r="F166" i="6"/>
  <c r="F164" i="6"/>
  <c r="F167" i="6"/>
  <c r="F168" i="6"/>
  <c r="F163" i="6"/>
  <c r="F161" i="6"/>
  <c r="F162" i="6"/>
  <c r="E143" i="6"/>
  <c r="E144" i="6" s="1"/>
  <c r="F141" i="6"/>
  <c r="F140" i="6"/>
  <c r="F138" i="6"/>
  <c r="F139" i="6"/>
  <c r="G133" i="6"/>
  <c r="F136" i="6"/>
  <c r="F135" i="6"/>
  <c r="F137" i="6"/>
  <c r="F142" i="6"/>
  <c r="O14" i="8"/>
  <c r="F75" i="15"/>
  <c r="M75" i="15"/>
  <c r="M46" i="16"/>
  <c r="X104" i="16" s="1"/>
  <c r="S202" i="16"/>
  <c r="D38" i="16"/>
  <c r="F114" i="6"/>
  <c r="G107" i="6"/>
  <c r="F115" i="6"/>
  <c r="F112" i="6"/>
  <c r="F113" i="6"/>
  <c r="F109" i="6"/>
  <c r="F111" i="6"/>
  <c r="F110" i="6"/>
  <c r="F116" i="6"/>
  <c r="F117" i="6" s="1"/>
  <c r="E48" i="8"/>
  <c r="E52" i="8" s="1"/>
  <c r="E69" i="8" s="1"/>
  <c r="H151" i="15"/>
  <c r="E151" i="15"/>
  <c r="I14" i="8"/>
  <c r="H52" i="8"/>
  <c r="H69" i="8" s="1"/>
  <c r="G151" i="15"/>
  <c r="P186" i="15"/>
  <c r="D255" i="15" s="1"/>
  <c r="I75" i="15"/>
  <c r="P73" i="15"/>
  <c r="D149" i="15" s="1"/>
  <c r="D23" i="8"/>
  <c r="P222" i="15"/>
  <c r="P176" i="15"/>
  <c r="D245" i="15" s="1"/>
  <c r="BO67" i="15"/>
  <c r="BC143" i="15" s="1"/>
  <c r="P217" i="15"/>
  <c r="D286" i="15" s="1"/>
  <c r="AL362" i="6"/>
  <c r="AK363" i="6"/>
  <c r="CF67" i="15"/>
  <c r="BT143" i="15" s="1"/>
  <c r="K87" i="6"/>
  <c r="L81" i="6"/>
  <c r="K85" i="6"/>
  <c r="K84" i="6"/>
  <c r="K83" i="6"/>
  <c r="K90" i="6"/>
  <c r="K86" i="6"/>
  <c r="K88" i="6"/>
  <c r="K89" i="6"/>
  <c r="P209" i="15"/>
  <c r="D278" i="15" s="1"/>
  <c r="G52" i="8"/>
  <c r="G69" i="8" s="1"/>
  <c r="D239" i="15"/>
  <c r="P74" i="15"/>
  <c r="D150" i="15" s="1"/>
  <c r="D75" i="15"/>
  <c r="D24" i="8"/>
  <c r="P24" i="8" s="1"/>
  <c r="D58" i="8" s="1"/>
  <c r="P196" i="15"/>
  <c r="D265" i="15" s="1"/>
  <c r="P190" i="15"/>
  <c r="D259" i="15" s="1"/>
  <c r="P202" i="15"/>
  <c r="D271" i="15" s="1"/>
  <c r="I92" i="6"/>
  <c r="G231" i="15"/>
  <c r="G68" i="15"/>
  <c r="J92" i="6"/>
  <c r="K32" i="6" s="1"/>
  <c r="D291" i="15"/>
  <c r="I27" i="8" l="1"/>
  <c r="S148" i="16"/>
  <c r="F148" i="16" s="1"/>
  <c r="S167" i="16"/>
  <c r="F167" i="16" s="1"/>
  <c r="S150" i="16"/>
  <c r="P150" i="16" s="1"/>
  <c r="D150" i="16" s="1"/>
  <c r="M129" i="16" s="1"/>
  <c r="K13" i="8" s="1"/>
  <c r="K18" i="8" s="1"/>
  <c r="K35" i="8" s="1"/>
  <c r="S185" i="16"/>
  <c r="F185" i="16" s="1"/>
  <c r="S186" i="16"/>
  <c r="S181" i="16"/>
  <c r="F181" i="16" s="1"/>
  <c r="S194" i="16"/>
  <c r="F194" i="16" s="1"/>
  <c r="S175" i="16"/>
  <c r="P175" i="16" s="1"/>
  <c r="D175" i="16" s="1"/>
  <c r="S143" i="16"/>
  <c r="F143" i="16" s="1"/>
  <c r="D151" i="15"/>
  <c r="S172" i="16"/>
  <c r="F172" i="16" s="1"/>
  <c r="S161" i="16"/>
  <c r="F161" i="16" s="1"/>
  <c r="J45" i="16" s="1"/>
  <c r="U103" i="16" s="1"/>
  <c r="S184" i="16"/>
  <c r="S193" i="16"/>
  <c r="D170" i="6"/>
  <c r="P113" i="16"/>
  <c r="P75" i="15"/>
  <c r="S173" i="16"/>
  <c r="F173" i="16" s="1"/>
  <c r="AS113" i="16"/>
  <c r="F38" i="16"/>
  <c r="F27" i="8" s="1"/>
  <c r="S145" i="16"/>
  <c r="F145" i="16" s="1"/>
  <c r="I112" i="16" s="1"/>
  <c r="K27" i="8"/>
  <c r="S162" i="16"/>
  <c r="F162" i="16" s="1"/>
  <c r="S192" i="16"/>
  <c r="O46" i="16"/>
  <c r="Z104" i="16" s="1"/>
  <c r="S176" i="16"/>
  <c r="F176" i="16" s="1"/>
  <c r="M38" i="16"/>
  <c r="L104" i="16" s="1"/>
  <c r="S165" i="16"/>
  <c r="F165" i="16" s="1"/>
  <c r="AY113" i="16"/>
  <c r="H113" i="16"/>
  <c r="S189" i="16"/>
  <c r="F189" i="16" s="1"/>
  <c r="S144" i="16"/>
  <c r="F144" i="16" s="1"/>
  <c r="G112" i="16" s="1"/>
  <c r="S156" i="16"/>
  <c r="P156" i="16" s="1"/>
  <c r="D156" i="16" s="1"/>
  <c r="T129" i="16" s="1"/>
  <c r="S180" i="16"/>
  <c r="F180" i="16" s="1"/>
  <c r="S182" i="16"/>
  <c r="F182" i="16" s="1"/>
  <c r="S170" i="16"/>
  <c r="P171" i="16" s="1"/>
  <c r="D171" i="16" s="1"/>
  <c r="S200" i="16"/>
  <c r="P201" i="16" s="1"/>
  <c r="D201" i="16" s="1"/>
  <c r="S188" i="16"/>
  <c r="F188" i="16" s="1"/>
  <c r="S153" i="16"/>
  <c r="F153" i="16" s="1"/>
  <c r="S163" i="16"/>
  <c r="F163" i="16" s="1"/>
  <c r="L45" i="16" s="1"/>
  <c r="AA113" i="16"/>
  <c r="S191" i="16"/>
  <c r="F191" i="16" s="1"/>
  <c r="AU113" i="16"/>
  <c r="J46" i="16"/>
  <c r="U104" i="16" s="1"/>
  <c r="S146" i="16"/>
  <c r="G38" i="16"/>
  <c r="F104" i="16" s="1"/>
  <c r="S164" i="16"/>
  <c r="S166" i="16"/>
  <c r="F166" i="16" s="1"/>
  <c r="O45" i="16" s="1"/>
  <c r="Z103" i="16" s="1"/>
  <c r="S199" i="16"/>
  <c r="F199" i="16" s="1"/>
  <c r="S147" i="16"/>
  <c r="P148" i="16" s="1"/>
  <c r="D148" i="16" s="1"/>
  <c r="K129" i="16" s="1"/>
  <c r="I13" i="8" s="1"/>
  <c r="I18" i="8" s="1"/>
  <c r="I35" i="8" s="1"/>
  <c r="I46" i="16"/>
  <c r="T104" i="16" s="1"/>
  <c r="S183" i="16"/>
  <c r="F183" i="16" s="1"/>
  <c r="E201" i="16"/>
  <c r="H57" i="16" s="1"/>
  <c r="H61" i="8" s="1"/>
  <c r="P174" i="16"/>
  <c r="D174" i="16" s="1"/>
  <c r="S190" i="16"/>
  <c r="F190" i="16" s="1"/>
  <c r="AC113" i="16"/>
  <c r="S160" i="16"/>
  <c r="F160" i="16" s="1"/>
  <c r="G57" i="16"/>
  <c r="G61" i="8" s="1"/>
  <c r="F46" i="16"/>
  <c r="Q104" i="16" s="1"/>
  <c r="S157" i="16"/>
  <c r="F157" i="16" s="1"/>
  <c r="AH112" i="16" s="1"/>
  <c r="H38" i="16"/>
  <c r="H27" i="8" s="1"/>
  <c r="E57" i="16"/>
  <c r="E61" i="8" s="1"/>
  <c r="E151" i="16"/>
  <c r="S151" i="16"/>
  <c r="F151" i="16" s="1"/>
  <c r="H108" i="16"/>
  <c r="S159" i="16"/>
  <c r="S158" i="16"/>
  <c r="F158" i="16" s="1"/>
  <c r="S197" i="16"/>
  <c r="P197" i="16" s="1"/>
  <c r="D197" i="16" s="1"/>
  <c r="G104" i="16"/>
  <c r="H46" i="16"/>
  <c r="S104" i="16" s="1"/>
  <c r="S179" i="16"/>
  <c r="F179" i="16" s="1"/>
  <c r="F57" i="16"/>
  <c r="F61" i="8" s="1"/>
  <c r="G46" i="16"/>
  <c r="R104" i="16" s="1"/>
  <c r="S154" i="16"/>
  <c r="F154" i="16" s="1"/>
  <c r="S187" i="16"/>
  <c r="F187" i="16" s="1"/>
  <c r="S152" i="16"/>
  <c r="F152" i="16" s="1"/>
  <c r="M37" i="16" s="1"/>
  <c r="S195" i="16"/>
  <c r="F195" i="16" s="1"/>
  <c r="E46" i="16"/>
  <c r="P104" i="16" s="1"/>
  <c r="AG113" i="16"/>
  <c r="S169" i="16"/>
  <c r="S168" i="16"/>
  <c r="I37" i="16"/>
  <c r="I39" i="16" s="1"/>
  <c r="O112" i="16"/>
  <c r="E169" i="6"/>
  <c r="E195" i="6" s="1"/>
  <c r="E196" i="6" s="1"/>
  <c r="F118" i="6"/>
  <c r="G37" i="6" s="1"/>
  <c r="G114" i="6"/>
  <c r="G115" i="6"/>
  <c r="G112" i="6"/>
  <c r="H107" i="6"/>
  <c r="G113" i="6"/>
  <c r="G110" i="6"/>
  <c r="G111" i="6"/>
  <c r="G109" i="6"/>
  <c r="G116" i="6"/>
  <c r="G117" i="6" s="1"/>
  <c r="G165" i="6"/>
  <c r="G166" i="6"/>
  <c r="G164" i="6"/>
  <c r="H159" i="6"/>
  <c r="G167" i="6"/>
  <c r="G161" i="6"/>
  <c r="G162" i="6"/>
  <c r="G168" i="6"/>
  <c r="G163" i="6"/>
  <c r="E27" i="8"/>
  <c r="D104" i="16"/>
  <c r="F149" i="16"/>
  <c r="P149" i="16"/>
  <c r="D149" i="16" s="1"/>
  <c r="L129" i="16" s="1"/>
  <c r="J13" i="8" s="1"/>
  <c r="J18" i="8" s="1"/>
  <c r="J35" i="8" s="1"/>
  <c r="J108" i="16"/>
  <c r="D27" i="8"/>
  <c r="C104" i="16"/>
  <c r="N27" i="8"/>
  <c r="M104" i="16"/>
  <c r="E112" i="16"/>
  <c r="D37" i="16"/>
  <c r="F201" i="16"/>
  <c r="G192" i="6"/>
  <c r="H185" i="6"/>
  <c r="G190" i="6"/>
  <c r="G193" i="6"/>
  <c r="G191" i="6"/>
  <c r="G189" i="6"/>
  <c r="G187" i="6"/>
  <c r="G188" i="6"/>
  <c r="F186" i="16"/>
  <c r="P186" i="16"/>
  <c r="D186" i="16" s="1"/>
  <c r="F196" i="16"/>
  <c r="F177" i="16"/>
  <c r="AD112" i="16"/>
  <c r="D45" i="16"/>
  <c r="D47" i="16" s="1"/>
  <c r="L108" i="16"/>
  <c r="I104" i="16"/>
  <c r="J27" i="8"/>
  <c r="F202" i="16"/>
  <c r="P202" i="16"/>
  <c r="D202" i="16" s="1"/>
  <c r="F143" i="6"/>
  <c r="F144" i="6" s="1"/>
  <c r="H133" i="6"/>
  <c r="G138" i="6"/>
  <c r="G137" i="6"/>
  <c r="G139" i="6"/>
  <c r="G140" i="6"/>
  <c r="G141" i="6"/>
  <c r="G136" i="6"/>
  <c r="G135" i="6"/>
  <c r="G142" i="6"/>
  <c r="O104" i="16"/>
  <c r="F178" i="16"/>
  <c r="P178" i="16"/>
  <c r="D178" i="16" s="1"/>
  <c r="O27" i="8"/>
  <c r="N104" i="16"/>
  <c r="J32" i="6"/>
  <c r="K91" i="6"/>
  <c r="L87" i="6"/>
  <c r="L85" i="6"/>
  <c r="L89" i="6"/>
  <c r="M81" i="6"/>
  <c r="L90" i="6"/>
  <c r="L91" i="6" s="1"/>
  <c r="L86" i="6"/>
  <c r="L83" i="6"/>
  <c r="L88" i="6"/>
  <c r="L84" i="6"/>
  <c r="J68" i="15"/>
  <c r="J231" i="15"/>
  <c r="AL363" i="6"/>
  <c r="AM362" i="6"/>
  <c r="D196" i="6"/>
  <c r="D14" i="8"/>
  <c r="P23" i="8"/>
  <c r="D57" i="8" s="1"/>
  <c r="M27" i="8" l="1"/>
  <c r="F150" i="16"/>
  <c r="P181" i="16"/>
  <c r="D181" i="16" s="1"/>
  <c r="P143" i="16"/>
  <c r="D143" i="16" s="1"/>
  <c r="F129" i="16" s="1"/>
  <c r="D13" i="8" s="1"/>
  <c r="D18" i="8" s="1"/>
  <c r="D35" i="8" s="1"/>
  <c r="AP112" i="16"/>
  <c r="P185" i="16"/>
  <c r="D185" i="16" s="1"/>
  <c r="F175" i="16"/>
  <c r="P172" i="16"/>
  <c r="D172" i="16" s="1"/>
  <c r="P194" i="16"/>
  <c r="D194" i="16" s="1"/>
  <c r="P162" i="16"/>
  <c r="D162" i="16" s="1"/>
  <c r="Z129" i="16" s="1"/>
  <c r="F184" i="16"/>
  <c r="G56" i="16" s="1"/>
  <c r="F193" i="16"/>
  <c r="P193" i="16"/>
  <c r="D193" i="16" s="1"/>
  <c r="P176" i="16"/>
  <c r="D176" i="16" s="1"/>
  <c r="P177" i="16"/>
  <c r="D177" i="16" s="1"/>
  <c r="F192" i="16"/>
  <c r="P173" i="16"/>
  <c r="D173" i="16" s="1"/>
  <c r="E104" i="16"/>
  <c r="P161" i="16"/>
  <c r="D161" i="16" s="1"/>
  <c r="Y129" i="16" s="1"/>
  <c r="F200" i="16"/>
  <c r="F156" i="16"/>
  <c r="E45" i="16" s="1"/>
  <c r="P146" i="16"/>
  <c r="D146" i="16" s="1"/>
  <c r="I129" i="16" s="1"/>
  <c r="G13" i="8" s="1"/>
  <c r="F37" i="16"/>
  <c r="F39" i="16" s="1"/>
  <c r="P165" i="16"/>
  <c r="D165" i="16" s="1"/>
  <c r="AC129" i="16" s="1"/>
  <c r="P170" i="16"/>
  <c r="D170" i="16" s="1"/>
  <c r="F170" i="16"/>
  <c r="E37" i="16"/>
  <c r="D103" i="16" s="1"/>
  <c r="P144" i="16"/>
  <c r="D144" i="16" s="1"/>
  <c r="G129" i="16" s="1"/>
  <c r="E13" i="8" s="1"/>
  <c r="E18" i="8" s="1"/>
  <c r="E35" i="8" s="1"/>
  <c r="P163" i="16"/>
  <c r="D163" i="16" s="1"/>
  <c r="AA129" i="16" s="1"/>
  <c r="P182" i="16"/>
  <c r="D182" i="16" s="1"/>
  <c r="P189" i="16"/>
  <c r="D189" i="16" s="1"/>
  <c r="P192" i="16"/>
  <c r="D192" i="16" s="1"/>
  <c r="G27" i="8"/>
  <c r="P145" i="16"/>
  <c r="D145" i="16" s="1"/>
  <c r="H129" i="16" s="1"/>
  <c r="F13" i="8" s="1"/>
  <c r="F18" i="8" s="1"/>
  <c r="F35" i="8" s="1"/>
  <c r="P153" i="16"/>
  <c r="D153" i="16" s="1"/>
  <c r="P129" i="16" s="1"/>
  <c r="N13" i="8" s="1"/>
  <c r="N18" i="8" s="1"/>
  <c r="N35" i="8" s="1"/>
  <c r="P196" i="16"/>
  <c r="D196" i="16" s="1"/>
  <c r="F147" i="16"/>
  <c r="H37" i="16" s="1"/>
  <c r="AZ112" i="16"/>
  <c r="AT112" i="16"/>
  <c r="Z112" i="16"/>
  <c r="N37" i="16"/>
  <c r="N39" i="16" s="1"/>
  <c r="F164" i="16"/>
  <c r="M45" i="16" s="1"/>
  <c r="P164" i="16"/>
  <c r="D164" i="16" s="1"/>
  <c r="AB129" i="16" s="1"/>
  <c r="I61" i="15"/>
  <c r="I66" i="15" s="1"/>
  <c r="I67" i="15" s="1"/>
  <c r="H103" i="16"/>
  <c r="P199" i="16"/>
  <c r="D199" i="16" s="1"/>
  <c r="P187" i="16"/>
  <c r="D187" i="16" s="1"/>
  <c r="P183" i="16"/>
  <c r="D183" i="16" s="1"/>
  <c r="F146" i="16"/>
  <c r="D56" i="16" s="1"/>
  <c r="X112" i="16"/>
  <c r="E170" i="6"/>
  <c r="P166" i="16"/>
  <c r="D166" i="16" s="1"/>
  <c r="AD129" i="16" s="1"/>
  <c r="P191" i="16"/>
  <c r="D191" i="16" s="1"/>
  <c r="P200" i="16"/>
  <c r="D200" i="16" s="1"/>
  <c r="F45" i="16"/>
  <c r="Q103" i="16" s="1"/>
  <c r="P147" i="16"/>
  <c r="D147" i="16" s="1"/>
  <c r="J129" i="16" s="1"/>
  <c r="H13" i="8" s="1"/>
  <c r="H18" i="8" s="1"/>
  <c r="H35" i="8" s="1"/>
  <c r="P184" i="16"/>
  <c r="D184" i="16" s="1"/>
  <c r="P188" i="16"/>
  <c r="D188" i="16" s="1"/>
  <c r="P167" i="16"/>
  <c r="D167" i="16" s="1"/>
  <c r="P179" i="16"/>
  <c r="D179" i="16" s="1"/>
  <c r="N108" i="16"/>
  <c r="P151" i="16"/>
  <c r="D151" i="16" s="1"/>
  <c r="N129" i="16" s="1"/>
  <c r="L13" i="8" s="1"/>
  <c r="L18" i="8" s="1"/>
  <c r="L35" i="8" s="1"/>
  <c r="P157" i="16"/>
  <c r="D157" i="16" s="1"/>
  <c r="U129" i="16" s="1"/>
  <c r="P180" i="16"/>
  <c r="D180" i="16" s="1"/>
  <c r="P152" i="16"/>
  <c r="D152" i="16" s="1"/>
  <c r="O129" i="16" s="1"/>
  <c r="M13" i="8" s="1"/>
  <c r="M18" i="8" s="1"/>
  <c r="M35" i="8" s="1"/>
  <c r="P190" i="16"/>
  <c r="D190" i="16" s="1"/>
  <c r="P155" i="16"/>
  <c r="D155" i="16" s="1"/>
  <c r="S129" i="16" s="1"/>
  <c r="P158" i="16"/>
  <c r="D158" i="16" s="1"/>
  <c r="V129" i="16" s="1"/>
  <c r="P159" i="16"/>
  <c r="D159" i="16" s="1"/>
  <c r="W129" i="16" s="1"/>
  <c r="P154" i="16"/>
  <c r="D154" i="16" s="1"/>
  <c r="Q129" i="16" s="1"/>
  <c r="O13" i="8" s="1"/>
  <c r="O18" i="8" s="1"/>
  <c r="O35" i="8" s="1"/>
  <c r="P46" i="16"/>
  <c r="P195" i="16"/>
  <c r="D195" i="16" s="1"/>
  <c r="P160" i="16"/>
  <c r="D160" i="16" s="1"/>
  <c r="X129" i="16" s="1"/>
  <c r="F169" i="16"/>
  <c r="P169" i="16"/>
  <c r="D169" i="16" s="1"/>
  <c r="P168" i="16"/>
  <c r="D168" i="16" s="1"/>
  <c r="F168" i="16"/>
  <c r="F159" i="16"/>
  <c r="F197" i="16"/>
  <c r="P198" i="16"/>
  <c r="D198" i="16" s="1"/>
  <c r="V112" i="16"/>
  <c r="L37" i="16"/>
  <c r="L38" i="16"/>
  <c r="W113" i="16"/>
  <c r="F108" i="16"/>
  <c r="D57" i="16"/>
  <c r="D61" i="8" s="1"/>
  <c r="O47" i="16"/>
  <c r="AX112" i="16"/>
  <c r="N45" i="16"/>
  <c r="W103" i="16"/>
  <c r="L47" i="16"/>
  <c r="G143" i="6"/>
  <c r="G144" i="6" s="1"/>
  <c r="H140" i="6"/>
  <c r="H137" i="6"/>
  <c r="H136" i="6"/>
  <c r="H142" i="6"/>
  <c r="H138" i="6"/>
  <c r="H141" i="6"/>
  <c r="H135" i="6"/>
  <c r="H139" i="6"/>
  <c r="I133" i="6"/>
  <c r="AR112" i="16"/>
  <c r="K45" i="16"/>
  <c r="O103" i="16"/>
  <c r="H190" i="6"/>
  <c r="H192" i="6"/>
  <c r="I185" i="6"/>
  <c r="H193" i="6"/>
  <c r="H191" i="6"/>
  <c r="H188" i="6"/>
  <c r="H187" i="6"/>
  <c r="H189" i="6"/>
  <c r="G45" i="16"/>
  <c r="AJ112" i="16"/>
  <c r="L107" i="16"/>
  <c r="M61" i="15"/>
  <c r="L103" i="16"/>
  <c r="M39" i="16"/>
  <c r="J47" i="16"/>
  <c r="I45" i="16"/>
  <c r="AN112" i="16"/>
  <c r="H112" i="6"/>
  <c r="I107" i="6"/>
  <c r="H115" i="6"/>
  <c r="H114" i="6"/>
  <c r="H113" i="6"/>
  <c r="H111" i="6"/>
  <c r="H109" i="6"/>
  <c r="H110" i="6"/>
  <c r="H116" i="6"/>
  <c r="H117" i="6" s="1"/>
  <c r="H164" i="6"/>
  <c r="H165" i="6"/>
  <c r="I159" i="6"/>
  <c r="H166" i="6"/>
  <c r="H167" i="6"/>
  <c r="H168" i="6"/>
  <c r="H161" i="6"/>
  <c r="H162" i="6"/>
  <c r="H163" i="6"/>
  <c r="F169" i="6"/>
  <c r="K37" i="16"/>
  <c r="T112" i="16"/>
  <c r="C103" i="16"/>
  <c r="D61" i="15"/>
  <c r="D39" i="16"/>
  <c r="AB112" i="16"/>
  <c r="O37" i="16"/>
  <c r="J37" i="16"/>
  <c r="Q112" i="16"/>
  <c r="G118" i="6"/>
  <c r="H37" i="6" s="1"/>
  <c r="K92" i="6"/>
  <c r="P14" i="8"/>
  <c r="AN362" i="6"/>
  <c r="AM363" i="6"/>
  <c r="L92" i="6"/>
  <c r="M32" i="6" s="1"/>
  <c r="M87" i="6"/>
  <c r="N81" i="6"/>
  <c r="M85" i="6"/>
  <c r="M84" i="6"/>
  <c r="M90" i="6"/>
  <c r="M91" i="6" s="1"/>
  <c r="M88" i="6"/>
  <c r="M89" i="6"/>
  <c r="M83" i="6"/>
  <c r="M86" i="6"/>
  <c r="I68" i="15"/>
  <c r="I231" i="15"/>
  <c r="AF112" i="16" l="1"/>
  <c r="E61" i="15"/>
  <c r="E224" i="15" s="1"/>
  <c r="E103" i="16"/>
  <c r="F61" i="15"/>
  <c r="F224" i="15" s="1"/>
  <c r="F229" i="15" s="1"/>
  <c r="F230" i="15" s="1"/>
  <c r="F232" i="15" s="1"/>
  <c r="H56" i="16"/>
  <c r="H137" i="15" s="1"/>
  <c r="E56" i="16"/>
  <c r="E137" i="15" s="1"/>
  <c r="I224" i="15"/>
  <c r="E39" i="16"/>
  <c r="M112" i="16"/>
  <c r="AV112" i="16"/>
  <c r="N61" i="15"/>
  <c r="N66" i="15" s="1"/>
  <c r="N67" i="15" s="1"/>
  <c r="N22" i="8" s="1"/>
  <c r="N32" i="8" s="1"/>
  <c r="N36" i="8" s="1"/>
  <c r="M103" i="16"/>
  <c r="K112" i="16"/>
  <c r="H107" i="16"/>
  <c r="E106" i="16"/>
  <c r="N107" i="16"/>
  <c r="K106" i="16"/>
  <c r="M106" i="16"/>
  <c r="F47" i="16"/>
  <c r="G37" i="16"/>
  <c r="F103" i="16" s="1"/>
  <c r="F107" i="16"/>
  <c r="G106" i="16"/>
  <c r="F56" i="16"/>
  <c r="F137" i="15" s="1"/>
  <c r="F142" i="15" s="1"/>
  <c r="F389" i="15" s="1"/>
  <c r="H45" i="16"/>
  <c r="S103" i="16" s="1"/>
  <c r="J107" i="16"/>
  <c r="AL112" i="16"/>
  <c r="I106" i="16"/>
  <c r="L39" i="16"/>
  <c r="L27" i="8"/>
  <c r="P27" i="8" s="1"/>
  <c r="P38" i="16"/>
  <c r="K104" i="16"/>
  <c r="K103" i="16"/>
  <c r="L61" i="15"/>
  <c r="D58" i="16"/>
  <c r="H118" i="6"/>
  <c r="I37" i="6" s="1"/>
  <c r="G169" i="6"/>
  <c r="G170" i="6" s="1"/>
  <c r="Y103" i="16"/>
  <c r="N47" i="16"/>
  <c r="N224" i="15"/>
  <c r="N229" i="15" s="1"/>
  <c r="N230" i="15" s="1"/>
  <c r="N103" i="16"/>
  <c r="O61" i="15"/>
  <c r="O39" i="16"/>
  <c r="X103" i="16"/>
  <c r="M47" i="16"/>
  <c r="P103" i="16"/>
  <c r="E47" i="16"/>
  <c r="F170" i="6"/>
  <c r="F195" i="6"/>
  <c r="F196" i="6" s="1"/>
  <c r="H39" i="16"/>
  <c r="H61" i="15"/>
  <c r="G103" i="16"/>
  <c r="I113" i="6"/>
  <c r="J107" i="6"/>
  <c r="I114" i="6"/>
  <c r="I112" i="6"/>
  <c r="I111" i="6"/>
  <c r="I115" i="6"/>
  <c r="I110" i="6"/>
  <c r="I109" i="6"/>
  <c r="I116" i="6"/>
  <c r="H143" i="6"/>
  <c r="H144" i="6" s="1"/>
  <c r="D66" i="15"/>
  <c r="D67" i="15" s="1"/>
  <c r="D224" i="15"/>
  <c r="D229" i="15" s="1"/>
  <c r="D230" i="15" s="1"/>
  <c r="D232" i="15" s="1"/>
  <c r="F66" i="15"/>
  <c r="F67" i="15" s="1"/>
  <c r="R103" i="16"/>
  <c r="G47" i="16"/>
  <c r="K47" i="16"/>
  <c r="V103" i="16"/>
  <c r="K61" i="15"/>
  <c r="J103" i="16"/>
  <c r="K39" i="16"/>
  <c r="G137" i="15"/>
  <c r="G142" i="15" s="1"/>
  <c r="G389" i="15" s="1"/>
  <c r="G293" i="15"/>
  <c r="G298" i="15" s="1"/>
  <c r="G299" i="15" s="1"/>
  <c r="G58" i="16"/>
  <c r="H58" i="16"/>
  <c r="J61" i="15"/>
  <c r="I103" i="16"/>
  <c r="J39" i="16"/>
  <c r="G18" i="8"/>
  <c r="G35" i="8" s="1"/>
  <c r="P13" i="8"/>
  <c r="D47" i="8" s="1"/>
  <c r="J159" i="6"/>
  <c r="I164" i="6"/>
  <c r="I166" i="6"/>
  <c r="I165" i="6"/>
  <c r="I167" i="6"/>
  <c r="I163" i="6"/>
  <c r="I168" i="6"/>
  <c r="I162" i="6"/>
  <c r="I161" i="6"/>
  <c r="T103" i="16"/>
  <c r="I47" i="16"/>
  <c r="M66" i="15"/>
  <c r="M67" i="15" s="1"/>
  <c r="M22" i="8" s="1"/>
  <c r="M32" i="8" s="1"/>
  <c r="M36" i="8" s="1"/>
  <c r="M224" i="15"/>
  <c r="M229" i="15" s="1"/>
  <c r="M230" i="15" s="1"/>
  <c r="I190" i="6"/>
  <c r="I192" i="6"/>
  <c r="J185" i="6"/>
  <c r="I193" i="6"/>
  <c r="I191" i="6"/>
  <c r="I189" i="6"/>
  <c r="I188" i="6"/>
  <c r="I187" i="6"/>
  <c r="I141" i="6"/>
  <c r="I135" i="6"/>
  <c r="I140" i="6"/>
  <c r="I142" i="6"/>
  <c r="J133" i="6"/>
  <c r="I138" i="6"/>
  <c r="I139" i="6"/>
  <c r="I136" i="6"/>
  <c r="I137" i="6"/>
  <c r="I69" i="15"/>
  <c r="I10" i="7" s="1"/>
  <c r="I12" i="7" s="1"/>
  <c r="I22" i="8"/>
  <c r="I32" i="8" s="1"/>
  <c r="I36" i="8" s="1"/>
  <c r="O81" i="6"/>
  <c r="N84" i="6"/>
  <c r="N87" i="6"/>
  <c r="N83" i="6"/>
  <c r="N90" i="6"/>
  <c r="N86" i="6"/>
  <c r="N89" i="6"/>
  <c r="N85" i="6"/>
  <c r="N88" i="6"/>
  <c r="L68" i="15"/>
  <c r="L231" i="15"/>
  <c r="M92" i="6"/>
  <c r="N32" i="6" s="1"/>
  <c r="AN363" i="6"/>
  <c r="AO362" i="6"/>
  <c r="I229" i="15"/>
  <c r="I230" i="15" s="1"/>
  <c r="I232" i="15" s="1"/>
  <c r="D48" i="8"/>
  <c r="L32" i="6"/>
  <c r="H293" i="15" l="1"/>
  <c r="E58" i="16"/>
  <c r="E66" i="15"/>
  <c r="E67" i="15" s="1"/>
  <c r="E22" i="8" s="1"/>
  <c r="E32" i="8" s="1"/>
  <c r="E36" i="8" s="1"/>
  <c r="E293" i="15"/>
  <c r="E298" i="15" s="1"/>
  <c r="E299" i="15" s="1"/>
  <c r="P37" i="16"/>
  <c r="P45" i="16"/>
  <c r="G61" i="15"/>
  <c r="G66" i="15" s="1"/>
  <c r="G67" i="15" s="1"/>
  <c r="G195" i="6"/>
  <c r="G196" i="6" s="1"/>
  <c r="H47" i="16"/>
  <c r="P47" i="16" s="1"/>
  <c r="G39" i="16"/>
  <c r="G143" i="15"/>
  <c r="G56" i="8" s="1"/>
  <c r="G66" i="8" s="1"/>
  <c r="G70" i="8" s="1"/>
  <c r="F293" i="15"/>
  <c r="F298" i="15" s="1"/>
  <c r="F299" i="15" s="1"/>
  <c r="F58" i="16"/>
  <c r="L224" i="15"/>
  <c r="L229" i="15" s="1"/>
  <c r="L230" i="15" s="1"/>
  <c r="L232" i="15" s="1"/>
  <c r="L66" i="15"/>
  <c r="L67" i="15" s="1"/>
  <c r="L22" i="8" s="1"/>
  <c r="L32" i="8" s="1"/>
  <c r="L36" i="8" s="1"/>
  <c r="P18" i="8"/>
  <c r="D69" i="8" s="1"/>
  <c r="D52" i="8"/>
  <c r="P39" i="16"/>
  <c r="H169" i="6"/>
  <c r="H170" i="6" s="1"/>
  <c r="D69" i="15"/>
  <c r="D10" i="7" s="1"/>
  <c r="D12" i="7" s="1"/>
  <c r="D14" i="7" s="1"/>
  <c r="D22" i="8"/>
  <c r="D32" i="8" s="1"/>
  <c r="D36" i="8" s="1"/>
  <c r="D37" i="8" s="1"/>
  <c r="D203" i="8" s="1"/>
  <c r="J66" i="15"/>
  <c r="J67" i="15" s="1"/>
  <c r="J224" i="15"/>
  <c r="J229" i="15" s="1"/>
  <c r="J230" i="15" s="1"/>
  <c r="J232" i="15" s="1"/>
  <c r="I117" i="6"/>
  <c r="I118" i="6" s="1"/>
  <c r="J37" i="6" s="1"/>
  <c r="F143" i="15"/>
  <c r="F56" i="8" s="1"/>
  <c r="F66" i="8" s="1"/>
  <c r="F70" i="8" s="1"/>
  <c r="J164" i="6"/>
  <c r="K159" i="6"/>
  <c r="J165" i="6"/>
  <c r="J166" i="6"/>
  <c r="J167" i="6"/>
  <c r="J168" i="6"/>
  <c r="J163" i="6"/>
  <c r="J161" i="6"/>
  <c r="J162" i="6"/>
  <c r="F22" i="8"/>
  <c r="F32" i="8" s="1"/>
  <c r="F36" i="8" s="1"/>
  <c r="F69" i="15"/>
  <c r="F10" i="7" s="1"/>
  <c r="F12" i="7" s="1"/>
  <c r="H142" i="15"/>
  <c r="H389" i="15" s="1"/>
  <c r="K66" i="15"/>
  <c r="K67" i="15" s="1"/>
  <c r="K22" i="8" s="1"/>
  <c r="K32" i="8" s="1"/>
  <c r="K36" i="8" s="1"/>
  <c r="K224" i="15"/>
  <c r="K229" i="15" s="1"/>
  <c r="K230" i="15" s="1"/>
  <c r="E229" i="15"/>
  <c r="H66" i="15"/>
  <c r="H67" i="15" s="1"/>
  <c r="H224" i="15"/>
  <c r="H229" i="15" s="1"/>
  <c r="H230" i="15" s="1"/>
  <c r="H232" i="15" s="1"/>
  <c r="O224" i="15"/>
  <c r="O229" i="15" s="1"/>
  <c r="O230" i="15" s="1"/>
  <c r="O66" i="15"/>
  <c r="O67" i="15" s="1"/>
  <c r="O22" i="8" s="1"/>
  <c r="O32" i="8" s="1"/>
  <c r="O36" i="8" s="1"/>
  <c r="J193" i="6"/>
  <c r="K185" i="6"/>
  <c r="J190" i="6"/>
  <c r="J191" i="6"/>
  <c r="J192" i="6"/>
  <c r="J187" i="6"/>
  <c r="J189" i="6"/>
  <c r="J188" i="6"/>
  <c r="J135" i="6"/>
  <c r="J137" i="6"/>
  <c r="K133" i="6"/>
  <c r="J140" i="6"/>
  <c r="J136" i="6"/>
  <c r="J139" i="6"/>
  <c r="J141" i="6"/>
  <c r="J138" i="6"/>
  <c r="J142" i="6"/>
  <c r="H298" i="15"/>
  <c r="H299" i="15" s="1"/>
  <c r="E142" i="15"/>
  <c r="E389" i="15" s="1"/>
  <c r="J111" i="6"/>
  <c r="J110" i="6"/>
  <c r="J113" i="6"/>
  <c r="J109" i="6"/>
  <c r="K107" i="6"/>
  <c r="J114" i="6"/>
  <c r="J112" i="6"/>
  <c r="J115" i="6"/>
  <c r="J116" i="6"/>
  <c r="J117" i="6" s="1"/>
  <c r="M68" i="15"/>
  <c r="M69" i="15" s="1"/>
  <c r="M10" i="7" s="1"/>
  <c r="M12" i="7" s="1"/>
  <c r="M231" i="15"/>
  <c r="M232" i="15" s="1"/>
  <c r="K68" i="15"/>
  <c r="K231" i="15"/>
  <c r="N91" i="6"/>
  <c r="P90" i="6"/>
  <c r="E50" i="6" s="1"/>
  <c r="F50" i="6" s="1"/>
  <c r="O87" i="6"/>
  <c r="P87" i="6" s="1"/>
  <c r="E47" i="6" s="1"/>
  <c r="O85" i="6"/>
  <c r="P85" i="6" s="1"/>
  <c r="E45" i="6" s="1"/>
  <c r="O90" i="6"/>
  <c r="O91" i="6" s="1"/>
  <c r="O86" i="6"/>
  <c r="P86" i="6" s="1"/>
  <c r="E46" i="6" s="1"/>
  <c r="O84" i="6"/>
  <c r="P84" i="6" s="1"/>
  <c r="E44" i="6" s="1"/>
  <c r="O89" i="6"/>
  <c r="P89" i="6" s="1"/>
  <c r="E49" i="6" s="1"/>
  <c r="O88" i="6"/>
  <c r="P88" i="6" s="1"/>
  <c r="E48" i="6" s="1"/>
  <c r="O83" i="6"/>
  <c r="P83" i="6" s="1"/>
  <c r="E43" i="6" s="1"/>
  <c r="AO363" i="6"/>
  <c r="AP362" i="6"/>
  <c r="I15" i="7"/>
  <c r="I14" i="7"/>
  <c r="E69" i="15" l="1"/>
  <c r="E10" i="7" s="1"/>
  <c r="E12" i="7" s="1"/>
  <c r="E8" i="8"/>
  <c r="E34" i="8" s="1"/>
  <c r="G224" i="15"/>
  <c r="P224" i="15" s="1"/>
  <c r="D293" i="15" s="1"/>
  <c r="D298" i="15" s="1"/>
  <c r="P61" i="15"/>
  <c r="D137" i="15" s="1"/>
  <c r="D15" i="7"/>
  <c r="D13" i="7"/>
  <c r="D202" i="8"/>
  <c r="L69" i="15"/>
  <c r="L10" i="7" s="1"/>
  <c r="L12" i="7" s="1"/>
  <c r="H195" i="6"/>
  <c r="H196" i="6" s="1"/>
  <c r="E37" i="8"/>
  <c r="E202" i="8" s="1"/>
  <c r="K69" i="15"/>
  <c r="K10" i="7" s="1"/>
  <c r="K12" i="7" s="1"/>
  <c r="K232" i="15"/>
  <c r="J143" i="6"/>
  <c r="J169" i="6" s="1"/>
  <c r="E143" i="15"/>
  <c r="E56" i="8" s="1"/>
  <c r="E66" i="8" s="1"/>
  <c r="E70" i="8" s="1"/>
  <c r="H143" i="15"/>
  <c r="H56" i="8" s="1"/>
  <c r="H66" i="8" s="1"/>
  <c r="H70" i="8" s="1"/>
  <c r="G22" i="8"/>
  <c r="G69" i="15"/>
  <c r="G10" i="7" s="1"/>
  <c r="G12" i="7" s="1"/>
  <c r="K190" i="6"/>
  <c r="K191" i="6"/>
  <c r="K193" i="6"/>
  <c r="K192" i="6"/>
  <c r="L185" i="6"/>
  <c r="K188" i="6"/>
  <c r="K187" i="6"/>
  <c r="K189" i="6"/>
  <c r="L159" i="6"/>
  <c r="K164" i="6"/>
  <c r="K166" i="6"/>
  <c r="K165" i="6"/>
  <c r="K167" i="6"/>
  <c r="K163" i="6"/>
  <c r="K161" i="6"/>
  <c r="K162" i="6"/>
  <c r="K168" i="6"/>
  <c r="J69" i="15"/>
  <c r="J10" i="7" s="1"/>
  <c r="J12" i="7" s="1"/>
  <c r="J22" i="8"/>
  <c r="J32" i="8" s="1"/>
  <c r="J36" i="8" s="1"/>
  <c r="H22" i="8"/>
  <c r="H32" i="8" s="1"/>
  <c r="H36" i="8" s="1"/>
  <c r="H69" i="15"/>
  <c r="H10" i="7" s="1"/>
  <c r="H12" i="7" s="1"/>
  <c r="P66" i="15"/>
  <c r="I143" i="6"/>
  <c r="J118" i="6"/>
  <c r="K37" i="6" s="1"/>
  <c r="K112" i="6"/>
  <c r="K110" i="6"/>
  <c r="K113" i="6"/>
  <c r="K116" i="6"/>
  <c r="K117" i="6" s="1"/>
  <c r="K109" i="6"/>
  <c r="K114" i="6"/>
  <c r="K111" i="6"/>
  <c r="K115" i="6"/>
  <c r="L107" i="6"/>
  <c r="K140" i="6"/>
  <c r="K137" i="6"/>
  <c r="K136" i="6"/>
  <c r="K142" i="6"/>
  <c r="K135" i="6"/>
  <c r="K138" i="6"/>
  <c r="L133" i="6"/>
  <c r="K141" i="6"/>
  <c r="K139" i="6"/>
  <c r="E230" i="15"/>
  <c r="E232" i="15" s="1"/>
  <c r="F14" i="7"/>
  <c r="F15" i="7"/>
  <c r="E14" i="7"/>
  <c r="E15" i="7"/>
  <c r="AP363" i="6"/>
  <c r="AQ362" i="6"/>
  <c r="O92" i="6"/>
  <c r="P32" i="6" s="1"/>
  <c r="N92" i="6"/>
  <c r="P91" i="6"/>
  <c r="M14" i="7"/>
  <c r="M15" i="7"/>
  <c r="E55" i="6"/>
  <c r="G50" i="6"/>
  <c r="H50" i="6" s="1"/>
  <c r="F8" i="8"/>
  <c r="F34" i="8" s="1"/>
  <c r="F37" i="8" s="1"/>
  <c r="E13" i="7" l="1"/>
  <c r="F13" i="7" s="1"/>
  <c r="E203" i="8"/>
  <c r="G229" i="15"/>
  <c r="G230" i="15" s="1"/>
  <c r="G232" i="15" s="1"/>
  <c r="J144" i="6"/>
  <c r="G13" i="7"/>
  <c r="H13" i="7" s="1"/>
  <c r="I13" i="7" s="1"/>
  <c r="J13" i="7" s="1"/>
  <c r="K13" i="7" s="1"/>
  <c r="L13" i="7" s="1"/>
  <c r="M13" i="7" s="1"/>
  <c r="L14" i="7"/>
  <c r="L15" i="7"/>
  <c r="I144" i="6"/>
  <c r="I169" i="6"/>
  <c r="D142" i="15"/>
  <c r="D389" i="15" s="1"/>
  <c r="P67" i="15"/>
  <c r="L166" i="6"/>
  <c r="L162" i="6"/>
  <c r="L164" i="6"/>
  <c r="L168" i="6"/>
  <c r="L165" i="6"/>
  <c r="M159" i="6"/>
  <c r="L163" i="6"/>
  <c r="L167" i="6"/>
  <c r="L161" i="6"/>
  <c r="L192" i="6"/>
  <c r="M185" i="6"/>
  <c r="L191" i="6"/>
  <c r="L189" i="6"/>
  <c r="L187" i="6"/>
  <c r="L193" i="6"/>
  <c r="L190" i="6"/>
  <c r="L188" i="6"/>
  <c r="K143" i="6"/>
  <c r="K144" i="6" s="1"/>
  <c r="M107" i="6"/>
  <c r="L113" i="6"/>
  <c r="L111" i="6"/>
  <c r="L116" i="6"/>
  <c r="L117" i="6" s="1"/>
  <c r="L110" i="6"/>
  <c r="L112" i="6"/>
  <c r="L109" i="6"/>
  <c r="L115" i="6"/>
  <c r="L114" i="6"/>
  <c r="H14" i="7"/>
  <c r="H15" i="7"/>
  <c r="J195" i="6"/>
  <c r="J196" i="6" s="1"/>
  <c r="J170" i="6"/>
  <c r="G15" i="7"/>
  <c r="G14" i="7"/>
  <c r="L142" i="6"/>
  <c r="L140" i="6"/>
  <c r="L137" i="6"/>
  <c r="L138" i="6"/>
  <c r="M133" i="6"/>
  <c r="L136" i="6"/>
  <c r="L135" i="6"/>
  <c r="L139" i="6"/>
  <c r="L141" i="6"/>
  <c r="K118" i="6"/>
  <c r="L37" i="6" s="1"/>
  <c r="J14" i="7"/>
  <c r="J15" i="7"/>
  <c r="G32" i="8"/>
  <c r="G36" i="8" s="1"/>
  <c r="P22" i="8"/>
  <c r="K15" i="7"/>
  <c r="K14" i="7"/>
  <c r="O68" i="15"/>
  <c r="O231" i="15"/>
  <c r="I50" i="6"/>
  <c r="AR362" i="6"/>
  <c r="AR363" i="6" s="1"/>
  <c r="AQ363" i="6"/>
  <c r="F203" i="8"/>
  <c r="F202" i="8"/>
  <c r="G8" i="8"/>
  <c r="G34" i="8" s="1"/>
  <c r="O32" i="6"/>
  <c r="P92" i="6"/>
  <c r="E203" i="6" s="1"/>
  <c r="P229" i="15" l="1"/>
  <c r="P230" i="15" s="1"/>
  <c r="D299" i="15" s="1"/>
  <c r="G37" i="8"/>
  <c r="G202" i="8" s="1"/>
  <c r="D56" i="8"/>
  <c r="D66" i="8" s="1"/>
  <c r="P32" i="8"/>
  <c r="D70" i="8" s="1"/>
  <c r="D71" i="8" s="1"/>
  <c r="M116" i="6"/>
  <c r="M117" i="6" s="1"/>
  <c r="M110" i="6"/>
  <c r="M111" i="6"/>
  <c r="M112" i="6"/>
  <c r="M109" i="6"/>
  <c r="M115" i="6"/>
  <c r="M113" i="6"/>
  <c r="N107" i="6"/>
  <c r="M114" i="6"/>
  <c r="M191" i="6"/>
  <c r="M192" i="6"/>
  <c r="M189" i="6"/>
  <c r="M187" i="6"/>
  <c r="M190" i="6"/>
  <c r="M188" i="6"/>
  <c r="N185" i="6"/>
  <c r="M193" i="6"/>
  <c r="K169" i="6"/>
  <c r="M136" i="6"/>
  <c r="M141" i="6"/>
  <c r="M142" i="6"/>
  <c r="M143" i="6" s="1"/>
  <c r="M135" i="6"/>
  <c r="M140" i="6"/>
  <c r="M138" i="6"/>
  <c r="N133" i="6"/>
  <c r="M139" i="6"/>
  <c r="M137" i="6"/>
  <c r="L143" i="6"/>
  <c r="L144" i="6" s="1"/>
  <c r="L118" i="6"/>
  <c r="M37" i="6" s="1"/>
  <c r="I195" i="6"/>
  <c r="I196" i="6" s="1"/>
  <c r="I170" i="6"/>
  <c r="M161" i="6"/>
  <c r="M165" i="6"/>
  <c r="N159" i="6"/>
  <c r="M163" i="6"/>
  <c r="M168" i="6"/>
  <c r="M167" i="6"/>
  <c r="M164" i="6"/>
  <c r="M166" i="6"/>
  <c r="M162" i="6"/>
  <c r="Q67" i="15"/>
  <c r="D143" i="15"/>
  <c r="N68" i="15"/>
  <c r="N69" i="15" s="1"/>
  <c r="N10" i="7" s="1"/>
  <c r="N231" i="15"/>
  <c r="N232" i="15" s="1"/>
  <c r="P33" i="6"/>
  <c r="O232" i="15"/>
  <c r="O69" i="15"/>
  <c r="O10" i="7" s="1"/>
  <c r="O12" i="7" s="1"/>
  <c r="P68" i="15"/>
  <c r="H8" i="8"/>
  <c r="H34" i="8" s="1"/>
  <c r="H37" i="8" s="1"/>
  <c r="G203" i="8"/>
  <c r="P231" i="15" l="1"/>
  <c r="M169" i="6"/>
  <c r="M195" i="6" s="1"/>
  <c r="M196" i="6" s="1"/>
  <c r="M118" i="6"/>
  <c r="N136" i="6"/>
  <c r="O133" i="6"/>
  <c r="N141" i="6"/>
  <c r="N137" i="6"/>
  <c r="N138" i="6"/>
  <c r="N139" i="6"/>
  <c r="N140" i="6"/>
  <c r="N135" i="6"/>
  <c r="N142" i="6"/>
  <c r="M144" i="6"/>
  <c r="K170" i="6"/>
  <c r="K195" i="6"/>
  <c r="K196" i="6" s="1"/>
  <c r="N193" i="6"/>
  <c r="N191" i="6"/>
  <c r="O185" i="6"/>
  <c r="N187" i="6"/>
  <c r="N190" i="6"/>
  <c r="N192" i="6"/>
  <c r="N188" i="6"/>
  <c r="N189" i="6"/>
  <c r="N116" i="6"/>
  <c r="N113" i="6"/>
  <c r="N112" i="6"/>
  <c r="N115" i="6"/>
  <c r="N111" i="6"/>
  <c r="N114" i="6"/>
  <c r="N110" i="6"/>
  <c r="O107" i="6"/>
  <c r="N109" i="6"/>
  <c r="D207" i="8"/>
  <c r="E42" i="8"/>
  <c r="E68" i="8" s="1"/>
  <c r="E71" i="8" s="1"/>
  <c r="D206" i="8"/>
  <c r="N166" i="6"/>
  <c r="N165" i="6"/>
  <c r="N167" i="6"/>
  <c r="O159" i="6"/>
  <c r="N168" i="6"/>
  <c r="N162" i="6"/>
  <c r="N163" i="6"/>
  <c r="N161" i="6"/>
  <c r="N164" i="6"/>
  <c r="L169" i="6"/>
  <c r="H202" i="8"/>
  <c r="H203" i="8"/>
  <c r="I8" i="8"/>
  <c r="I34" i="8" s="1"/>
  <c r="I37" i="8" s="1"/>
  <c r="D144" i="15"/>
  <c r="D390" i="15" s="1"/>
  <c r="P69" i="15"/>
  <c r="D145" i="15" s="1"/>
  <c r="O14" i="7"/>
  <c r="O15" i="7"/>
  <c r="D300" i="15"/>
  <c r="P232" i="15"/>
  <c r="D301" i="15" s="1"/>
  <c r="N12" i="7"/>
  <c r="P10" i="7"/>
  <c r="M170" i="6" l="1"/>
  <c r="O164" i="6"/>
  <c r="P164" i="6" s="1"/>
  <c r="H46" i="6" s="1"/>
  <c r="O163" i="6"/>
  <c r="P163" i="6" s="1"/>
  <c r="H45" i="6" s="1"/>
  <c r="O161" i="6"/>
  <c r="P161" i="6" s="1"/>
  <c r="H43" i="6" s="1"/>
  <c r="O168" i="6"/>
  <c r="O166" i="6"/>
  <c r="P166" i="6" s="1"/>
  <c r="H48" i="6" s="1"/>
  <c r="O167" i="6"/>
  <c r="P167" i="6" s="1"/>
  <c r="H49" i="6" s="1"/>
  <c r="O162" i="6"/>
  <c r="P162" i="6" s="1"/>
  <c r="H44" i="6" s="1"/>
  <c r="O165" i="6"/>
  <c r="P165" i="6" s="1"/>
  <c r="H47" i="6" s="1"/>
  <c r="O113" i="6"/>
  <c r="P113" i="6" s="1"/>
  <c r="F47" i="6" s="1"/>
  <c r="O114" i="6"/>
  <c r="P114" i="6" s="1"/>
  <c r="F48" i="6" s="1"/>
  <c r="O111" i="6"/>
  <c r="P111" i="6" s="1"/>
  <c r="F45" i="6" s="1"/>
  <c r="O112" i="6"/>
  <c r="P112" i="6" s="1"/>
  <c r="F46" i="6" s="1"/>
  <c r="O115" i="6"/>
  <c r="P115" i="6" s="1"/>
  <c r="F49" i="6" s="1"/>
  <c r="O116" i="6"/>
  <c r="O117" i="6" s="1"/>
  <c r="O110" i="6"/>
  <c r="P110" i="6" s="1"/>
  <c r="F44" i="6" s="1"/>
  <c r="O109" i="6"/>
  <c r="P109" i="6" s="1"/>
  <c r="F43" i="6" s="1"/>
  <c r="F42" i="8"/>
  <c r="F68" i="8" s="1"/>
  <c r="F71" i="8" s="1"/>
  <c r="E206" i="8"/>
  <c r="E207" i="8"/>
  <c r="O187" i="6"/>
  <c r="P187" i="6" s="1"/>
  <c r="I43" i="6" s="1"/>
  <c r="O191" i="6"/>
  <c r="P191" i="6" s="1"/>
  <c r="I47" i="6" s="1"/>
  <c r="O189" i="6"/>
  <c r="P189" i="6" s="1"/>
  <c r="I45" i="6" s="1"/>
  <c r="O190" i="6"/>
  <c r="P190" i="6" s="1"/>
  <c r="I46" i="6" s="1"/>
  <c r="O188" i="6"/>
  <c r="P188" i="6" s="1"/>
  <c r="I44" i="6" s="1"/>
  <c r="O192" i="6"/>
  <c r="P192" i="6" s="1"/>
  <c r="I48" i="6" s="1"/>
  <c r="O193" i="6"/>
  <c r="P193" i="6" s="1"/>
  <c r="I49" i="6" s="1"/>
  <c r="L170" i="6"/>
  <c r="L195" i="6"/>
  <c r="L196" i="6" s="1"/>
  <c r="O142" i="6"/>
  <c r="O138" i="6"/>
  <c r="P138" i="6" s="1"/>
  <c r="G46" i="6" s="1"/>
  <c r="O137" i="6"/>
  <c r="P137" i="6" s="1"/>
  <c r="G45" i="6" s="1"/>
  <c r="O140" i="6"/>
  <c r="P140" i="6" s="1"/>
  <c r="G48" i="6" s="1"/>
  <c r="O139" i="6"/>
  <c r="P139" i="6" s="1"/>
  <c r="G47" i="6" s="1"/>
  <c r="O136" i="6"/>
  <c r="P136" i="6" s="1"/>
  <c r="G44" i="6" s="1"/>
  <c r="O141" i="6"/>
  <c r="P141" i="6" s="1"/>
  <c r="G49" i="6" s="1"/>
  <c r="O135" i="6"/>
  <c r="P135" i="6" s="1"/>
  <c r="G43" i="6" s="1"/>
  <c r="N117" i="6"/>
  <c r="N143" i="6" s="1"/>
  <c r="P116" i="6"/>
  <c r="N37" i="6"/>
  <c r="J8" i="8"/>
  <c r="J34" i="8" s="1"/>
  <c r="J37" i="8" s="1"/>
  <c r="I202" i="8"/>
  <c r="I203" i="8"/>
  <c r="D37" i="7"/>
  <c r="D39" i="7" s="1"/>
  <c r="P12" i="7"/>
  <c r="N14" i="7"/>
  <c r="N13" i="7"/>
  <c r="O13" i="7" s="1"/>
  <c r="N15" i="7"/>
  <c r="O143" i="6" l="1"/>
  <c r="O144" i="6" s="1"/>
  <c r="P142" i="6"/>
  <c r="G52" i="6" s="1"/>
  <c r="H52" i="6" s="1"/>
  <c r="I52" i="6" s="1"/>
  <c r="G55" i="6"/>
  <c r="F144" i="15" s="1"/>
  <c r="F55" i="6"/>
  <c r="E300" i="15" s="1"/>
  <c r="P143" i="6"/>
  <c r="N144" i="6"/>
  <c r="O169" i="6"/>
  <c r="P168" i="6"/>
  <c r="H53" i="6" s="1"/>
  <c r="I53" i="6" s="1"/>
  <c r="N118" i="6"/>
  <c r="P117" i="6"/>
  <c r="O118" i="6"/>
  <c r="P37" i="6" s="1"/>
  <c r="N169" i="6"/>
  <c r="F207" i="8"/>
  <c r="F206" i="8"/>
  <c r="G42" i="8"/>
  <c r="G68" i="8" s="1"/>
  <c r="G71" i="8" s="1"/>
  <c r="D42" i="7"/>
  <c r="D41" i="7"/>
  <c r="D40" i="7"/>
  <c r="D48" i="7"/>
  <c r="D54" i="7" s="1"/>
  <c r="J203" i="8"/>
  <c r="J202" i="8"/>
  <c r="K8" i="8"/>
  <c r="K34" i="8" s="1"/>
  <c r="K37" i="8" s="1"/>
  <c r="F300" i="15" l="1"/>
  <c r="I55" i="6"/>
  <c r="H300" i="15" s="1"/>
  <c r="E144" i="15"/>
  <c r="E390" i="15" s="1"/>
  <c r="H55" i="6"/>
  <c r="G144" i="15" s="1"/>
  <c r="O170" i="6"/>
  <c r="O195" i="6"/>
  <c r="O196" i="6" s="1"/>
  <c r="F390" i="15"/>
  <c r="F145" i="15"/>
  <c r="O37" i="6"/>
  <c r="P38" i="6" s="1"/>
  <c r="P118" i="6"/>
  <c r="G203" i="6" s="1"/>
  <c r="G207" i="8"/>
  <c r="G206" i="8"/>
  <c r="H42" i="8"/>
  <c r="H68" i="8" s="1"/>
  <c r="H71" i="8" s="1"/>
  <c r="N170" i="6"/>
  <c r="P169" i="6"/>
  <c r="N195" i="6"/>
  <c r="P144" i="6"/>
  <c r="I203" i="6" s="1"/>
  <c r="K203" i="8"/>
  <c r="K202" i="8"/>
  <c r="L8" i="8"/>
  <c r="L34" i="8" s="1"/>
  <c r="L37" i="8" s="1"/>
  <c r="H144" i="15" l="1"/>
  <c r="H145" i="15" s="1"/>
  <c r="G300" i="15"/>
  <c r="E145" i="15"/>
  <c r="E301" i="15" s="1"/>
  <c r="P170" i="6"/>
  <c r="K203" i="6" s="1"/>
  <c r="N196" i="6"/>
  <c r="P196" i="6" s="1"/>
  <c r="M203" i="6" s="1"/>
  <c r="P195" i="6"/>
  <c r="E37" i="7"/>
  <c r="E39" i="7" s="1"/>
  <c r="F301" i="15"/>
  <c r="F37" i="7"/>
  <c r="F39" i="7" s="1"/>
  <c r="H390" i="15"/>
  <c r="G145" i="15"/>
  <c r="G390" i="15"/>
  <c r="H207" i="8"/>
  <c r="H206" i="8"/>
  <c r="L203" i="8"/>
  <c r="L202" i="8"/>
  <c r="M8" i="8"/>
  <c r="M34" i="8" s="1"/>
  <c r="M37" i="8" s="1"/>
  <c r="H37" i="7" l="1"/>
  <c r="H39" i="7" s="1"/>
  <c r="H301" i="15"/>
  <c r="E48" i="7"/>
  <c r="E54" i="7" s="1"/>
  <c r="E41" i="7"/>
  <c r="E42" i="7"/>
  <c r="E40" i="7"/>
  <c r="F40" i="7" s="1"/>
  <c r="F42" i="7"/>
  <c r="F41" i="7"/>
  <c r="F48" i="7"/>
  <c r="F54" i="7" s="1"/>
  <c r="G301" i="15"/>
  <c r="G37" i="7"/>
  <c r="G39" i="7" s="1"/>
  <c r="M203" i="8"/>
  <c r="N8" i="8"/>
  <c r="N34" i="8" s="1"/>
  <c r="N37" i="8" s="1"/>
  <c r="M202" i="8"/>
  <c r="G42" i="7" l="1"/>
  <c r="G41" i="7"/>
  <c r="G48" i="7"/>
  <c r="G54" i="7" s="1"/>
  <c r="G40" i="7"/>
  <c r="H40" i="7" s="1"/>
  <c r="H41" i="7"/>
  <c r="H48" i="7"/>
  <c r="H54" i="7" s="1"/>
  <c r="H42" i="7"/>
  <c r="N203" i="8"/>
  <c r="N202" i="8"/>
  <c r="O8" i="8"/>
  <c r="O34" i="8" s="1"/>
  <c r="O37" i="8" s="1"/>
  <c r="O202" i="8" l="1"/>
  <c r="O203" i="8"/>
</calcChain>
</file>

<file path=xl/sharedStrings.xml><?xml version="1.0" encoding="utf-8"?>
<sst xmlns="http://schemas.openxmlformats.org/spreadsheetml/2006/main" count="1521" uniqueCount="763">
  <si>
    <t>Kostenart</t>
  </si>
  <si>
    <t>Jan.</t>
  </si>
  <si>
    <t>Febr.</t>
  </si>
  <si>
    <t>März</t>
  </si>
  <si>
    <t>April</t>
  </si>
  <si>
    <t>Mai</t>
  </si>
  <si>
    <t>Juni</t>
  </si>
  <si>
    <t>Juli</t>
  </si>
  <si>
    <t>Aug.</t>
  </si>
  <si>
    <t>Sept.</t>
  </si>
  <si>
    <t>Okt.</t>
  </si>
  <si>
    <t>Nov.</t>
  </si>
  <si>
    <t>Dez.</t>
  </si>
  <si>
    <t>Miete (oder vergleichbare Belastung)</t>
  </si>
  <si>
    <t xml:space="preserve">Heizung, Schornsteinfeger, Emission </t>
  </si>
  <si>
    <t>Strom, Wasser, Abwasser, Müll</t>
  </si>
  <si>
    <t>Telefon, Mobil, Fax, Internet</t>
  </si>
  <si>
    <t>Rundfunk / Fernsehen usw.</t>
  </si>
  <si>
    <t>Kredit (Zins u. Tilgung)</t>
  </si>
  <si>
    <t>Wohnungsreparaturen</t>
  </si>
  <si>
    <t>Sonstiges (z.B. Grundsteuern)</t>
  </si>
  <si>
    <t>Lebensunterhalt / Haushaltsgeld</t>
  </si>
  <si>
    <t>Lebensmittel , auswärts Essen</t>
  </si>
  <si>
    <t>Kleidung, kosmetika, Sonstiges</t>
  </si>
  <si>
    <t>Kredit (Zins u. Tilgung) / Leasing</t>
  </si>
  <si>
    <t>Versicherung, Steuern, Reparaturen</t>
  </si>
  <si>
    <t>Benzin / Diesel / Reparaturen</t>
  </si>
  <si>
    <t>Versicherungen</t>
  </si>
  <si>
    <t>Unfallversicherung, Berufsunfähigkeit</t>
  </si>
  <si>
    <t>Hausratsversicherung, Haftpflicht</t>
  </si>
  <si>
    <t>Sonstige.Versicherungen.</t>
  </si>
  <si>
    <t>Freizeit / Unterhaltung</t>
  </si>
  <si>
    <t xml:space="preserve">Hobby, Bücher, Geschenke </t>
  </si>
  <si>
    <t>Urlaub, Reisen, Sonstiges</t>
  </si>
  <si>
    <t>Verschiedenes</t>
  </si>
  <si>
    <t>Vereinsbeiträge, Spenden, Bausparen</t>
  </si>
  <si>
    <t>Beratung (Steuer, Recht usw.)</t>
  </si>
  <si>
    <t>Zahlungsverpflichtungen</t>
  </si>
  <si>
    <t>Unterhalt, Kredittilgung, Weiterbildung</t>
  </si>
  <si>
    <t>Sonstige private Kredite (Zins + Tilg.)</t>
  </si>
  <si>
    <t>Wohnen</t>
  </si>
  <si>
    <t>PKW</t>
  </si>
  <si>
    <t>Summe</t>
  </si>
  <si>
    <t>Personalkosten (nur Angestellte)</t>
  </si>
  <si>
    <t>Marktforschung</t>
  </si>
  <si>
    <t>Summe Betriebskosten I</t>
  </si>
  <si>
    <t>Bürokosten</t>
  </si>
  <si>
    <t>Briefpapier, Visitenkarte, Stempel</t>
  </si>
  <si>
    <t>Produktionskosten</t>
  </si>
  <si>
    <t>Haftpflicht</t>
  </si>
  <si>
    <t>Rechtschutzversicherung</t>
  </si>
  <si>
    <t>Einnahmeart</t>
  </si>
  <si>
    <t>Einnahmen / Einzahlungen</t>
  </si>
  <si>
    <t>Summe Liquiditätszugang</t>
  </si>
  <si>
    <t>Ausgaben / Auszahlungen</t>
  </si>
  <si>
    <t xml:space="preserve">Sonstige Auszahlungen </t>
  </si>
  <si>
    <t>Summe Liquiditätsabgang</t>
  </si>
  <si>
    <t>Liquiditätssaldo</t>
  </si>
  <si>
    <t>(+) Summe Liquiditätszugang</t>
  </si>
  <si>
    <t>(-) Summe Liquiditätsabgang</t>
  </si>
  <si>
    <t>Forderungsausgleich</t>
  </si>
  <si>
    <t>Kapitalquellen</t>
  </si>
  <si>
    <t>Zinssatz</t>
  </si>
  <si>
    <t>Eigenkapital</t>
  </si>
  <si>
    <t xml:space="preserve">Kontokorrent Kredit </t>
  </si>
  <si>
    <t>Kurzfristige Darlehen</t>
  </si>
  <si>
    <t>Öffentliche Förderdarlehen</t>
  </si>
  <si>
    <t>L - Bank-Darlehen</t>
  </si>
  <si>
    <t xml:space="preserve">Bürgschaftsbank- Darlehen </t>
  </si>
  <si>
    <t>Haus -  Bank-Darlehen</t>
  </si>
  <si>
    <t>Privat -  Darlehen</t>
  </si>
  <si>
    <t>Konto / flüss. Mittel / Liquiditätssaldo</t>
  </si>
  <si>
    <t xml:space="preserve">Konto/flüss. Mittel/ Liquiditätssaldo/Startg. </t>
  </si>
  <si>
    <t>Jan</t>
  </si>
  <si>
    <t>Feb</t>
  </si>
  <si>
    <t>Mrz</t>
  </si>
  <si>
    <t>Apr</t>
  </si>
  <si>
    <t>Jun</t>
  </si>
  <si>
    <t>Jul</t>
  </si>
  <si>
    <t>Aug</t>
  </si>
  <si>
    <t>Sep</t>
  </si>
  <si>
    <t>Okt</t>
  </si>
  <si>
    <t>Nov</t>
  </si>
  <si>
    <t>Dez</t>
  </si>
  <si>
    <t>August</t>
  </si>
  <si>
    <t>Monate</t>
  </si>
  <si>
    <t>Beteiligung</t>
  </si>
  <si>
    <t>Eigenleistung</t>
  </si>
  <si>
    <t>Eigenkaptial und -leistung</t>
  </si>
  <si>
    <t>Fremdfinanzierung</t>
  </si>
  <si>
    <t>Zins</t>
  </si>
  <si>
    <t>Januar</t>
  </si>
  <si>
    <t>Februar</t>
  </si>
  <si>
    <t>September</t>
  </si>
  <si>
    <t>Oktober</t>
  </si>
  <si>
    <t>November</t>
  </si>
  <si>
    <t>Dezember</t>
  </si>
  <si>
    <t>Zins Fremdkapital</t>
  </si>
  <si>
    <t>Tilgung Fremdkapital</t>
  </si>
  <si>
    <t>Belastung gesamt</t>
  </si>
  <si>
    <t>durchschn. Jahresbeträge</t>
  </si>
  <si>
    <t>Finanzplan zum Businessplan</t>
  </si>
  <si>
    <t>Investitionsgut 5</t>
  </si>
  <si>
    <t>Investitionsgut 6</t>
  </si>
  <si>
    <t>Investitionsgut 7</t>
  </si>
  <si>
    <t>Telefon:</t>
  </si>
  <si>
    <t>Mail:</t>
  </si>
  <si>
    <t xml:space="preserve">Mobil: </t>
  </si>
  <si>
    <t>*) wird aus Tabelle "Finanzierung" übernommen (auf ganze Euro gerundet!)</t>
  </si>
  <si>
    <t>Finanzbedingungen</t>
  </si>
  <si>
    <t>6.1</t>
  </si>
  <si>
    <t>6.2</t>
  </si>
  <si>
    <t>6.3</t>
  </si>
  <si>
    <t>6.4</t>
  </si>
  <si>
    <t>6.5</t>
  </si>
  <si>
    <t>6.6</t>
  </si>
  <si>
    <t>6.7</t>
  </si>
  <si>
    <t>Kapitalgesellschaft</t>
  </si>
  <si>
    <t>Reisekostenpauschalen</t>
  </si>
  <si>
    <t>Anmerkungen</t>
  </si>
  <si>
    <t>Löhne, Gehälter mit Nebenkosten (s. Nebenrechnung)</t>
  </si>
  <si>
    <t>Reisekosten</t>
  </si>
  <si>
    <t>Übernachtungen</t>
  </si>
  <si>
    <t>Fachliteratur, Bücher</t>
  </si>
  <si>
    <t>Fahrtkosten</t>
  </si>
  <si>
    <t>Marketing  u. Werbung</t>
  </si>
  <si>
    <t>Flyer, Prospekte, Broschüren, Anzeigen</t>
  </si>
  <si>
    <t>Sonstiges, Messen, ...</t>
  </si>
  <si>
    <t>Anschaffungen Eingabetabelle</t>
  </si>
  <si>
    <t>Errechnen Monatswerte Abschreibungen</t>
  </si>
  <si>
    <t>Abschreibungen Jahreswerte</t>
  </si>
  <si>
    <t>Anschaffungsjahr</t>
  </si>
  <si>
    <t>Zählreihe</t>
  </si>
  <si>
    <t>Abschreibungen verteilt über Kalenderjahre</t>
  </si>
  <si>
    <t>Abschreibungen über Kalenderjahre</t>
  </si>
  <si>
    <t>Beschaffung des erforderlichen Kapitals</t>
  </si>
  <si>
    <t>Leasingraten für Produktionsanlagen, -maschinen</t>
  </si>
  <si>
    <t>Abrechenbare Kilometerkosten</t>
  </si>
  <si>
    <t>Produktionsbedarf, geringwertige Wirtschaftsgüter</t>
  </si>
  <si>
    <t>Leasingraten Kfz</t>
  </si>
  <si>
    <t>KFZ Kosten / Betriebliche Nutzung</t>
  </si>
  <si>
    <t>Gesamtsumme angefallener MwSt</t>
  </si>
  <si>
    <t>FreiberuflerIn</t>
  </si>
  <si>
    <t>umsatzsteuerpflichtig</t>
  </si>
  <si>
    <t>Kleinunternehmerregelung</t>
  </si>
  <si>
    <t>Einzahlungen/Auszahlungen (MwSt-Satz s. Tab.2 und Tab.4)</t>
  </si>
  <si>
    <t>Sammelposten 1</t>
  </si>
  <si>
    <t>Sammelposten 2</t>
  </si>
  <si>
    <t>Sammelposten 3</t>
  </si>
  <si>
    <t>Weitergehende Erläuterung zu Abschreibung</t>
  </si>
  <si>
    <t>Summe Anschaffungen</t>
  </si>
  <si>
    <t>Sammelposten 4</t>
  </si>
  <si>
    <t>Sammelposten (aus 3c)</t>
  </si>
  <si>
    <t>Investjahr</t>
  </si>
  <si>
    <t>Ausgefüllt</t>
  </si>
  <si>
    <t>Abschreibungen</t>
  </si>
  <si>
    <t>Sammelposten 5</t>
  </si>
  <si>
    <t>Sammelposten 6</t>
  </si>
  <si>
    <t>Sammelposten 7</t>
  </si>
  <si>
    <t>Sammelposten 8</t>
  </si>
  <si>
    <t>Summe Sammelposten</t>
  </si>
  <si>
    <t>Wert</t>
  </si>
  <si>
    <t>Ergebnis nach Steuern</t>
  </si>
  <si>
    <t>Vorläufiges Ergebnis / Gewinn vor Steuern (Übernahme aus Tab 5b)</t>
  </si>
  <si>
    <t>Gewerbesteuer (Übernahme aus Tab. 5c)</t>
  </si>
  <si>
    <t>Auswahl</t>
  </si>
  <si>
    <t>Wikipedia</t>
  </si>
  <si>
    <t>Einzelunternehmen</t>
  </si>
  <si>
    <t>Personengesellschaft</t>
  </si>
  <si>
    <t>Akkumuliert: Vorläufiges Ergebnis / Gewinn vor St. oder Verlust</t>
  </si>
  <si>
    <t>Vorläufiges Ergebnis / Gewinn vor St. oder Verlust</t>
  </si>
  <si>
    <t xml:space="preserve">*) Tool zur Gewerbesteuerermittlung </t>
  </si>
  <si>
    <t>Hebesätze Gemeinden um Stuttgart</t>
  </si>
  <si>
    <t xml:space="preserve"> </t>
  </si>
  <si>
    <t>Investitionsgut 2</t>
  </si>
  <si>
    <t>Investitionsgut 3</t>
  </si>
  <si>
    <t>Investitionsgut 4</t>
  </si>
  <si>
    <t xml:space="preserve"> Anzahl Mitarbeiter</t>
  </si>
  <si>
    <t>Gehalt1</t>
  </si>
  <si>
    <t>Gehalt2</t>
  </si>
  <si>
    <t>Gehalt3</t>
  </si>
  <si>
    <t>Nebenkosten (%)</t>
  </si>
  <si>
    <t>Nebenrechnung für andere Positionen</t>
  </si>
  <si>
    <t>Gesamtsumme</t>
  </si>
  <si>
    <t>Startjahr</t>
  </si>
  <si>
    <t>2.Jahr</t>
  </si>
  <si>
    <t xml:space="preserve">Betrag </t>
  </si>
  <si>
    <t>tilgungsfreie Monate</t>
  </si>
  <si>
    <t>Tilgungsstart</t>
  </si>
  <si>
    <t>Tilgungsende</t>
  </si>
  <si>
    <t>Planungsjahr</t>
  </si>
  <si>
    <t>Tilgung pro Monat</t>
  </si>
  <si>
    <t>Auszahlungsmonat</t>
  </si>
  <si>
    <t>Zins pro Monat</t>
  </si>
  <si>
    <t>Betrag</t>
  </si>
  <si>
    <t>Auszahlungsjahr</t>
  </si>
  <si>
    <t>Laufzeit Tilgung</t>
  </si>
  <si>
    <t>lfndr Monat</t>
  </si>
  <si>
    <t>monatl. Abschreibungen</t>
  </si>
  <si>
    <t>4b  Anhang: Ausweis der MwSt in EURO aus der Differenz zwischen den Tabellen 4b und 4d</t>
  </si>
  <si>
    <t>Akkumuliertes vorläufiges Ergebnis / Gewinn vor St. oder Verlust</t>
  </si>
  <si>
    <t>8.1</t>
  </si>
  <si>
    <t>8.2</t>
  </si>
  <si>
    <t>8.3</t>
  </si>
  <si>
    <t>8.4</t>
  </si>
  <si>
    <t>8.5</t>
  </si>
  <si>
    <t>8.6</t>
  </si>
  <si>
    <t>8.7</t>
  </si>
  <si>
    <t>8.8</t>
  </si>
  <si>
    <t>7a  Finanzierungsplan (Beträge in EURO)</t>
  </si>
  <si>
    <t>4a  Anhang: Ausweis der MwSt in EURO aus der Differenz zwischen den Tabellen 4a und 4c</t>
  </si>
  <si>
    <t>Summe Personalkosten</t>
  </si>
  <si>
    <t>negativ</t>
  </si>
  <si>
    <t>positiv</t>
  </si>
  <si>
    <t>Kapital</t>
  </si>
  <si>
    <t>Negativ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</si>
  <si>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</si>
  <si>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</si>
  <si>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</si>
  <si>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</si>
  <si>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</si>
  <si>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</si>
  <si>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</si>
  <si>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</si>
  <si>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</si>
  <si>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</si>
  <si>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</si>
  <si>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</si>
  <si>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Startguthaben (= Eigenkapital und -leistung aus Tab. 7a)</t>
  </si>
  <si>
    <t>Aufgaben und/oder Kommentar</t>
  </si>
  <si>
    <t>Webseite, lfd. Webseitenpflege</t>
  </si>
  <si>
    <t>Honorareinnahmen</t>
  </si>
  <si>
    <t>Sonstige Einzahlungen, z.B. Gutscheine, Zuschüsse, ...</t>
  </si>
  <si>
    <t>Gründungsmonat:</t>
  </si>
  <si>
    <t>*)  und **)  AOK-Gehaltsrechner</t>
  </si>
  <si>
    <t>Langfristige Darlehen z.B.</t>
  </si>
  <si>
    <t>Sonstige</t>
  </si>
  <si>
    <t>Total
Tilgung pro Monat</t>
  </si>
  <si>
    <t>Total
Zins pro Monat</t>
  </si>
  <si>
    <t>Total
Kapital</t>
  </si>
  <si>
    <t>Planungs-jahr</t>
  </si>
  <si>
    <t>laufender Monat</t>
  </si>
  <si>
    <t>Namen der GründerInnen</t>
  </si>
  <si>
    <t>Gesamtentnahmen aller GründerInnen</t>
  </si>
  <si>
    <t xml:space="preserve">      - Bei mehreren Gründern kann über Tabelle 1c eine Gesamtschau entwickelt und daraus eine "Aufteilung der Privatentnahmen" erzeugt werden</t>
  </si>
  <si>
    <t>Anhang zu Tab 1b</t>
  </si>
  <si>
    <t>Unternehmensform:</t>
  </si>
  <si>
    <t>Steuerpflicht:</t>
  </si>
  <si>
    <t xml:space="preserve">Gründungsjahr: </t>
  </si>
  <si>
    <t>aktuelles Jahr</t>
  </si>
  <si>
    <t>Keine Kapitalgesellschaft</t>
  </si>
  <si>
    <t>Ende</t>
  </si>
  <si>
    <t>Um die Tabellen zu erhalten müssen Sie</t>
  </si>
  <si>
    <t>die Anzahl der Jahre mit monatlichen Planung</t>
  </si>
  <si>
    <t>Zahlungseingang</t>
  </si>
  <si>
    <t>Gründer</t>
  </si>
  <si>
    <t>Investitionsgut 1</t>
  </si>
  <si>
    <t>4)  Die EkSt. im Angestelltenverhältnis erhöht die Privatausgaben</t>
  </si>
  <si>
    <t>Kapitaldienst Tilgung (aus Tab. 7b-1)</t>
  </si>
  <si>
    <t>Summe der angefallenen MwSt</t>
  </si>
  <si>
    <t>Sprache auswählen:</t>
  </si>
  <si>
    <t>Deutsch</t>
  </si>
  <si>
    <t>Sum</t>
  </si>
  <si>
    <t>Office expences</t>
  </si>
  <si>
    <t>Travel expenses</t>
  </si>
  <si>
    <t>Leisure, entertainement</t>
  </si>
  <si>
    <t xml:space="preserve">Insurance </t>
  </si>
  <si>
    <t xml:space="preserve">Credit (interest &amp; repayment) </t>
  </si>
  <si>
    <t>Credit (interest &amp; repayment) / leasing</t>
  </si>
  <si>
    <t>Vehicle leasing rates</t>
  </si>
  <si>
    <t xml:space="preserve">Marketing &amp; advertising </t>
  </si>
  <si>
    <t>Market research</t>
  </si>
  <si>
    <t>Passenger car</t>
  </si>
  <si>
    <t>Production costs</t>
  </si>
  <si>
    <t>Legal costs insurance</t>
  </si>
  <si>
    <t xml:space="preserve">Travelling allowances </t>
  </si>
  <si>
    <t>Other private credits (interest + anortization)</t>
  </si>
  <si>
    <t xml:space="preserve">Other insurances </t>
  </si>
  <si>
    <t>Miscellaneous (f.e. property tax)</t>
  </si>
  <si>
    <t>Electricity, water, waste water, garbage</t>
  </si>
  <si>
    <t>Sum operating costs I</t>
  </si>
  <si>
    <t>Sum office expences</t>
  </si>
  <si>
    <t xml:space="preserve">Sum personal costs </t>
  </si>
  <si>
    <t xml:space="preserve">Sum production costs </t>
  </si>
  <si>
    <t>Sum travel expenses</t>
  </si>
  <si>
    <t>Sum miscellaneous</t>
  </si>
  <si>
    <t>Sum insurances (operational)</t>
  </si>
  <si>
    <t>Accomodations</t>
  </si>
  <si>
    <t>Accident insurance, incapacity to work</t>
  </si>
  <si>
    <t>Association contributions, donations, building-savings</t>
  </si>
  <si>
    <t>Miscellaneous</t>
  </si>
  <si>
    <t>Insurances, taxes, repairs</t>
  </si>
  <si>
    <t>Insurances</t>
  </si>
  <si>
    <t xml:space="preserve">Payment obligations </t>
  </si>
  <si>
    <t>Sum vehical costs / operational use)</t>
  </si>
  <si>
    <t xml:space="preserve">Sum marketing &amp; advertising </t>
  </si>
  <si>
    <t>Flyers, leaflets, booklets, ads</t>
  </si>
  <si>
    <t>Cost Type</t>
  </si>
  <si>
    <t>Telefon, Fax, Internet, Porto</t>
  </si>
  <si>
    <t>English</t>
  </si>
  <si>
    <t>Sum VAT</t>
  </si>
  <si>
    <t>Total sum VAT</t>
  </si>
  <si>
    <t>No.</t>
  </si>
  <si>
    <t>May</t>
  </si>
  <si>
    <t>June</t>
  </si>
  <si>
    <t>July</t>
  </si>
  <si>
    <t>Mar</t>
  </si>
  <si>
    <t>Sept</t>
  </si>
  <si>
    <t>Oct</t>
  </si>
  <si>
    <t>Dec</t>
  </si>
  <si>
    <t>To Do list / Comments</t>
  </si>
  <si>
    <t>4b Addendum: Disclosure of VAT (Difference between Tab. 4b and 4d)</t>
  </si>
  <si>
    <t>Salary1</t>
  </si>
  <si>
    <t>Salary2</t>
  </si>
  <si>
    <t>Salery3</t>
  </si>
  <si>
    <t>Additional Expenses (%)</t>
  </si>
  <si>
    <t>Total sum</t>
  </si>
  <si>
    <t>Nebenrechung Personalkosten</t>
  </si>
  <si>
    <t>Ancillary Account for Personal Costs</t>
  </si>
  <si>
    <t>Ancillary Account for other Positions</t>
  </si>
  <si>
    <t>Grün hinterlegte Felder bitte ausfüllen</t>
  </si>
  <si>
    <t>Voreingestellter Inhalt der roten Felder</t>
  </si>
  <si>
    <t>Select your language:</t>
  </si>
  <si>
    <t>Name of enterprise *):</t>
  </si>
  <si>
    <t>Form of enterprise*):</t>
  </si>
  <si>
    <t>Adress*):</t>
  </si>
  <si>
    <t>Name(s) of founder*):</t>
  </si>
  <si>
    <t>Individual enterprise</t>
  </si>
  <si>
    <t>Partnership</t>
  </si>
  <si>
    <t xml:space="preserve">Capital company </t>
  </si>
  <si>
    <t>Smal business regulation</t>
  </si>
  <si>
    <t>liable to tax on sales</t>
  </si>
  <si>
    <t>Financial plan to the businessplan</t>
  </si>
  <si>
    <t>please fill in the green fields</t>
  </si>
  <si>
    <t>current year</t>
  </si>
  <si>
    <t>Sum compound items</t>
  </si>
  <si>
    <t>Compound item 1</t>
  </si>
  <si>
    <t xml:space="preserve">Months </t>
  </si>
  <si>
    <t xml:space="preserve">monthly write offs </t>
  </si>
  <si>
    <t>Priliminary  result / earnings bevor taxes or loss</t>
  </si>
  <si>
    <t>Founding year*):</t>
  </si>
  <si>
    <t>Acc. priliminary  result / earnings bevor taxes or loss</t>
  </si>
  <si>
    <t>Earnings after tax</t>
  </si>
  <si>
    <t>Hebesätze Gemeinden um Stuttgart (tax factors of communities round Stuttgart)</t>
  </si>
  <si>
    <t>*) Tool zur Gewerbesteuerermittlung  (Tool for assertainement of business tax)</t>
  </si>
  <si>
    <t xml:space="preserve">Payment receipt </t>
  </si>
  <si>
    <t>Receipts / pay offs (VAT rate s. tab.2 and tab. 4)</t>
  </si>
  <si>
    <t>Account / liquid resources / liquidity balance / opening balance</t>
  </si>
  <si>
    <t>Receipts / payments-in</t>
  </si>
  <si>
    <t>Financing (from tab. 7a w/o equity ratio)</t>
  </si>
  <si>
    <t>Payments of outstanding bills</t>
  </si>
  <si>
    <t>Other pay offs</t>
  </si>
  <si>
    <t>Sum liquidity outflow</t>
  </si>
  <si>
    <t xml:space="preserve">Liquidity balance </t>
  </si>
  <si>
    <t>(-)Sum liquidity outflow</t>
  </si>
  <si>
    <t>7a Financing plan (amount in EURO)</t>
  </si>
  <si>
    <t>Pay off in month</t>
  </si>
  <si>
    <t>Amount</t>
  </si>
  <si>
    <t>Capital resources</t>
  </si>
  <si>
    <t>Own capital</t>
  </si>
  <si>
    <t>Public loans</t>
  </si>
  <si>
    <t>L - Bank credit</t>
  </si>
  <si>
    <t>Quarantee bank credit</t>
  </si>
  <si>
    <t>House bank credit</t>
  </si>
  <si>
    <t>Privat loan</t>
  </si>
  <si>
    <t>Other</t>
  </si>
  <si>
    <t>External financing</t>
  </si>
  <si>
    <t>Interest outside capital</t>
  </si>
  <si>
    <t>Average annual amount</t>
  </si>
  <si>
    <t>Compound item 2</t>
  </si>
  <si>
    <t>Compound item 3</t>
  </si>
  <si>
    <t>Compound item 4</t>
  </si>
  <si>
    <t>Compound item 5</t>
  </si>
  <si>
    <t>Compound item 6</t>
  </si>
  <si>
    <t>Compound item 7</t>
  </si>
  <si>
    <t>Compound item 8</t>
  </si>
  <si>
    <t>January</t>
  </si>
  <si>
    <t>February</t>
  </si>
  <si>
    <t>March</t>
  </si>
  <si>
    <t>October</t>
  </si>
  <si>
    <t>December</t>
  </si>
  <si>
    <t>Tilgungsjahre</t>
  </si>
  <si>
    <t>Value</t>
  </si>
  <si>
    <t>Cost Category</t>
  </si>
  <si>
    <t xml:space="preserve">1c  Privatentnahmen (in EUR) der aufgeführten GründerInnen für die Jahre </t>
  </si>
  <si>
    <t>Annex to Tab 1b</t>
  </si>
  <si>
    <t>Grundlage dafür sind Gesamtausgaben</t>
  </si>
  <si>
    <t xml:space="preserve">Basis therefor are Total Expenses </t>
  </si>
  <si>
    <t>Founder/s</t>
  </si>
  <si>
    <t>Names of the Founder/s</t>
  </si>
  <si>
    <t>Terms for Financing</t>
  </si>
  <si>
    <t>Rate of 
Interest</t>
  </si>
  <si>
    <t>Comments</t>
  </si>
  <si>
    <t>Gesamtumsätze</t>
  </si>
  <si>
    <t>Gesamtumsätze akkumuliert</t>
  </si>
  <si>
    <t>Total Sales</t>
  </si>
  <si>
    <t>Total Sales accumulated</t>
  </si>
  <si>
    <t>Type of Income</t>
  </si>
  <si>
    <t>Sonstige Einnahmen</t>
  </si>
  <si>
    <t>Other Income</t>
  </si>
  <si>
    <t>No incorporated enterprise</t>
  </si>
  <si>
    <t>To open the spreadsheets select</t>
  </si>
  <si>
    <t>the number of years with monthly sceduling</t>
  </si>
  <si>
    <t>by click in the appropriate circle</t>
  </si>
  <si>
    <t>Default content of the red fields</t>
  </si>
  <si>
    <t xml:space="preserve">Tax liability: </t>
  </si>
  <si>
    <t xml:space="preserve">Founding year: </t>
  </si>
  <si>
    <t xml:space="preserve">Type of enterprise: </t>
  </si>
  <si>
    <t xml:space="preserve">Founding month: </t>
  </si>
  <si>
    <t xml:space="preserve">Phon: </t>
  </si>
  <si>
    <t xml:space="preserve">Mail: </t>
  </si>
  <si>
    <t xml:space="preserve">Date of issue: </t>
  </si>
  <si>
    <t>Not an Incorporated Enterprise</t>
  </si>
  <si>
    <t>Professional Person</t>
  </si>
  <si>
    <t>Ferbruary</t>
  </si>
  <si>
    <t>Sepember</t>
  </si>
  <si>
    <t>Month of Investment</t>
  </si>
  <si>
    <t>Gewinn/Verlust vor Steuer</t>
  </si>
  <si>
    <t xml:space="preserve">Finanzplanungstabellen; Download unter www.Kindermanns.de) zu zahlen. Die Höhe der Gewerbesteuer ist abhängig vom </t>
  </si>
  <si>
    <t>Finanzplanung für Gründer und Gründerinnen leicht gemacht!</t>
  </si>
  <si>
    <t>Vorwort</t>
  </si>
  <si>
    <t xml:space="preserve">Tabellen sind miteinander verknüpft, so dass jederzeit die Auswirkung einer Planänderung auf das Ergebnis erkennbar ist.  Außerdem wird jetzt sofort </t>
  </si>
  <si>
    <t>aus den eingebenen Zahlen eine anschauliche Grafik über den jeweiligen Zeithorizont erzeugt. Zusätzlich sind dann alle Grafiken nochmals zusammen</t>
  </si>
  <si>
    <t xml:space="preserve">Probieren Sie es! Mit den Tabellen ist die Finanzplanung für Ihr Unternehmen relativ einfach. </t>
  </si>
  <si>
    <t>Eine Bedienungsanleitung mit Tipps zum Ausfüllen der Tabellen kann aus dem Internet (www.kindermanns.de) unter Downloads heruntergeladen werden.</t>
  </si>
  <si>
    <t xml:space="preserve">Wir hoffen, dass die überarbeiten Tabellen die Finanzplanung erleichtern. Anregungen und Verbesserungsvorschläge sind herzlich willkommen. </t>
  </si>
  <si>
    <t>Jegliche Haftung für die Richtigkeit der berechneten Werte ist ausgeschlossen.</t>
  </si>
  <si>
    <t>Finance planning for business founders made easy!</t>
  </si>
  <si>
    <t>Preface</t>
  </si>
  <si>
    <r>
      <t xml:space="preserve">We hope, the revised tables will facilitate your finance planning. </t>
    </r>
    <r>
      <rPr>
        <sz val="10"/>
        <rFont val="Arial"/>
        <family val="2"/>
      </rPr>
      <t>Feedback and suggestions are always welcome.</t>
    </r>
  </si>
  <si>
    <t>Any liability for the correctness of the calculated results is excluded.</t>
  </si>
  <si>
    <t>Try it out! With this excel sheet the financial planning for your business is quite simple</t>
  </si>
  <si>
    <t>or for the JobCenter a financial plan is required to prove the business concept.</t>
  </si>
  <si>
    <t xml:space="preserve">This excel sheet facilitates the finance planning for the business founder. It is recommended to fill in the sheets one after the other. </t>
  </si>
  <si>
    <t xml:space="preserve">The sheets are linked so that each plan amendment is visible in the result. In addition a graphic is generated from the entered data. Furthermore </t>
  </si>
  <si>
    <t xml:space="preserve">Many business founders and foundresses have an aversion to financial planning. For them the finance planning is a closed book, an unknown terrain. </t>
  </si>
  <si>
    <t xml:space="preserve">This finance planning spreadsheet is useful for freelancers, sole proprietors or VAT-liable companies such as  private companies </t>
  </si>
  <si>
    <t xml:space="preserve">No bank will grant a loan for a startup without a description of the expected financial circumstances. Also for the Agency of Employment </t>
  </si>
  <si>
    <t>A User Guide (inGerman) with tips for filling in the sheets can be downloaded from the internet (www.kindermanns.de).</t>
  </si>
  <si>
    <t>Tab 4</t>
  </si>
  <si>
    <t>Tab 3</t>
  </si>
  <si>
    <t>Tab 2</t>
  </si>
  <si>
    <t>Tab 7</t>
  </si>
  <si>
    <t>Tab 6</t>
  </si>
  <si>
    <t>Tab 5</t>
  </si>
  <si>
    <t>Leasing rate for production facityties , -machines</t>
  </si>
  <si>
    <t>Einzelhandel</t>
  </si>
  <si>
    <t>Retail</t>
  </si>
  <si>
    <t>Monate nach Rechnungsstellung (≡ Planumsatz)</t>
  </si>
  <si>
    <t>Sum operating costs II</t>
  </si>
  <si>
    <t xml:space="preserve">Einzelhandel und Kapitalgesellschaften (wie GmbH) verwendbar.   </t>
  </si>
  <si>
    <t xml:space="preserve">(e.g. GbR=civil law association, KG=limited partnership), retrail sale, partnerships or corporations. </t>
  </si>
  <si>
    <r>
      <t>Finanzplanungstabellen</t>
    </r>
    <r>
      <rPr>
        <sz val="10"/>
        <rFont val="Verdana"/>
        <family val="2"/>
      </rPr>
      <t xml:space="preserve"> </t>
    </r>
    <r>
      <rPr>
        <sz val="10"/>
        <color rgb="FF000000"/>
        <rFont val="Verdana"/>
        <family val="2"/>
      </rPr>
      <t>sind für Freiberufler,  Einzelunternehmer, umsatzsteuerpflichtigen Unternehmen, wie Personengesellschaften (z.B. GbR, KG),</t>
    </r>
  </si>
  <si>
    <t>Raummiete</t>
  </si>
  <si>
    <t>Strom, Wasser, Heizung, sonst. Nebenkosten</t>
  </si>
  <si>
    <t>IT (Lizenzen, Windows, Office, Wartung)</t>
  </si>
  <si>
    <t>Sonstiges</t>
  </si>
  <si>
    <t>Geringw. Wirtschaftsgüter (Büromöbel, Einrichtungen,...)</t>
  </si>
  <si>
    <t>Others</t>
  </si>
  <si>
    <t>IT (licenses, windows, office, maintenace, ...)</t>
  </si>
  <si>
    <t>Instandhaltung und Reparaturen</t>
  </si>
  <si>
    <t>Electricity, water, heating, other costs</t>
  </si>
  <si>
    <t>Maintenace and repairs</t>
  </si>
  <si>
    <t>Beiträge (IHK, Berufsverbände, ...)</t>
  </si>
  <si>
    <t>Conributions (IHK,  trade organizations, ...)</t>
  </si>
  <si>
    <t>Versicherungen/Kfz-Steuer</t>
  </si>
  <si>
    <t>Fahrzeugkosten (Tanken und Reparatur)</t>
  </si>
  <si>
    <t>Bewirtungskosten</t>
  </si>
  <si>
    <t>Rechts- und Beratungskosten</t>
  </si>
  <si>
    <t>Buchhaltung</t>
  </si>
  <si>
    <t>Steuerberatung, Abschluss, Prüfung</t>
  </si>
  <si>
    <t>Summe Rechts- und Beratungskosten</t>
  </si>
  <si>
    <t xml:space="preserve">Bookkeeping </t>
  </si>
  <si>
    <t>Sum legislation and consultancy fees</t>
  </si>
  <si>
    <t>Finanzaufwand / Zinsen *)</t>
  </si>
  <si>
    <t>Schulungen</t>
  </si>
  <si>
    <t>Summe Verschiedenes</t>
  </si>
  <si>
    <t>Versicherungen und Beiträge (betrieblich!)</t>
  </si>
  <si>
    <t>Insurances and Contributions</t>
  </si>
  <si>
    <t>Depreciation</t>
  </si>
  <si>
    <t>Amortization (years)</t>
  </si>
  <si>
    <t>Interest-only (months)</t>
  </si>
  <si>
    <t xml:space="preserve">months after invoicing ( = planed sales) </t>
  </si>
  <si>
    <t>1.1</t>
  </si>
  <si>
    <t>1.2</t>
  </si>
  <si>
    <t>1.3</t>
  </si>
  <si>
    <t>1.4</t>
  </si>
  <si>
    <t>1.6</t>
  </si>
  <si>
    <t>2.1</t>
  </si>
  <si>
    <t>2.2</t>
  </si>
  <si>
    <t>2.3</t>
  </si>
  <si>
    <t>2.4</t>
  </si>
  <si>
    <t>2.6</t>
  </si>
  <si>
    <t>3.1</t>
  </si>
  <si>
    <t>3.2</t>
  </si>
  <si>
    <t>4.1</t>
  </si>
  <si>
    <t>4.2</t>
  </si>
  <si>
    <t>Bitte die Zusammensetzung der Umsätze in der Nebenrechnung (ab Spalte U) angeben</t>
  </si>
  <si>
    <t>Zeilen</t>
  </si>
  <si>
    <t>Original</t>
  </si>
  <si>
    <t>DATEV</t>
  </si>
  <si>
    <t>Steuersatz</t>
  </si>
  <si>
    <t>Please show the structure of sales in auxiliary calculation (Choose column "U")</t>
  </si>
  <si>
    <t>Ancillary: Account for other Positions</t>
  </si>
  <si>
    <t xml:space="preserve">Vor der Finanzplanung haben Existenzgründer und Existenzgründerinnen in der Regel eine große Scheu. Für Viele ist die Finanzplanung ein Buch </t>
  </si>
  <si>
    <t>mit sieben Siegeln,ein bisher unbekanntes Terrain. Aber zu jeder Existenzgründung und zu jedem  Business-Plan gehört nun einmal auch eine grobe</t>
  </si>
  <si>
    <t>Finanzplanung mit Umsatzvorausschau, Rentabilitätsberechnung und Liquiditätsbetrachtung. Erst diese Daten – auch wenn es nur Prognosewerte sind -</t>
  </si>
  <si>
    <t>zeigen, ob das geplante Unternehmen voraussichtlich auch Gewinn abwirft und sich in den nächsten Jahren auch auf dem Markt durchsetzen kann.</t>
  </si>
  <si>
    <t>Die Tabellen sollen dem Gründer/der Gründerin die Finanzplanung erleichtern. Es wird empfohlen, die Tabellen, eine nach der anderen, auszufüllen.</t>
  </si>
  <si>
    <t>Nevertheless every business startup and every business plan must include a rough finance planning with sales projection, profitability calculation and</t>
  </si>
  <si>
    <t>liquidity assessment. These data show– even if there are only forecast values - , whether your planned project will produce a profit and will succeed</t>
  </si>
  <si>
    <t xml:space="preserve">in the market. </t>
  </si>
  <si>
    <t>durch Klick in den entsprechenden Kreis</t>
  </si>
  <si>
    <t>auswählen</t>
  </si>
  <si>
    <t>Danach auf Schaltfläche "Weiter/Go" klicken</t>
  </si>
  <si>
    <t>Thereafter click the button "Weiter/Go"</t>
  </si>
  <si>
    <t>Umsatz Produktgruppe 1</t>
  </si>
  <si>
    <t>Sales Product Line 1</t>
  </si>
  <si>
    <t>Umsatz Produktgruppe 2</t>
  </si>
  <si>
    <t>Sales Product Line 2</t>
  </si>
  <si>
    <t>Umsätze aus Nebenrechnung Gruppe 1</t>
  </si>
  <si>
    <t>1.6.1</t>
  </si>
  <si>
    <t>1.6.2</t>
  </si>
  <si>
    <t>1.6.3</t>
  </si>
  <si>
    <t>1.6.4</t>
  </si>
  <si>
    <t>1.6.5</t>
  </si>
  <si>
    <t>2.6.1</t>
  </si>
  <si>
    <t>2.6.2</t>
  </si>
  <si>
    <t>2.6.3</t>
  </si>
  <si>
    <t>2.6.4</t>
  </si>
  <si>
    <t>2.6.5</t>
  </si>
  <si>
    <t>Umsätze aus Nebenrechnung Gruppe 2</t>
  </si>
  <si>
    <t>Summe Nebenrechnung Gruppe1</t>
  </si>
  <si>
    <t>Sales out of Ancillary Account Line 1</t>
  </si>
  <si>
    <t>Sales out of Ancillary Account Line 2</t>
  </si>
  <si>
    <t>Sum Ancillary Account Line1</t>
  </si>
  <si>
    <t>Summe Nebenrechnung Gruppe2</t>
  </si>
  <si>
    <t>Sum Ancillary Account Line2</t>
  </si>
  <si>
    <t>Summe Honorareinnahmen</t>
  </si>
  <si>
    <t>Sum Other Income</t>
  </si>
  <si>
    <t>Auszahlung in Monat</t>
  </si>
  <si>
    <t>Outpay in month</t>
  </si>
  <si>
    <t>Entertainment expenses</t>
  </si>
  <si>
    <t>Business tax (from tab. 5c)</t>
  </si>
  <si>
    <t>akkumuliert</t>
  </si>
  <si>
    <t>Monatswerte</t>
  </si>
  <si>
    <t>Summe Sonstige Einnahmen</t>
  </si>
  <si>
    <t>Investmonat</t>
  </si>
  <si>
    <t>M1=3:=Kapitalgesellschaften</t>
  </si>
  <si>
    <t>M1=2:=Einzelhandel</t>
  </si>
  <si>
    <t>M1=1:=Kleinunternehmerregelung</t>
  </si>
  <si>
    <t>M1=0:=Einzelunternehmer etc Umsatzsateuer</t>
  </si>
  <si>
    <r>
      <t>Unternehmensname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</si>
  <si>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Unternehmensform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</si>
  <si>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Steuerpflicht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</si>
  <si>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t>Tax liability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 xml:space="preserve">: </t>
    </r>
  </si>
  <si>
    <r>
      <t>Gründungsjahr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</si>
  <si>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Rechtsform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>:</t>
    </r>
  </si>
  <si>
    <r>
      <t>Legal form</t>
    </r>
    <r>
      <rPr>
        <vertAlign val="superscript"/>
        <sz val="11"/>
        <rFont val="Verdana"/>
        <family val="2"/>
      </rPr>
      <t>**)</t>
    </r>
    <r>
      <rPr>
        <sz val="11"/>
        <rFont val="Verdana"/>
        <family val="2"/>
      </rPr>
      <t xml:space="preserve">: </t>
    </r>
  </si>
  <si>
    <r>
      <t>Namen GründerIn(nen)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</si>
  <si>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Adresse</t>
    </r>
    <r>
      <rPr>
        <vertAlign val="superscript"/>
        <sz val="12"/>
        <rFont val="Verdana"/>
        <family val="2"/>
      </rPr>
      <t>*)</t>
    </r>
    <r>
      <rPr>
        <sz val="12"/>
        <rFont val="Verdana"/>
        <family val="2"/>
      </rPr>
      <t>:</t>
    </r>
  </si>
  <si>
    <r>
      <t>Abgabedatum</t>
    </r>
    <r>
      <rPr>
        <vertAlign val="superscript"/>
        <sz val="11"/>
        <rFont val="Verdana"/>
        <family val="2"/>
      </rPr>
      <t>*)</t>
    </r>
    <r>
      <rPr>
        <sz val="11"/>
        <rFont val="Verdana"/>
        <family val="2"/>
      </rPr>
      <t>:</t>
    </r>
  </si>
  <si>
    <r>
      <rPr>
        <vertAlign val="superscript"/>
        <sz val="9"/>
        <rFont val="Verdana"/>
        <family val="2"/>
      </rPr>
      <t>*)</t>
    </r>
    <r>
      <rPr>
        <sz val="9"/>
        <rFont val="Verdana"/>
        <family val="2"/>
      </rPr>
      <t xml:space="preserve"> Pflichtfelder sind Mindestangaben für einen Businessplan</t>
    </r>
  </si>
  <si>
    <r>
      <rPr>
        <vertAlign val="superscript"/>
        <sz val="9"/>
        <rFont val="Verdana"/>
        <family val="2"/>
      </rPr>
      <t xml:space="preserve">*) </t>
    </r>
    <r>
      <rPr>
        <sz val="9"/>
        <rFont val="Verdana"/>
        <family val="2"/>
      </rPr>
      <t>Mandatory fields are minimum specifications for a business plan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</si>
  <si>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Erläuterung zu Rechtsformen siehe z.B. </t>
    </r>
  </si>
  <si>
    <r>
      <rPr>
        <vertAlign val="superscript"/>
        <sz val="9"/>
        <rFont val="Verdana"/>
        <family val="2"/>
      </rPr>
      <t>**)</t>
    </r>
    <r>
      <rPr>
        <sz val="9"/>
        <rFont val="Verdana"/>
        <family val="2"/>
      </rPr>
      <t xml:space="preserve"> Explanation to legal forms see f.e.</t>
    </r>
  </si>
  <si>
    <t>Sonderabschreibungen</t>
  </si>
  <si>
    <r>
      <t>*)</t>
    </r>
    <r>
      <rPr>
        <sz val="12"/>
        <rFont val="Verdana"/>
        <family val="2"/>
      </rPr>
      <t xml:space="preserve"> Bis zu einem Gewinn von 24.500 € (Freibetrag) ist keine Gewerbesteuer (zur Berechnung s. auch Bedienungsanleitung </t>
    </r>
  </si>
  <si>
    <t>"Hebesatz" der jeweiligen Gemeinde.</t>
  </si>
  <si>
    <t>january</t>
  </si>
  <si>
    <t>Founding month:</t>
  </si>
  <si>
    <t>Sprache /Language</t>
  </si>
  <si>
    <t>mit Monatsplanung im 1. Planjahr</t>
  </si>
  <si>
    <t>with monthly scedule for the 1st. year</t>
  </si>
  <si>
    <t>mit Monatsplanung für die ersten beiden Planjahre</t>
  </si>
  <si>
    <t>with monthly scedule for the first two years</t>
  </si>
  <si>
    <t>Jürgen Erlewein</t>
  </si>
  <si>
    <t>Peter Kindermann</t>
  </si>
  <si>
    <t>und</t>
  </si>
  <si>
    <t>and</t>
  </si>
  <si>
    <t>juergen.erlewein@senioren-der-wirtschaft.de</t>
  </si>
  <si>
    <t>peter.kindermann@senioren-der-wirtschaft.de</t>
  </si>
  <si>
    <t>monthly values</t>
  </si>
  <si>
    <t>accumulated</t>
  </si>
  <si>
    <t>Choise</t>
  </si>
  <si>
    <t>Summe Bürokosten</t>
  </si>
  <si>
    <t>Materialaufwand zur Produktion (19%)</t>
  </si>
  <si>
    <t>Materialaufwand zur Produktion (7%)</t>
  </si>
  <si>
    <t>Summe Produktionskosten</t>
  </si>
  <si>
    <t>Summe Reisekosten</t>
  </si>
  <si>
    <t/>
  </si>
  <si>
    <t>Summe Versicherungen und Beiträge (betrieblich!)</t>
  </si>
  <si>
    <t>Summe KFZ Kosten / Betriebliche Nutzung</t>
  </si>
  <si>
    <t>Summe Marketing  u. Werbung</t>
  </si>
  <si>
    <t>im Blatt "Cockpit-Chart" zu sehen. Noch zu erledigende Arbeiten können in jeder Tabelle in die dafür vorgesehenen Kommentarzeilen geschrieben werden.</t>
  </si>
  <si>
    <t>all graphics are shown in the sheet “Cockpit Chart”. Open tasks for each table can be written in the provided field "Tasks or Comments".</t>
  </si>
  <si>
    <t>Ohne eine Darstellung der voraussichtlichen Finanzverhältnisse wird keine Bank dem Existenzgründer oder der Gründerin ein Darlehen geben oder einen</t>
  </si>
  <si>
    <t xml:space="preserve">     </t>
  </si>
  <si>
    <t xml:space="preserve">Kredit einräumen. Auch zur Erstellung der Tragfähigkeitsbescheinigung für die Agentur für Arbeit oder das Jobcenter ist eine Finanzplanung Voraussetzung.  </t>
  </si>
  <si>
    <t>{2016@Erlewein}</t>
  </si>
  <si>
    <t>Income Consulting Services</t>
  </si>
  <si>
    <t>Sum Income Consulting Services</t>
  </si>
  <si>
    <t>Accomodation expenses</t>
  </si>
  <si>
    <t>Rent (or comparable expenses</t>
  </si>
  <si>
    <t xml:space="preserve">Heating, chimny, sweep, emission </t>
  </si>
  <si>
    <t>Phone, mobil, fax, internet, postage</t>
  </si>
  <si>
    <t>Apartement repairs</t>
  </si>
  <si>
    <t xml:space="preserve">Living- and housekeeping expenses </t>
  </si>
  <si>
    <t>Food, eating out</t>
  </si>
  <si>
    <t>Clothing, cosmetics, miscellaneous</t>
  </si>
  <si>
    <t>Fuel, repairs</t>
  </si>
  <si>
    <t>Radio, TV etc.</t>
  </si>
  <si>
    <t>Hobby, books, gifts</t>
  </si>
  <si>
    <t>Holiday, travel, miscellaneous</t>
  </si>
  <si>
    <t>Insurance of contents</t>
  </si>
  <si>
    <t>Livelihood, credit repayment, education</t>
  </si>
  <si>
    <t>Consulting services (taxes, law etc.)</t>
  </si>
  <si>
    <r>
      <t>Gesamtausgaben ohne Einkommensteuer 1</t>
    </r>
    <r>
      <rPr>
        <vertAlign val="superscript"/>
        <sz val="11"/>
        <rFont val="Verdana"/>
        <family val="2"/>
      </rPr>
      <t>)</t>
    </r>
  </si>
  <si>
    <t xml:space="preserve">1c  Personal Drawings (in EUR) of the Founders for the Years </t>
  </si>
  <si>
    <t>Total Drawings of all Founders</t>
  </si>
  <si>
    <t>Room rental</t>
  </si>
  <si>
    <t>Phone, fax, internet, postage</t>
  </si>
  <si>
    <t>Low value assets (office furniture,  facilities, ...)</t>
  </si>
  <si>
    <t>Production need, low value assets</t>
  </si>
  <si>
    <t>Personnel costs  (salery personel only)</t>
  </si>
  <si>
    <t>Wages, saleries with additional costs (s. ancillary account)</t>
  </si>
  <si>
    <t>Vehicle expenses for operational use</t>
  </si>
  <si>
    <t>Insurances / tax on cars</t>
  </si>
  <si>
    <t>Deductible cost per kilometre</t>
  </si>
  <si>
    <t xml:space="preserve">vehicle's cost (fuel and repairs) </t>
  </si>
  <si>
    <t>Office supply, paper, business cards, stamps</t>
  </si>
  <si>
    <t>Homepage, current website maintenance</t>
  </si>
  <si>
    <t>Others, exhibitions, ...</t>
  </si>
  <si>
    <t>Legal and accountancy fees</t>
  </si>
  <si>
    <t>Tax advice, annual accounts, accounts audit</t>
  </si>
  <si>
    <t>Finance costs /  interest *)</t>
  </si>
  <si>
    <t>Business literature</t>
  </si>
  <si>
    <t>Training</t>
  </si>
  <si>
    <t>4a-1 Annex: Disclosure of VAT (Difference between Tab. 4a-1 and 4-1c)</t>
  </si>
  <si>
    <t xml:space="preserve">*) out of Table "7 Finanzierung | Financing" </t>
  </si>
  <si>
    <t xml:space="preserve">    These data will be transferred automatically to the table "6 Liquidität|Liquidity".</t>
  </si>
  <si>
    <t>Investment 1</t>
  </si>
  <si>
    <t>Investment 2</t>
  </si>
  <si>
    <t>Investment 3</t>
  </si>
  <si>
    <t>Investment 4</t>
  </si>
  <si>
    <t>Investment 5</t>
  </si>
  <si>
    <t>Investment 6</t>
  </si>
  <si>
    <t>Investment 7</t>
  </si>
  <si>
    <t>Sum Investment</t>
  </si>
  <si>
    <t>Special depreciation</t>
  </si>
  <si>
    <t>Investitionen</t>
  </si>
  <si>
    <t>Capital Expenditures</t>
  </si>
  <si>
    <t>Auxciliary Caluculation for Personal Costs</t>
  </si>
  <si>
    <t>Personalkosten</t>
  </si>
  <si>
    <t>Personnel Costs</t>
  </si>
  <si>
    <t>Headcount</t>
  </si>
  <si>
    <t xml:space="preserve">    Dazu müssen Sie die in Zeile 88 stehenden Werte in die Tabelle 1c händisch übertragen. In die Liquiditätstabelle wird der Wert aus Zeile 101 übernommen.</t>
  </si>
  <si>
    <t>Rentenversicherung, freiw. Versicher. 1)</t>
  </si>
  <si>
    <t>Krankenversicherung u Medikamente 2)</t>
  </si>
  <si>
    <t>3) bei EinzelunternehmerInnen werden üblicherweise die pers. Ausgaben als Entnahme aus dem Unternehmergewinn die Liquiditätsberechnung einbezogen.</t>
  </si>
  <si>
    <t xml:space="preserve">Total expenses w/o income tax </t>
  </si>
  <si>
    <t xml:space="preserve">Gesamtausgaben o. Einkommensteuer </t>
  </si>
  <si>
    <t>Pension insurance, voluntary insurance 1)</t>
  </si>
  <si>
    <t>Health insurance and medication 2)</t>
  </si>
  <si>
    <t>Profit/Loss before taxes</t>
  </si>
  <si>
    <t xml:space="preserve">3) The founder of an Individual Enterprise can inscribe his planned personal drawings in table 1c. How much it should be is shown in line 88. </t>
  </si>
  <si>
    <t>Depreciation (from "3 Anschaffungen|Investment")</t>
  </si>
  <si>
    <t>Abschreibungen (aus "3 Anschaffungen|Investment")</t>
  </si>
  <si>
    <t>Preliminary  result / earnings bevor taxes for loss (from tab. 5b)</t>
  </si>
  <si>
    <t>Preliminary  result / earnings bevor taxes or loss</t>
  </si>
  <si>
    <t>**) Rough estimation of the inome tax with the fee-calculator of the Federal Ministery of Finances</t>
  </si>
  <si>
    <t>Opening balance (= own capital, personal contribution from tab. 7a)</t>
  </si>
  <si>
    <t>Other earnings e.g. vouchers, grants</t>
  </si>
  <si>
    <t>Sum liquidity access</t>
  </si>
  <si>
    <t>Expenses / outgoings</t>
  </si>
  <si>
    <t>Interest and amortizement (from tab. 7b-1)</t>
  </si>
  <si>
    <t>(+) Sum liquidity access</t>
  </si>
  <si>
    <t>Finding of necessary capital</t>
  </si>
  <si>
    <t>Own performance</t>
  </si>
  <si>
    <t>Participation</t>
  </si>
  <si>
    <t>Current account credit</t>
  </si>
  <si>
    <t>Short term credit</t>
  </si>
  <si>
    <t>Own capital and own performance</t>
  </si>
  <si>
    <t>Repayment outside capital</t>
  </si>
  <si>
    <t>Total load</t>
  </si>
  <si>
    <t>Long term credit e.g.</t>
  </si>
  <si>
    <t>KfW programm</t>
  </si>
  <si>
    <t>KfW  Programm</t>
  </si>
  <si>
    <t>↑</t>
  </si>
  <si>
    <r>
      <t xml:space="preserve">b) </t>
    </r>
    <r>
      <rPr>
        <i/>
        <u/>
        <sz val="11"/>
        <color theme="1"/>
        <rFont val="Verdana"/>
        <family val="2"/>
      </rPr>
      <t>Mehrere</t>
    </r>
    <r>
      <rPr>
        <sz val="11"/>
        <color theme="1"/>
        <rFont val="Verdana"/>
        <family val="2"/>
      </rPr>
      <t xml:space="preserve"> Anschaffungen mit einem Wert größer als 150 EUR und kleiner als 1.000 EUR können in der sog. Poolabschreibung als Sammelposten zusammengefaßt werden.</t>
    </r>
  </si>
  <si>
    <t xml:space="preserve">    Dabei sind sind Anschaffungsbetrag,  Anschaffungsmonat und die Nutzungsdauer anzugeben. In jede Zeile darf nur e i n e  Investition eingetragen werden.</t>
  </si>
  <si>
    <t xml:space="preserve">    Diese Sammelposten werden in Tabelle 3b eingetragen und werden generell  über 5 Jahre abgeschrieben.</t>
  </si>
  <si>
    <t>a) Geringwertige Wirtschaftsgüter (GwG) mit einem Anschaffungswert kleiner als 410 EURO können sofort abgeschrieben werden; sie sind in Tab. 4 "Betriebskosten" aufzuführen.</t>
  </si>
  <si>
    <t>a) Assets with value below 410 EUR can be depreciated in the year of purchasing. They have to be listed in tab.4 operation ex(penses).</t>
  </si>
  <si>
    <t xml:space="preserve">   These items are listed in tab 3b "investment of compound items". The depreciation period for them is fixed to 5 years. </t>
  </si>
  <si>
    <t>Depreciation per month</t>
  </si>
  <si>
    <t>1) Anschaffungen mit einem Wert größer 400 EUR müssen entsprechend ihrer Nutzungsdauer abgeschriebenwerden. Diese Anschaffungen sind in Tabelle 3a "Geplante Anschaffungen" aufzuführen.</t>
  </si>
  <si>
    <t xml:space="preserve">1) Assets with value more than 410 EUR have to be depreciated according to their usefull life. The planned investements  </t>
  </si>
  <si>
    <t>Seit 1.1.2010 gibt es für die Abschreibung von geringwertigen Wirtschaftsgütern ein Wahlrecht ( zwei Alternativen)</t>
  </si>
  <si>
    <t>Since 2010-1-1:   2 choises exist for depreciation of so-called "low value assets"</t>
  </si>
  <si>
    <t>b) Several assets with value more than 150 EUR and less than 1.000 EUR  can be summerized as compound items.</t>
  </si>
  <si>
    <t>b)</t>
  </si>
  <si>
    <t>1)</t>
  </si>
  <si>
    <t>Erläuterungen zu geringwertige Wirtschaftsgüter/Sammelposten |  Annotation low-value Assets/Compound Item</t>
  </si>
  <si>
    <t>Erläuterung zu Abschreibung | Annotation for Depreciation</t>
  </si>
  <si>
    <t xml:space="preserve">    have to be added to tab 3a "planed capital expenditures" together with their acquisition value, purchase month and depreciation period. Per line only one investment-item is allowed!</t>
  </si>
  <si>
    <t>NEU MIT GRAPHISCHER DARSTELLUNG DER ERGEBNISSE</t>
  </si>
  <si>
    <t>NEW WITH GRAFIC REPRESENTAION OF RESULTS</t>
  </si>
  <si>
    <t>Finanzplanung für GründerInnen leicht gemacht</t>
  </si>
  <si>
    <t>Financial Planning for Founders/Foundresses easy to work with</t>
  </si>
  <si>
    <t>Für Freiberufler, Einzelunternehmen, Einzelhandel, Personen-und Kapitalgesellschaften</t>
  </si>
  <si>
    <t>For Professionals, Individual Enterprises, Partnerships, Retail, Capital Companies</t>
  </si>
  <si>
    <t>In Tabellen-Schritten</t>
  </si>
  <si>
    <t>von der Umsatzprognose</t>
  </si>
  <si>
    <t>zum Liquiditätsplan</t>
  </si>
  <si>
    <t>with sales forecast</t>
  </si>
  <si>
    <t>to cash budget</t>
  </si>
  <si>
    <t>Vielfach bewährt für Tragfähigkeitsbescheinigungen</t>
  </si>
  <si>
    <t>Approved in many cases for "Tragfaehigkeitsbescheinigung"</t>
  </si>
  <si>
    <t>Step by step through spreadsheets</t>
  </si>
  <si>
    <t>and financing</t>
  </si>
  <si>
    <t>bis zur Finanzierung</t>
  </si>
  <si>
    <t>Anschaffungen</t>
  </si>
  <si>
    <t>Investment</t>
  </si>
  <si>
    <t xml:space="preserve">*) Tool zur Gewerbesteuerermittlung | for bussiness tax </t>
  </si>
  <si>
    <t>Steuerarten |Tax types</t>
  </si>
  <si>
    <t>Hebesätze Gemeinden um Stuttgart | municipal tax rates arround Stuttgart</t>
  </si>
  <si>
    <t xml:space="preserve">*) Until a profit of 24.500 EUR (exemption) no industrial tax has to be payed. </t>
  </si>
  <si>
    <t>The industrial tax depends on the tax factor of the municipality where the company is located</t>
  </si>
  <si>
    <t>*) and **) see AOK-salary calulator</t>
  </si>
  <si>
    <t>*) &amp; **)  AOK-Gehaltsrechner | AOK salary-calculation</t>
  </si>
  <si>
    <t xml:space="preserve">     EkSt. auf die Privatentnahmen wird bei Unternehmensformen die keine Kapitalgesellschaft sind aus dem Gesamtgewinn ermittelt und in der Liquiditätsberechnung berücksichtigt.</t>
  </si>
  <si>
    <t>4)  Income tax for emploies will increase the personal expenses</t>
  </si>
  <si>
    <t xml:space="preserve">     Income tax on personal expenses for noncapital companies is calculated out of the profit. The amount is considered in the calculation of cash flow.</t>
  </si>
  <si>
    <t xml:space="preserve">      The sum of all these data will be transferred automatically to the table "6 Liquidität|Liquidity".</t>
  </si>
  <si>
    <t xml:space="preserve">    - If there are several founders they can also inscribe there planned individual personal drawings in table 1c. </t>
  </si>
  <si>
    <t>Abschätzung der Einkommensteuer  4)</t>
  </si>
  <si>
    <t>Estimation of Income Tax  4)</t>
  </si>
  <si>
    <t xml:space="preserve">        Auch bei mehreren GründerInnen werden die Werte aus Zeile 101 in die Tab. "6 Liquidität| Liquidity" übenrnommen.</t>
  </si>
  <si>
    <t>Studio-/ Büro-Miete inkl. Nebenkosten</t>
  </si>
  <si>
    <t>Verbrauchsmaterialien Studio  5.000 Euro, Büro 2000</t>
  </si>
  <si>
    <t>Kosten  für Ausbelichtungen u. Foto-Dienstleiustungen</t>
  </si>
  <si>
    <t>Werbung</t>
  </si>
  <si>
    <t>Versicherungen, Berufsgenossenschaft, Handwerkskammer etc.</t>
  </si>
  <si>
    <t>x</t>
  </si>
  <si>
    <t>Asset depreciation
range (years)</t>
  </si>
  <si>
    <t>monatliche    Abschreibung</t>
  </si>
  <si>
    <t>Jahr</t>
  </si>
  <si>
    <t>Ende Abschreibung</t>
  </si>
  <si>
    <t>Summe Abschreibungen</t>
  </si>
  <si>
    <t>Sammelposten</t>
  </si>
  <si>
    <t>Anschaffungen/Investitionen</t>
  </si>
  <si>
    <t>Anschaffungen / Lageraufbau</t>
  </si>
  <si>
    <t>Jahre der
Abschreibung</t>
  </si>
  <si>
    <t>Lageraufbau</t>
  </si>
  <si>
    <t>Depeciation</t>
  </si>
  <si>
    <t>Building up of Inventory</t>
  </si>
  <si>
    <t>Investment/Acquisition</t>
  </si>
  <si>
    <t>capital expenditure</t>
  </si>
  <si>
    <t>ja</t>
  </si>
  <si>
    <t>vorsteuerfrei</t>
  </si>
  <si>
    <t>der Betrag in die Höhe von 340 sitzt sich zusammen aus-120€ Hygiene Matrial,100€ Reinigungsmatrial, 100€ Müllgebüreund 21 € GEMA Gebühr</t>
  </si>
  <si>
    <t>Ausgabe  3V93_(12Planmonate)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</si>
</sst>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164" formatCode="_(* #,##0_);_(* \(#,##0\);_(* &quot;-&quot;_);_(@_)"/>
    <numFmt numFmtId="165" formatCode="_(* #,##0.00_);_(* \(#,##0.00\);_(* &quot;-&quot;??_);_(@_)"/>
    <numFmt numFmtId="166" formatCode="dd/mm/yy;@"/>
    <numFmt numFmtId="167" formatCode="#,##0\ _€"/>
    <numFmt numFmtId="168" formatCode="_-* #,##0\ _€_-;\-* #,##0\ _€_-;_-* &quot;-&quot;??\ _€_-;_-@_-"/>
    <numFmt numFmtId="169" formatCode="#,##0_ ;[Red]\-#,##0\ "/>
    <numFmt numFmtId="170" formatCode="#,##0.0"/>
    <numFmt numFmtId="171" formatCode="#,##0.0_ ;\-#,##0.0\ "/>
    <numFmt numFmtId="172" formatCode="#,##0.0_ ;[Red]\-#,##0.0\ "/>
    <numFmt numFmtId="173" formatCode="#,##0_ ;\-#,##0\ "/>
    <numFmt numFmtId="174" formatCode="0_ ;\-0\ "/>
    <numFmt numFmtId="175" formatCode="0.0%"/>
    <numFmt numFmtId="176" formatCode="0.000"/>
    <numFmt numFmtId="177" formatCode="_(* #,##0_);_(* \(#,##0\);_(* &quot;-&quot;??_);_(@_)"/>
  </numFmts>
  <fonts count="96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Verdana"/>
      <family val="2"/>
    </font>
    <font>
      <b/>
      <sz val="14"/>
      <name val="Verdana"/>
      <family val="2"/>
    </font>
    <font>
      <b/>
      <sz val="10"/>
      <name val="Verdana"/>
      <family val="2"/>
    </font>
    <font>
      <sz val="8"/>
      <name val="Verdana"/>
      <family val="2"/>
    </font>
    <font>
      <b/>
      <sz val="12"/>
      <name val="Verdana"/>
      <family val="2"/>
    </font>
    <font>
      <sz val="12"/>
      <name val="Verdana"/>
      <family val="2"/>
    </font>
    <font>
      <sz val="11"/>
      <color rgb="FF9C6500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10"/>
      <color theme="0"/>
      <name val="Arial"/>
      <family val="2"/>
    </font>
    <font>
      <b/>
      <sz val="12"/>
      <name val="Arial"/>
      <family val="2"/>
    </font>
    <font>
      <sz val="10"/>
      <color rgb="FF000000"/>
      <name val="Arial"/>
      <family val="2"/>
    </font>
    <font>
      <sz val="11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10"/>
      <name val="Arial"/>
      <family val="2"/>
    </font>
    <font>
      <sz val="10"/>
      <color rgb="FF381563"/>
      <name val="Verdana"/>
      <family val="2"/>
    </font>
    <font>
      <sz val="22"/>
      <name val="Verdana"/>
      <family val="2"/>
    </font>
    <font>
      <sz val="10"/>
      <color rgb="FFFF0000"/>
      <name val="Arial"/>
      <family val="2"/>
    </font>
    <font>
      <sz val="11"/>
      <name val="Verdana"/>
      <family val="2"/>
    </font>
    <font>
      <sz val="9"/>
      <color rgb="FF000000"/>
      <name val="Verdana"/>
      <family val="2"/>
    </font>
    <font>
      <sz val="10"/>
      <color rgb="FF000000"/>
      <name val="Verdana"/>
      <family val="2"/>
    </font>
    <font>
      <sz val="10"/>
      <color theme="0"/>
      <name val="Verdana"/>
      <family val="2"/>
    </font>
    <font>
      <u/>
      <sz val="12"/>
      <color indexed="12"/>
      <name val="Verdana"/>
      <family val="2"/>
    </font>
    <font>
      <sz val="14"/>
      <color rgb="FF000000"/>
      <name val="Arial"/>
      <family val="2"/>
    </font>
    <font>
      <sz val="14"/>
      <name val="Verdana"/>
      <family val="2"/>
    </font>
    <font>
      <u/>
      <sz val="10"/>
      <color indexed="12"/>
      <name val="Verdana"/>
      <family val="2"/>
    </font>
    <font>
      <sz val="16"/>
      <name val="Verdana"/>
      <family val="2"/>
    </font>
    <font>
      <sz val="20"/>
      <name val="Verdana"/>
      <family val="2"/>
    </font>
    <font>
      <sz val="8"/>
      <color theme="0"/>
      <name val="Verdana"/>
      <family val="2"/>
    </font>
    <font>
      <sz val="9"/>
      <name val="Verdana"/>
      <family val="2"/>
    </font>
    <font>
      <sz val="11"/>
      <color theme="0"/>
      <name val="Verdana"/>
      <family val="2"/>
    </font>
    <font>
      <sz val="11"/>
      <color indexed="52"/>
      <name val="Verdana"/>
      <family val="2"/>
    </font>
    <font>
      <sz val="18"/>
      <name val="Verdana"/>
      <family val="2"/>
    </font>
    <font>
      <sz val="9"/>
      <color theme="0"/>
      <name val="Verdana"/>
      <family val="2"/>
    </font>
    <font>
      <b/>
      <sz val="11"/>
      <name val="Verdana"/>
      <family val="2"/>
    </font>
    <font>
      <sz val="11"/>
      <color theme="1"/>
      <name val="Verdana"/>
      <family val="2"/>
    </font>
    <font>
      <vertAlign val="superscript"/>
      <sz val="11"/>
      <name val="Verdana"/>
      <family val="2"/>
    </font>
    <font>
      <b/>
      <sz val="9"/>
      <name val="Verdana"/>
      <family val="2"/>
    </font>
    <font>
      <b/>
      <sz val="11"/>
      <color theme="0"/>
      <name val="Verdana"/>
      <family val="2"/>
    </font>
    <font>
      <sz val="11"/>
      <color rgb="FFFF0000"/>
      <name val="Verdana"/>
      <family val="2"/>
    </font>
    <font>
      <sz val="11"/>
      <color indexed="8"/>
      <name val="Verdana"/>
      <family val="2"/>
    </font>
    <font>
      <u/>
      <sz val="11"/>
      <color indexed="12"/>
      <name val="Verdana"/>
      <family val="2"/>
    </font>
    <font>
      <sz val="8"/>
      <color rgb="FFFF0000"/>
      <name val="Verdana"/>
      <family val="2"/>
    </font>
    <font>
      <sz val="14"/>
      <color theme="0"/>
      <name val="Verdana"/>
      <family val="2"/>
    </font>
    <font>
      <sz val="14"/>
      <color rgb="FFFF0000"/>
      <name val="Verdana"/>
      <family val="2"/>
    </font>
    <font>
      <i/>
      <sz val="11"/>
      <color theme="0"/>
      <name val="Verdana"/>
      <family val="2"/>
    </font>
    <font>
      <sz val="12"/>
      <color theme="0"/>
      <name val="Verdana"/>
      <family val="2"/>
    </font>
    <font>
      <u/>
      <sz val="9"/>
      <color indexed="12"/>
      <name val="Verdana"/>
      <family val="2"/>
    </font>
    <font>
      <sz val="11"/>
      <color indexed="9"/>
      <name val="Verdana"/>
      <family val="2"/>
    </font>
    <font>
      <b/>
      <sz val="11"/>
      <color theme="1"/>
      <name val="Verdana"/>
      <family val="2"/>
    </font>
    <font>
      <sz val="9"/>
      <color rgb="FFFF0000"/>
      <name val="Verdana"/>
      <family val="2"/>
    </font>
    <font>
      <b/>
      <sz val="11"/>
      <color rgb="FFFF0000"/>
      <name val="Verdana"/>
      <family val="2"/>
    </font>
    <font>
      <u/>
      <sz val="10"/>
      <name val="Verdana"/>
      <family val="2"/>
    </font>
    <font>
      <i/>
      <sz val="9"/>
      <name val="Verdana"/>
      <family val="2"/>
    </font>
    <font>
      <i/>
      <sz val="11"/>
      <name val="Verdana"/>
      <family val="2"/>
    </font>
    <font>
      <sz val="18"/>
      <color theme="0"/>
      <name val="Verdana"/>
      <family val="2"/>
    </font>
    <font>
      <i/>
      <sz val="9"/>
      <color theme="0"/>
      <name val="Verdana"/>
      <family val="2"/>
    </font>
    <font>
      <i/>
      <u/>
      <sz val="11"/>
      <color indexed="12"/>
      <name val="Verdana"/>
      <family val="2"/>
    </font>
    <font>
      <i/>
      <sz val="11"/>
      <color indexed="57"/>
      <name val="Verdana"/>
      <family val="2"/>
    </font>
    <font>
      <i/>
      <sz val="11"/>
      <color indexed="52"/>
      <name val="Verdana"/>
      <family val="2"/>
    </font>
    <font>
      <b/>
      <sz val="16"/>
      <color theme="0"/>
      <name val="Verdana"/>
      <family val="2"/>
    </font>
    <font>
      <u/>
      <sz val="11"/>
      <color theme="0"/>
      <name val="Verdana"/>
      <family val="2"/>
    </font>
    <font>
      <b/>
      <sz val="16"/>
      <color rgb="FFFF0000"/>
      <name val="Verdana"/>
      <family val="2"/>
    </font>
    <font>
      <b/>
      <sz val="16"/>
      <name val="Verdana"/>
      <family val="2"/>
    </font>
    <font>
      <sz val="14"/>
      <color indexed="52"/>
      <name val="Verdana"/>
      <family val="2"/>
    </font>
    <font>
      <sz val="10"/>
      <color rgb="FFFF0000"/>
      <name val="Verdana"/>
      <family val="2"/>
    </font>
    <font>
      <vertAlign val="superscript"/>
      <sz val="12"/>
      <name val="Verdana"/>
      <family val="2"/>
    </font>
    <font>
      <u/>
      <sz val="11"/>
      <name val="Verdana"/>
      <family val="2"/>
    </font>
    <font>
      <sz val="12"/>
      <color rgb="FFFF0000"/>
      <name val="Verdana"/>
      <family val="2"/>
    </font>
    <font>
      <i/>
      <sz val="9"/>
      <color rgb="FFFF0000"/>
      <name val="Verdana"/>
      <family val="2"/>
    </font>
    <font>
      <i/>
      <sz val="11"/>
      <color rgb="FFFF0000"/>
      <name val="Verdana"/>
      <family val="2"/>
    </font>
    <font>
      <b/>
      <sz val="8"/>
      <color rgb="FFFF0000"/>
      <name val="Verdana"/>
      <family val="2"/>
    </font>
    <font>
      <b/>
      <sz val="8"/>
      <name val="Verdana"/>
      <family val="2"/>
    </font>
    <font>
      <b/>
      <sz val="11"/>
      <color theme="3"/>
      <name val="Verdana"/>
      <family val="2"/>
    </font>
    <font>
      <sz val="20"/>
      <color rgb="FF000000"/>
      <name val="Verdana"/>
      <family val="2"/>
    </font>
    <font>
      <sz val="17"/>
      <name val="Verdana"/>
      <family val="2"/>
    </font>
    <font>
      <sz val="22"/>
      <color rgb="FFFF0000"/>
      <name val="Verdana"/>
      <family val="2"/>
    </font>
    <font>
      <sz val="9"/>
      <color theme="1"/>
      <name val="Verdana"/>
      <family val="2"/>
    </font>
    <font>
      <u/>
      <sz val="9"/>
      <name val="Verdana"/>
      <family val="2"/>
    </font>
    <font>
      <vertAlign val="superscript"/>
      <sz val="9"/>
      <name val="Verdana"/>
      <family val="2"/>
    </font>
    <font>
      <sz val="10"/>
      <color theme="1"/>
      <name val="Verdana"/>
      <family val="2"/>
    </font>
    <font>
      <i/>
      <sz val="12"/>
      <name val="Lucida Calligraphy"/>
      <family val="4"/>
    </font>
    <font>
      <sz val="8"/>
      <color theme="1"/>
      <name val="Verdana"/>
      <family val="2"/>
    </font>
    <font>
      <sz val="14"/>
      <color theme="1"/>
      <name val="Verdana"/>
      <family val="2"/>
    </font>
    <font>
      <sz val="11"/>
      <name val="Calibri"/>
      <family val="2"/>
    </font>
    <font>
      <sz val="16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i/>
      <u/>
      <sz val="11"/>
      <color theme="1"/>
      <name val="Verdana"/>
      <family val="2"/>
    </font>
    <font>
      <vertAlign val="superscript"/>
      <sz val="20"/>
      <name val="Verdana"/>
      <family val="2"/>
    </font>
    <font>
      <sz val="10.5"/>
      <color rgb="FF000000"/>
      <name val="Verdana"/>
      <family val="2"/>
    </font>
    <font>
      <sz val="11"/>
      <color rgb="FF000000"/>
      <name val="Verdana"/>
      <family val="2"/>
    </font>
    <font>
      <sz val="11"/>
      <name val="Cambria"/>
      <family val="1"/>
    </font>
  </fonts>
  <fills count="2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gray0625"/>
    </fill>
    <fill>
      <patternFill patternType="solid">
        <fgColor rgb="FFFFEB9C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lightGray">
        <bgColor theme="0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0"/>
        <bgColor theme="0"/>
      </patternFill>
    </fill>
    <fill>
      <patternFill patternType="gray125">
        <bgColor indexed="9"/>
      </patternFill>
    </fill>
    <fill>
      <patternFill patternType="solid">
        <fgColor theme="6" tint="0.39994506668294322"/>
        <bgColor indexed="64"/>
      </patternFill>
    </fill>
    <fill>
      <patternFill patternType="solid">
        <fgColor indexed="65"/>
        <bgColor indexed="64"/>
      </patternFill>
    </fill>
  </fills>
  <borders count="20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medium">
        <color indexed="64"/>
      </bottom>
      <diagonal/>
    </border>
    <border>
      <left style="medium">
        <color indexed="64"/>
      </left>
      <right/>
      <top style="double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ck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rgb="FF00B050"/>
      </left>
      <right style="medium">
        <color rgb="FF00B050"/>
      </right>
      <top style="medium">
        <color rgb="FF00B050"/>
      </top>
      <bottom style="medium">
        <color rgb="FF00B050"/>
      </bottom>
      <diagonal/>
    </border>
    <border>
      <left/>
      <right/>
      <top style="medium">
        <color indexed="64"/>
      </top>
      <bottom style="thin">
        <color theme="1" tint="0.499984740745262"/>
      </bottom>
      <diagonal/>
    </border>
    <border>
      <left/>
      <right/>
      <top style="thin">
        <color theme="1" tint="0.499984740745262"/>
      </top>
      <bottom/>
      <diagonal/>
    </border>
    <border>
      <left/>
      <right/>
      <top/>
      <bottom style="thin">
        <color theme="1" tint="0.499984740745262"/>
      </bottom>
      <diagonal/>
    </border>
    <border>
      <left style="thin">
        <color indexed="64"/>
      </left>
      <right style="medium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double">
        <color indexed="64"/>
      </bottom>
      <diagonal/>
    </border>
    <border>
      <left/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/>
      <right style="medium">
        <color indexed="64"/>
      </right>
      <top style="hair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dotted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</borders>
  <cellStyleXfs count="11">
    <xf numFmtId="0" fontId="0" fillId="0" borderId="0"/>
    <xf numFmtId="0" fontId="3" fillId="0" borderId="0" applyNumberFormat="0" applyFill="0" applyBorder="0" applyAlignment="0" applyProtection="0">
      <alignment vertical="top"/>
      <protection locked="0"/>
    </xf>
    <xf numFmtId="0" fontId="10" fillId="5" borderId="0" applyNumberFormat="0" applyBorder="0" applyAlignment="0" applyProtection="0"/>
    <xf numFmtId="9" fontId="2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2" fillId="0" borderId="0"/>
    <xf numFmtId="165" fontId="2" fillId="0" borderId="0" applyFont="0" applyFill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6" fillId="18" borderId="0" applyNumberFormat="0" applyBorder="0" applyAlignment="0" applyProtection="0"/>
    <xf numFmtId="0" fontId="2" fillId="0" borderId="0"/>
  </cellStyleXfs>
  <cellXfs count="1661">
    <xf numFmtId="0" fontId="0" fillId="0" borderId="0" xfId="0"/>
    <xf numFmtId="0" fontId="4" fillId="2" borderId="0" xfId="0" applyFont="1" applyFill="1" applyBorder="1" applyAlignment="1">
      <alignment horizontal="center"/>
    </xf>
    <xf numFmtId="0" fontId="4" fillId="2" borderId="0" xfId="0" applyFont="1" applyFill="1" applyBorder="1"/>
    <xf numFmtId="14" fontId="4" fillId="2" borderId="0" xfId="0" applyNumberFormat="1" applyFont="1" applyFill="1" applyBorder="1"/>
    <xf numFmtId="0" fontId="5" fillId="2" borderId="0" xfId="0" applyFont="1" applyFill="1" applyBorder="1" applyAlignment="1">
      <alignment horizontal="center"/>
    </xf>
    <xf numFmtId="0" fontId="6" fillId="2" borderId="0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0" fillId="7" borderId="0" xfId="0" applyFill="1"/>
    <xf numFmtId="0" fontId="4" fillId="2" borderId="0" xfId="0" applyFont="1" applyFill="1" applyBorder="1" applyAlignment="1"/>
    <xf numFmtId="0" fontId="2" fillId="7" borderId="0" xfId="0" applyFont="1" applyFill="1"/>
    <xf numFmtId="14" fontId="4" fillId="2" borderId="0" xfId="0" applyNumberFormat="1" applyFont="1" applyFill="1" applyBorder="1" applyAlignment="1"/>
    <xf numFmtId="0" fontId="17" fillId="2" borderId="0" xfId="0" applyFont="1" applyFill="1" applyBorder="1" applyAlignment="1">
      <alignment horizontal="center"/>
    </xf>
    <xf numFmtId="0" fontId="2" fillId="0" borderId="0" xfId="0" applyFont="1"/>
    <xf numFmtId="0" fontId="8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22" fillId="2" borderId="0" xfId="0" applyFont="1" applyFill="1" applyBorder="1" applyAlignment="1">
      <alignment horizontal="center"/>
    </xf>
    <xf numFmtId="0" fontId="23" fillId="7" borderId="0" xfId="0" applyFont="1" applyFill="1" applyAlignment="1">
      <alignment horizontal="left" vertical="center" readingOrder="1"/>
    </xf>
    <xf numFmtId="0" fontId="24" fillId="7" borderId="0" xfId="0" applyFont="1" applyFill="1" applyAlignment="1">
      <alignment horizontal="left" vertical="center" readingOrder="1"/>
    </xf>
    <xf numFmtId="0" fontId="25" fillId="7" borderId="0" xfId="0" applyFont="1" applyFill="1"/>
    <xf numFmtId="0" fontId="4" fillId="7" borderId="0" xfId="0" applyFont="1" applyFill="1"/>
    <xf numFmtId="0" fontId="8" fillId="7" borderId="0" xfId="0" applyFont="1" applyFill="1" applyAlignment="1">
      <alignment vertical="center" readingOrder="1"/>
    </xf>
    <xf numFmtId="0" fontId="6" fillId="7" borderId="0" xfId="0" applyFont="1" applyFill="1" applyAlignment="1">
      <alignment vertical="center" readingOrder="1"/>
    </xf>
    <xf numFmtId="0" fontId="18" fillId="7" borderId="0" xfId="0" applyFont="1" applyFill="1"/>
    <xf numFmtId="0" fontId="15" fillId="7" borderId="0" xfId="0" applyFont="1" applyFill="1"/>
    <xf numFmtId="0" fontId="3" fillId="7" borderId="0" xfId="1" applyFill="1" applyAlignment="1" applyProtection="1"/>
    <xf numFmtId="0" fontId="9" fillId="7" borderId="0" xfId="0" applyFont="1" applyFill="1" applyAlignment="1">
      <alignment vertical="center" readingOrder="1"/>
    </xf>
    <xf numFmtId="0" fontId="4" fillId="7" borderId="0" xfId="0" applyFont="1" applyFill="1" applyAlignment="1">
      <alignment vertical="center" readingOrder="1"/>
    </xf>
    <xf numFmtId="0" fontId="3" fillId="7" borderId="0" xfId="1" applyFill="1" applyAlignment="1" applyProtection="1">
      <alignment horizontal="left" vertical="center" readingOrder="1"/>
    </xf>
    <xf numFmtId="0" fontId="26" fillId="7" borderId="0" xfId="1" applyFont="1" applyFill="1" applyAlignment="1" applyProtection="1">
      <alignment vertical="center" readingOrder="1"/>
    </xf>
    <xf numFmtId="0" fontId="5" fillId="7" borderId="0" xfId="0" applyFont="1" applyFill="1" applyAlignment="1">
      <alignment vertical="center" readingOrder="1"/>
    </xf>
    <xf numFmtId="0" fontId="27" fillId="0" borderId="0" xfId="0" applyFont="1" applyAlignment="1">
      <alignment vertical="center"/>
    </xf>
    <xf numFmtId="0" fontId="27" fillId="7" borderId="0" xfId="0" applyFont="1" applyFill="1" applyAlignment="1">
      <alignment vertical="center"/>
    </xf>
    <xf numFmtId="0" fontId="33" fillId="7" borderId="0" xfId="0" applyFont="1" applyFill="1" applyAlignment="1" applyProtection="1">
      <alignment vertical="top"/>
    </xf>
    <xf numFmtId="0" fontId="34" fillId="7" borderId="0" xfId="0" applyFont="1" applyFill="1" applyAlignment="1" applyProtection="1">
      <alignment vertical="top"/>
    </xf>
    <xf numFmtId="0" fontId="22" fillId="7" borderId="0" xfId="0" applyFont="1" applyFill="1" applyAlignment="1" applyProtection="1">
      <alignment vertical="top"/>
    </xf>
    <xf numFmtId="0" fontId="22" fillId="7" borderId="0" xfId="0" applyFont="1" applyFill="1" applyAlignment="1" applyProtection="1">
      <alignment horizontal="center" vertical="top"/>
    </xf>
    <xf numFmtId="0" fontId="34" fillId="7" borderId="0" xfId="0" applyFont="1" applyFill="1" applyAlignment="1" applyProtection="1">
      <alignment vertical="top"/>
      <protection locked="0"/>
    </xf>
    <xf numFmtId="3" fontId="22" fillId="7" borderId="0" xfId="0" applyNumberFormat="1" applyFont="1" applyFill="1" applyAlignment="1" applyProtection="1">
      <alignment horizontal="right" vertical="top" indent="1"/>
    </xf>
    <xf numFmtId="0" fontId="22" fillId="0" borderId="0" xfId="0" applyFont="1" applyFill="1" applyAlignment="1" applyProtection="1">
      <alignment vertical="top"/>
    </xf>
    <xf numFmtId="0" fontId="22" fillId="0" borderId="0" xfId="0" applyFont="1" applyFill="1" applyBorder="1" applyAlignment="1" applyProtection="1">
      <alignment vertical="center"/>
    </xf>
    <xf numFmtId="0" fontId="31" fillId="7" borderId="0" xfId="0" applyFont="1" applyFill="1" applyAlignment="1" applyProtection="1">
      <alignment horizontal="left" vertical="top"/>
    </xf>
    <xf numFmtId="0" fontId="35" fillId="7" borderId="0" xfId="0" applyFont="1" applyFill="1" applyAlignment="1" applyProtection="1">
      <alignment vertical="top"/>
    </xf>
    <xf numFmtId="0" fontId="36" fillId="7" borderId="0" xfId="0" applyFont="1" applyFill="1" applyAlignment="1" applyProtection="1">
      <alignment horizontal="left" vertical="top"/>
    </xf>
    <xf numFmtId="3" fontId="35" fillId="7" borderId="0" xfId="0" applyNumberFormat="1" applyFont="1" applyFill="1" applyAlignment="1" applyProtection="1">
      <alignment horizontal="right" vertical="top" indent="1"/>
    </xf>
    <xf numFmtId="0" fontId="33" fillId="7" borderId="0" xfId="0" applyFont="1" applyFill="1" applyAlignment="1" applyProtection="1">
      <alignment horizontal="left" vertical="center"/>
    </xf>
    <xf numFmtId="0" fontId="34" fillId="7" borderId="0" xfId="0" applyFont="1" applyFill="1" applyAlignment="1" applyProtection="1">
      <alignment horizontal="center" vertical="top"/>
    </xf>
    <xf numFmtId="0" fontId="34" fillId="7" borderId="0" xfId="0" applyFont="1" applyFill="1" applyAlignment="1" applyProtection="1">
      <alignment horizontal="center" vertical="top"/>
      <protection locked="0"/>
    </xf>
    <xf numFmtId="3" fontId="34" fillId="7" borderId="0" xfId="0" applyNumberFormat="1" applyFont="1" applyFill="1" applyAlignment="1" applyProtection="1">
      <alignment horizontal="right" vertical="top" indent="1"/>
    </xf>
    <xf numFmtId="0" fontId="34" fillId="0" borderId="0" xfId="0" applyFont="1" applyFill="1" applyAlignment="1" applyProtection="1">
      <alignment horizontal="center" vertical="top"/>
    </xf>
    <xf numFmtId="0" fontId="38" fillId="9" borderId="71" xfId="0" applyNumberFormat="1" applyFont="1" applyFill="1" applyBorder="1" applyAlignment="1" applyProtection="1">
      <alignment horizontal="center" vertical="center"/>
    </xf>
    <xf numFmtId="0" fontId="38" fillId="9" borderId="66" xfId="0" applyFont="1" applyFill="1" applyBorder="1" applyAlignment="1" applyProtection="1">
      <alignment horizontal="left" vertical="center"/>
    </xf>
    <xf numFmtId="0" fontId="38" fillId="9" borderId="64" xfId="0" applyFont="1" applyFill="1" applyBorder="1" applyAlignment="1" applyProtection="1">
      <alignment horizontal="center" vertical="center"/>
    </xf>
    <xf numFmtId="0" fontId="38" fillId="9" borderId="63" xfId="0" applyFont="1" applyFill="1" applyBorder="1" applyAlignment="1" applyProtection="1">
      <alignment horizontal="center" vertical="center"/>
    </xf>
    <xf numFmtId="0" fontId="35" fillId="7" borderId="0" xfId="0" applyFont="1" applyFill="1" applyAlignment="1" applyProtection="1">
      <alignment vertical="center"/>
    </xf>
    <xf numFmtId="0" fontId="38" fillId="9" borderId="53" xfId="0" applyFont="1" applyFill="1" applyBorder="1" applyAlignment="1" applyProtection="1">
      <alignment horizontal="center" vertical="center"/>
    </xf>
    <xf numFmtId="0" fontId="22" fillId="7" borderId="0" xfId="0" applyFont="1" applyFill="1" applyAlignment="1" applyProtection="1">
      <alignment vertical="center"/>
    </xf>
    <xf numFmtId="0" fontId="38" fillId="9" borderId="71" xfId="0" applyFont="1" applyFill="1" applyBorder="1" applyAlignment="1" applyProtection="1">
      <alignment horizontal="center" vertical="center"/>
    </xf>
    <xf numFmtId="3" fontId="38" fillId="9" borderId="64" xfId="0" applyNumberFormat="1" applyFont="1" applyFill="1" applyBorder="1" applyAlignment="1" applyProtection="1">
      <alignment horizontal="right" vertical="center" indent="1"/>
    </xf>
    <xf numFmtId="0" fontId="22" fillId="0" borderId="0" xfId="0" applyFont="1" applyFill="1" applyAlignment="1" applyProtection="1">
      <alignment vertical="center"/>
    </xf>
    <xf numFmtId="0" fontId="34" fillId="0" borderId="0" xfId="0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left" vertical="center"/>
    </xf>
    <xf numFmtId="1" fontId="22" fillId="7" borderId="41" xfId="0" applyNumberFormat="1" applyFont="1" applyFill="1" applyBorder="1" applyAlignment="1" applyProtection="1">
      <alignment horizontal="center" vertical="top"/>
    </xf>
    <xf numFmtId="0" fontId="38" fillId="0" borderId="30" xfId="0" applyNumberFormat="1" applyFont="1" applyFill="1" applyBorder="1" applyAlignment="1" applyProtection="1">
      <alignment vertical="top"/>
    </xf>
    <xf numFmtId="170" fontId="22" fillId="0" borderId="1" xfId="0" applyNumberFormat="1" applyFont="1" applyFill="1" applyBorder="1" applyAlignment="1" applyProtection="1">
      <alignment horizontal="right" vertical="top" indent="1"/>
    </xf>
    <xf numFmtId="170" fontId="22" fillId="0" borderId="2" xfId="0" applyNumberFormat="1" applyFont="1" applyFill="1" applyBorder="1" applyAlignment="1" applyProtection="1">
      <alignment horizontal="right" vertical="top" indent="1"/>
    </xf>
    <xf numFmtId="1" fontId="22" fillId="7" borderId="0" xfId="0" applyNumberFormat="1" applyFont="1" applyFill="1" applyAlignment="1" applyProtection="1">
      <alignment horizontal="right" vertical="center"/>
    </xf>
    <xf numFmtId="0" fontId="22" fillId="7" borderId="133" xfId="0" applyFont="1" applyFill="1" applyBorder="1" applyAlignment="1" applyProtection="1">
      <alignment vertical="top"/>
      <protection locked="0"/>
    </xf>
    <xf numFmtId="0" fontId="22" fillId="7" borderId="0" xfId="0" applyFont="1" applyFill="1" applyBorder="1" applyAlignment="1" applyProtection="1">
      <alignment vertical="top"/>
    </xf>
    <xf numFmtId="3" fontId="39" fillId="17" borderId="98" xfId="8" applyNumberFormat="1" applyFont="1" applyBorder="1" applyAlignment="1" applyProtection="1">
      <alignment horizontal="right" indent="1"/>
      <protection locked="0"/>
    </xf>
    <xf numFmtId="0" fontId="39" fillId="0" borderId="0" xfId="0" applyFont="1" applyBorder="1"/>
    <xf numFmtId="9" fontId="32" fillId="7" borderId="0" xfId="3" applyFont="1" applyFill="1" applyBorder="1" applyAlignment="1" applyProtection="1">
      <alignment horizontal="center" vertical="top"/>
    </xf>
    <xf numFmtId="9" fontId="33" fillId="7" borderId="41" xfId="3" applyFont="1" applyFill="1" applyBorder="1" applyAlignment="1" applyProtection="1">
      <alignment horizontal="center" vertical="top"/>
    </xf>
    <xf numFmtId="0" fontId="22" fillId="0" borderId="30" xfId="0" applyNumberFormat="1" applyFont="1" applyFill="1" applyBorder="1" applyAlignment="1" applyProtection="1">
      <alignment vertical="top"/>
    </xf>
    <xf numFmtId="170" fontId="22" fillId="10" borderId="1" xfId="0" applyNumberFormat="1" applyFont="1" applyFill="1" applyBorder="1" applyAlignment="1" applyProtection="1">
      <alignment horizontal="right"/>
      <protection locked="0"/>
    </xf>
    <xf numFmtId="170" fontId="22" fillId="0" borderId="2" xfId="0" applyNumberFormat="1" applyFont="1" applyFill="1" applyBorder="1" applyAlignment="1" applyProtection="1">
      <alignment horizontal="right" vertical="top"/>
    </xf>
    <xf numFmtId="0" fontId="4" fillId="7" borderId="38" xfId="0" applyFont="1" applyFill="1" applyBorder="1" applyAlignment="1" applyProtection="1">
      <alignment textRotation="90" wrapText="1"/>
    </xf>
    <xf numFmtId="0" fontId="4" fillId="7" borderId="0" xfId="0" applyFont="1" applyFill="1" applyBorder="1" applyAlignment="1" applyProtection="1">
      <alignment textRotation="90" wrapText="1"/>
    </xf>
    <xf numFmtId="3" fontId="39" fillId="17" borderId="11" xfId="8" applyNumberFormat="1" applyFont="1" applyBorder="1" applyAlignment="1" applyProtection="1">
      <alignment horizontal="right" indent="1"/>
      <protection locked="0"/>
    </xf>
    <xf numFmtId="170" fontId="22" fillId="0" borderId="136" xfId="0" applyNumberFormat="1" applyFont="1" applyFill="1" applyBorder="1" applyAlignment="1" applyProtection="1">
      <alignment horizontal="right" vertical="top"/>
    </xf>
    <xf numFmtId="175" fontId="39" fillId="17" borderId="46" xfId="8" applyNumberFormat="1" applyFont="1" applyBorder="1" applyAlignment="1" applyProtection="1">
      <alignment horizontal="right" indent="1"/>
      <protection locked="0"/>
    </xf>
    <xf numFmtId="1" fontId="33" fillId="7" borderId="141" xfId="0" applyNumberFormat="1" applyFont="1" applyFill="1" applyBorder="1" applyAlignment="1" applyProtection="1">
      <alignment horizontal="center" vertical="top"/>
    </xf>
    <xf numFmtId="0" fontId="22" fillId="0" borderId="142" xfId="0" applyNumberFormat="1" applyFont="1" applyFill="1" applyBorder="1" applyAlignment="1" applyProtection="1">
      <alignment vertical="top"/>
    </xf>
    <xf numFmtId="170" fontId="22" fillId="0" borderId="143" xfId="0" applyNumberFormat="1" applyFont="1" applyFill="1" applyBorder="1" applyAlignment="1" applyProtection="1">
      <alignment horizontal="right" vertical="top"/>
    </xf>
    <xf numFmtId="0" fontId="22" fillId="7" borderId="134" xfId="0" applyFont="1" applyFill="1" applyBorder="1" applyAlignment="1" applyProtection="1">
      <alignment vertical="top"/>
      <protection locked="0"/>
    </xf>
    <xf numFmtId="0" fontId="22" fillId="0" borderId="47" xfId="0" applyFont="1" applyFill="1" applyBorder="1" applyAlignment="1" applyProtection="1">
      <alignment vertical="top"/>
    </xf>
    <xf numFmtId="3" fontId="22" fillId="0" borderId="49" xfId="0" applyNumberFormat="1" applyFont="1" applyFill="1" applyBorder="1" applyAlignment="1" applyProtection="1">
      <alignment horizontal="right" vertical="top" indent="1"/>
    </xf>
    <xf numFmtId="3" fontId="22" fillId="0" borderId="48" xfId="0" applyNumberFormat="1" applyFont="1" applyFill="1" applyBorder="1" applyAlignment="1" applyProtection="1">
      <alignment horizontal="right" vertical="top" indent="1"/>
    </xf>
    <xf numFmtId="0" fontId="38" fillId="0" borderId="88" xfId="0" applyNumberFormat="1" applyFont="1" applyFill="1" applyBorder="1" applyAlignment="1" applyProtection="1">
      <alignment vertical="top"/>
    </xf>
    <xf numFmtId="170" fontId="22" fillId="0" borderId="40" xfId="0" applyNumberFormat="1" applyFont="1" applyFill="1" applyBorder="1" applyAlignment="1" applyProtection="1">
      <alignment horizontal="right" vertical="top"/>
    </xf>
    <xf numFmtId="170" fontId="22" fillId="0" borderId="122" xfId="0" applyNumberFormat="1" applyFont="1" applyFill="1" applyBorder="1" applyAlignment="1" applyProtection="1">
      <alignment horizontal="right" vertical="top"/>
    </xf>
    <xf numFmtId="0" fontId="22" fillId="7" borderId="0" xfId="0" applyFont="1" applyFill="1" applyBorder="1" applyAlignment="1" applyProtection="1">
      <alignment vertical="top"/>
      <protection locked="0"/>
    </xf>
    <xf numFmtId="0" fontId="38" fillId="0" borderId="0" xfId="0" applyFont="1" applyFill="1" applyBorder="1" applyAlignment="1" applyProtection="1">
      <alignment horizontal="center" vertical="center"/>
    </xf>
    <xf numFmtId="1" fontId="33" fillId="7" borderId="139" xfId="0" applyNumberFormat="1" applyFont="1" applyFill="1" applyBorder="1" applyAlignment="1" applyProtection="1">
      <alignment horizontal="center" vertical="top"/>
    </xf>
    <xf numFmtId="0" fontId="22" fillId="0" borderId="131" xfId="0" applyNumberFormat="1" applyFont="1" applyFill="1" applyBorder="1" applyAlignment="1" applyProtection="1">
      <alignment vertical="top"/>
    </xf>
    <xf numFmtId="0" fontId="22" fillId="7" borderId="135" xfId="0" applyFont="1" applyFill="1" applyBorder="1" applyAlignment="1" applyProtection="1">
      <alignment vertical="top"/>
      <protection locked="0"/>
    </xf>
    <xf numFmtId="3" fontId="22" fillId="7" borderId="0" xfId="0" applyNumberFormat="1" applyFont="1" applyFill="1" applyAlignment="1" applyProtection="1">
      <alignment vertical="center"/>
    </xf>
    <xf numFmtId="0" fontId="34" fillId="7" borderId="0" xfId="0" applyFont="1" applyFill="1" applyAlignment="1" applyProtection="1">
      <alignment vertical="center"/>
    </xf>
    <xf numFmtId="0" fontId="22" fillId="0" borderId="130" xfId="0" applyNumberFormat="1" applyFont="1" applyFill="1" applyBorder="1" applyAlignment="1" applyProtection="1">
      <alignment vertical="top"/>
    </xf>
    <xf numFmtId="170" fontId="22" fillId="0" borderId="85" xfId="0" applyNumberFormat="1" applyFont="1" applyFill="1" applyBorder="1" applyAlignment="1" applyProtection="1">
      <alignment horizontal="right" vertical="top"/>
    </xf>
    <xf numFmtId="170" fontId="22" fillId="0" borderId="84" xfId="0" applyNumberFormat="1" applyFont="1" applyFill="1" applyBorder="1" applyAlignment="1" applyProtection="1">
      <alignment horizontal="right" vertical="top"/>
    </xf>
    <xf numFmtId="170" fontId="22" fillId="0" borderId="86" xfId="0" applyNumberFormat="1" applyFont="1" applyFill="1" applyBorder="1" applyAlignment="1" applyProtection="1">
      <alignment horizontal="right" vertical="top"/>
    </xf>
    <xf numFmtId="1" fontId="33" fillId="7" borderId="55" xfId="0" applyNumberFormat="1" applyFont="1" applyFill="1" applyBorder="1" applyAlignment="1" applyProtection="1">
      <alignment vertical="center"/>
    </xf>
    <xf numFmtId="49" fontId="38" fillId="0" borderId="31" xfId="0" applyNumberFormat="1" applyFont="1" applyFill="1" applyBorder="1" applyAlignment="1" applyProtection="1">
      <alignment vertical="center"/>
    </xf>
    <xf numFmtId="170" fontId="22" fillId="0" borderId="3" xfId="0" applyNumberFormat="1" applyFont="1" applyFill="1" applyBorder="1" applyAlignment="1" applyProtection="1">
      <alignment horizontal="right" vertical="center"/>
    </xf>
    <xf numFmtId="170" fontId="22" fillId="0" borderId="51" xfId="0" applyNumberFormat="1" applyFont="1" applyFill="1" applyBorder="1" applyAlignment="1" applyProtection="1">
      <alignment horizontal="right" vertical="center"/>
    </xf>
    <xf numFmtId="38" fontId="22" fillId="7" borderId="0" xfId="0" applyNumberFormat="1" applyFont="1" applyFill="1" applyBorder="1" applyAlignment="1" applyProtection="1">
      <alignment horizontal="right" vertical="center"/>
    </xf>
    <xf numFmtId="49" fontId="38" fillId="0" borderId="73" xfId="0" applyNumberFormat="1" applyFont="1" applyFill="1" applyBorder="1" applyAlignment="1" applyProtection="1">
      <alignment vertical="top"/>
    </xf>
    <xf numFmtId="170" fontId="22" fillId="0" borderId="15" xfId="0" applyNumberFormat="1" applyFont="1" applyFill="1" applyBorder="1" applyAlignment="1" applyProtection="1">
      <alignment horizontal="right" vertical="top"/>
    </xf>
    <xf numFmtId="170" fontId="22" fillId="0" borderId="14" xfId="0" applyNumberFormat="1" applyFont="1" applyFill="1" applyBorder="1" applyAlignment="1" applyProtection="1">
      <alignment horizontal="right" vertical="top"/>
    </xf>
    <xf numFmtId="49" fontId="33" fillId="7" borderId="47" xfId="0" applyNumberFormat="1" applyFont="1" applyFill="1" applyBorder="1" applyAlignment="1" applyProtection="1">
      <alignment vertical="center"/>
    </xf>
    <xf numFmtId="0" fontId="38" fillId="0" borderId="74" xfId="0" applyNumberFormat="1" applyFont="1" applyFill="1" applyBorder="1" applyAlignment="1" applyProtection="1">
      <alignment vertical="center"/>
    </xf>
    <xf numFmtId="170" fontId="22" fillId="0" borderId="49" xfId="0" applyNumberFormat="1" applyFont="1" applyFill="1" applyBorder="1" applyAlignment="1" applyProtection="1">
      <alignment horizontal="right" vertical="center"/>
    </xf>
    <xf numFmtId="170" fontId="22" fillId="0" borderId="48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vertical="top"/>
      <protection locked="0"/>
    </xf>
    <xf numFmtId="0" fontId="33" fillId="7" borderId="0" xfId="0" applyFont="1" applyFill="1" applyAlignment="1" applyProtection="1">
      <alignment vertical="center"/>
    </xf>
    <xf numFmtId="0" fontId="28" fillId="7" borderId="0" xfId="0" applyNumberFormat="1" applyFont="1" applyFill="1" applyBorder="1" applyAlignment="1" applyProtection="1">
      <alignment vertical="center"/>
    </xf>
    <xf numFmtId="38" fontId="22" fillId="7" borderId="0" xfId="0" applyNumberFormat="1" applyFont="1" applyFill="1" applyBorder="1" applyAlignment="1" applyProtection="1">
      <alignment vertical="center"/>
    </xf>
    <xf numFmtId="38" fontId="22" fillId="7" borderId="0" xfId="0" applyNumberFormat="1" applyFont="1" applyFill="1" applyBorder="1" applyAlignment="1" applyProtection="1">
      <alignment horizontal="right" vertical="center"/>
      <protection locked="0"/>
    </xf>
    <xf numFmtId="3" fontId="22" fillId="7" borderId="0" xfId="0" applyNumberFormat="1" applyFont="1" applyFill="1" applyAlignment="1" applyProtection="1">
      <alignment horizontal="right" vertical="center" indent="1"/>
    </xf>
    <xf numFmtId="0" fontId="22" fillId="0" borderId="97" xfId="0" applyNumberFormat="1" applyFont="1" applyFill="1" applyBorder="1" applyAlignment="1" applyProtection="1">
      <alignment horizontal="left" vertical="center" indent="1"/>
    </xf>
    <xf numFmtId="172" fontId="22" fillId="0" borderId="98" xfId="0" applyNumberFormat="1" applyFont="1" applyFill="1" applyBorder="1" applyAlignment="1" applyProtection="1">
      <alignment vertical="center"/>
    </xf>
    <xf numFmtId="172" fontId="22" fillId="0" borderId="99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vertical="center"/>
      <protection locked="0"/>
    </xf>
    <xf numFmtId="0" fontId="22" fillId="0" borderId="44" xfId="0" applyNumberFormat="1" applyFont="1" applyFill="1" applyBorder="1" applyAlignment="1" applyProtection="1">
      <alignment horizontal="left" vertical="center" indent="1"/>
    </xf>
    <xf numFmtId="172" fontId="22" fillId="0" borderId="46" xfId="0" applyNumberFormat="1" applyFont="1" applyFill="1" applyBorder="1" applyAlignment="1" applyProtection="1">
      <alignment vertical="center"/>
    </xf>
    <xf numFmtId="172" fontId="22" fillId="0" borderId="45" xfId="0" applyNumberFormat="1" applyFont="1" applyFill="1" applyBorder="1" applyAlignment="1" applyProtection="1">
      <alignment horizontal="right" vertical="center"/>
    </xf>
    <xf numFmtId="0" fontId="22" fillId="0" borderId="47" xfId="0" applyNumberFormat="1" applyFont="1" applyFill="1" applyBorder="1" applyAlignment="1" applyProtection="1">
      <alignment horizontal="left" vertical="center" indent="1"/>
    </xf>
    <xf numFmtId="172" fontId="22" fillId="0" borderId="49" xfId="0" applyNumberFormat="1" applyFont="1" applyFill="1" applyBorder="1" applyAlignment="1" applyProtection="1">
      <alignment vertical="center"/>
    </xf>
    <xf numFmtId="172" fontId="22" fillId="0" borderId="48" xfId="0" applyNumberFormat="1" applyFont="1" applyFill="1" applyBorder="1" applyAlignment="1" applyProtection="1">
      <alignment horizontal="right" vertical="center"/>
    </xf>
    <xf numFmtId="0" fontId="41" fillId="7" borderId="0" xfId="0" applyFont="1" applyFill="1" applyAlignment="1" applyProtection="1">
      <alignment vertical="top"/>
    </xf>
    <xf numFmtId="0" fontId="38" fillId="7" borderId="0" xfId="0" applyFont="1" applyFill="1" applyAlignment="1" applyProtection="1">
      <alignment vertical="top"/>
    </xf>
    <xf numFmtId="0" fontId="38" fillId="7" borderId="0" xfId="0" applyFont="1" applyFill="1" applyAlignment="1" applyProtection="1">
      <alignment horizontal="center" vertical="top"/>
    </xf>
    <xf numFmtId="0" fontId="38" fillId="7" borderId="0" xfId="0" applyFont="1" applyFill="1" applyAlignment="1" applyProtection="1">
      <alignment vertical="center"/>
    </xf>
    <xf numFmtId="0" fontId="38" fillId="7" borderId="0" xfId="0" applyFont="1" applyFill="1" applyAlignment="1" applyProtection="1">
      <alignment vertical="top"/>
      <protection locked="0"/>
    </xf>
    <xf numFmtId="3" fontId="38" fillId="7" borderId="0" xfId="0" applyNumberFormat="1" applyFont="1" applyFill="1" applyAlignment="1" applyProtection="1">
      <alignment horizontal="right" vertical="top" indent="1"/>
    </xf>
    <xf numFmtId="0" fontId="38" fillId="0" borderId="0" xfId="0" applyFont="1" applyFill="1" applyAlignment="1" applyProtection="1">
      <alignment vertical="top"/>
    </xf>
    <xf numFmtId="0" fontId="38" fillId="7" borderId="0" xfId="0" applyFont="1" applyFill="1" applyBorder="1" applyAlignment="1" applyProtection="1">
      <alignment vertical="top"/>
      <protection locked="0"/>
    </xf>
    <xf numFmtId="0" fontId="38" fillId="7" borderId="0" xfId="0" applyFont="1" applyFill="1" applyBorder="1" applyAlignment="1" applyProtection="1">
      <alignment vertical="top"/>
    </xf>
    <xf numFmtId="3" fontId="38" fillId="7" borderId="0" xfId="0" applyNumberFormat="1" applyFont="1" applyFill="1" applyBorder="1" applyAlignment="1" applyProtection="1">
      <alignment horizontal="right" vertical="top" indent="1"/>
    </xf>
    <xf numFmtId="0" fontId="34" fillId="0" borderId="0" xfId="0" applyFont="1" applyFill="1" applyAlignment="1" applyProtection="1">
      <alignment vertical="top"/>
    </xf>
    <xf numFmtId="0" fontId="35" fillId="7" borderId="0" xfId="0" applyFont="1" applyFill="1" applyAlignment="1" applyProtection="1">
      <alignment horizontal="center" vertical="top"/>
    </xf>
    <xf numFmtId="0" fontId="38" fillId="9" borderId="64" xfId="0" applyNumberFormat="1" applyFont="1" applyFill="1" applyBorder="1" applyAlignment="1" applyProtection="1">
      <alignment horizontal="center" vertical="center"/>
    </xf>
    <xf numFmtId="0" fontId="22" fillId="7" borderId="38" xfId="0" applyFont="1" applyFill="1" applyBorder="1" applyAlignment="1" applyProtection="1">
      <alignment vertical="center"/>
    </xf>
    <xf numFmtId="3" fontId="22" fillId="0" borderId="1" xfId="0" applyNumberFormat="1" applyFont="1" applyFill="1" applyBorder="1" applyAlignment="1" applyProtection="1">
      <alignment horizontal="right" indent="1"/>
    </xf>
    <xf numFmtId="0" fontId="22" fillId="7" borderId="38" xfId="0" applyFont="1" applyFill="1" applyBorder="1" applyAlignment="1" applyProtection="1">
      <alignment vertical="top"/>
    </xf>
    <xf numFmtId="0" fontId="39" fillId="17" borderId="97" xfId="8" applyFont="1" applyBorder="1" applyAlignment="1" applyProtection="1">
      <alignment vertical="top"/>
      <protection locked="0"/>
    </xf>
    <xf numFmtId="4" fontId="39" fillId="17" borderId="98" xfId="8" applyNumberFormat="1" applyFont="1" applyBorder="1" applyAlignment="1" applyProtection="1">
      <alignment horizontal="right" indent="1"/>
      <protection locked="0"/>
    </xf>
    <xf numFmtId="4" fontId="39" fillId="17" borderId="99" xfId="8" applyNumberFormat="1" applyFont="1" applyBorder="1" applyAlignment="1" applyProtection="1">
      <alignment horizontal="right" indent="1"/>
      <protection locked="0"/>
    </xf>
    <xf numFmtId="4" fontId="22" fillId="7" borderId="0" xfId="0" applyNumberFormat="1" applyFont="1" applyFill="1" applyAlignment="1" applyProtection="1">
      <alignment horizontal="right" vertical="top" indent="1"/>
    </xf>
    <xf numFmtId="0" fontId="39" fillId="17" borderId="106" xfId="8" applyFont="1" applyBorder="1" applyAlignment="1" applyProtection="1">
      <alignment vertical="top"/>
      <protection locked="0"/>
    </xf>
    <xf numFmtId="4" fontId="39" fillId="17" borderId="11" xfId="8" applyNumberFormat="1" applyFont="1" applyBorder="1" applyAlignment="1" applyProtection="1">
      <alignment horizontal="right" indent="1"/>
      <protection locked="0"/>
    </xf>
    <xf numFmtId="4" fontId="39" fillId="17" borderId="65" xfId="8" applyNumberFormat="1" applyFont="1" applyBorder="1" applyAlignment="1" applyProtection="1">
      <alignment horizontal="right" indent="1"/>
      <protection locked="0"/>
    </xf>
    <xf numFmtId="0" fontId="35" fillId="7" borderId="0" xfId="0" applyFont="1" applyFill="1" applyBorder="1" applyAlignment="1" applyProtection="1">
      <alignment vertical="top"/>
    </xf>
    <xf numFmtId="4" fontId="22" fillId="7" borderId="0" xfId="0" applyNumberFormat="1" applyFont="1" applyFill="1" applyAlignment="1" applyProtection="1">
      <alignment horizontal="right" vertical="top" indent="1"/>
      <protection locked="0"/>
    </xf>
    <xf numFmtId="0" fontId="34" fillId="7" borderId="0" xfId="0" applyFont="1" applyFill="1" applyBorder="1" applyAlignment="1" applyProtection="1">
      <alignment vertical="top"/>
    </xf>
    <xf numFmtId="0" fontId="22" fillId="7" borderId="0" xfId="0" applyFont="1" applyFill="1" applyBorder="1" applyAlignment="1" applyProtection="1">
      <alignment vertical="center"/>
    </xf>
    <xf numFmtId="4" fontId="39" fillId="17" borderId="40" xfId="8" applyNumberFormat="1" applyFont="1" applyBorder="1" applyAlignment="1" applyProtection="1">
      <alignment horizontal="right" indent="1"/>
      <protection locked="0"/>
    </xf>
    <xf numFmtId="4" fontId="39" fillId="17" borderId="122" xfId="8" applyNumberFormat="1" applyFont="1" applyBorder="1" applyAlignment="1" applyProtection="1">
      <alignment horizontal="right" indent="1"/>
      <protection locked="0"/>
    </xf>
    <xf numFmtId="0" fontId="22" fillId="0" borderId="138" xfId="0" applyNumberFormat="1" applyFont="1" applyFill="1" applyBorder="1" applyAlignment="1" applyProtection="1">
      <alignment vertical="top"/>
    </xf>
    <xf numFmtId="4" fontId="22" fillId="0" borderId="49" xfId="0" applyNumberFormat="1" applyFont="1" applyFill="1" applyBorder="1" applyAlignment="1" applyProtection="1">
      <alignment horizontal="right" vertical="top" indent="1"/>
    </xf>
    <xf numFmtId="4" fontId="22" fillId="0" borderId="48" xfId="0" applyNumberFormat="1" applyFont="1" applyFill="1" applyBorder="1" applyAlignment="1" applyProtection="1">
      <alignment horizontal="right" vertical="top" indent="1"/>
    </xf>
    <xf numFmtId="4" fontId="22" fillId="0" borderId="82" xfId="0" applyNumberFormat="1" applyFont="1" applyFill="1" applyBorder="1" applyAlignment="1" applyProtection="1">
      <alignment horizontal="right" vertical="top" indent="1"/>
    </xf>
    <xf numFmtId="1" fontId="33" fillId="7" borderId="144" xfId="0" applyNumberFormat="1" applyFont="1" applyFill="1" applyBorder="1" applyAlignment="1" applyProtection="1">
      <alignment horizontal="center" vertical="top"/>
    </xf>
    <xf numFmtId="170" fontId="22" fillId="0" borderId="142" xfId="0" applyNumberFormat="1" applyFont="1" applyFill="1" applyBorder="1" applyAlignment="1" applyProtection="1">
      <alignment horizontal="right"/>
    </xf>
    <xf numFmtId="4" fontId="22" fillId="7" borderId="0" xfId="0" applyNumberFormat="1" applyFont="1" applyFill="1" applyBorder="1" applyAlignment="1" applyProtection="1">
      <alignment horizontal="right" vertical="top" indent="1"/>
    </xf>
    <xf numFmtId="4" fontId="38" fillId="9" borderId="64" xfId="0" applyNumberFormat="1" applyFont="1" applyFill="1" applyBorder="1" applyAlignment="1" applyProtection="1">
      <alignment horizontal="right" vertical="center" indent="1"/>
    </xf>
    <xf numFmtId="167" fontId="22" fillId="7" borderId="38" xfId="0" applyNumberFormat="1" applyFont="1" applyFill="1" applyBorder="1" applyAlignment="1" applyProtection="1">
      <alignment vertical="top"/>
    </xf>
    <xf numFmtId="4" fontId="22" fillId="0" borderId="53" xfId="0" applyNumberFormat="1" applyFont="1" applyFill="1" applyBorder="1" applyAlignment="1" applyProtection="1">
      <alignment horizontal="right" vertical="top" indent="1"/>
    </xf>
    <xf numFmtId="170" fontId="22" fillId="0" borderId="1" xfId="0" applyNumberFormat="1" applyFont="1" applyFill="1" applyBorder="1" applyAlignment="1" applyProtection="1">
      <alignment horizontal="right"/>
    </xf>
    <xf numFmtId="0" fontId="22" fillId="0" borderId="0" xfId="0" applyFont="1" applyFill="1" applyAlignment="1" applyProtection="1">
      <alignment vertical="top"/>
      <protection locked="0"/>
    </xf>
    <xf numFmtId="0" fontId="22" fillId="7" borderId="38" xfId="0" applyFont="1" applyFill="1" applyBorder="1" applyAlignment="1" applyProtection="1">
      <alignment horizontal="center" vertical="center"/>
    </xf>
    <xf numFmtId="0" fontId="22" fillId="7" borderId="0" xfId="0" applyFont="1" applyFill="1" applyAlignment="1" applyProtection="1">
      <alignment horizontal="center" vertical="center"/>
    </xf>
    <xf numFmtId="0" fontId="22" fillId="7" borderId="0" xfId="0" applyFont="1" applyFill="1" applyAlignment="1" applyProtection="1">
      <alignment horizontal="center" vertical="center"/>
      <protection locked="0"/>
    </xf>
    <xf numFmtId="0" fontId="22" fillId="0" borderId="0" xfId="0" applyFont="1" applyFill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 vertical="center"/>
    </xf>
    <xf numFmtId="0" fontId="33" fillId="7" borderId="0" xfId="0" applyFont="1" applyFill="1" applyAlignment="1" applyProtection="1">
      <alignment horizontal="center" vertical="center"/>
    </xf>
    <xf numFmtId="0" fontId="28" fillId="7" borderId="0" xfId="0" applyFont="1" applyFill="1" applyAlignment="1" applyProtection="1">
      <alignment horizontal="left" vertical="top"/>
    </xf>
    <xf numFmtId="4" fontId="22" fillId="7" borderId="0" xfId="0" applyNumberFormat="1" applyFont="1" applyFill="1" applyAlignment="1" applyProtection="1">
      <alignment horizontal="right" vertical="center" indent="1"/>
    </xf>
    <xf numFmtId="170" fontId="22" fillId="0" borderId="97" xfId="0" applyNumberFormat="1" applyFont="1" applyFill="1" applyBorder="1" applyAlignment="1" applyProtection="1">
      <alignment horizontal="left" vertical="center" indent="1"/>
    </xf>
    <xf numFmtId="170" fontId="22" fillId="0" borderId="44" xfId="0" applyNumberFormat="1" applyFont="1" applyFill="1" applyBorder="1" applyAlignment="1" applyProtection="1">
      <alignment horizontal="left" vertical="center" indent="1"/>
    </xf>
    <xf numFmtId="170" fontId="22" fillId="0" borderId="47" xfId="0" applyNumberFormat="1" applyFont="1" applyFill="1" applyBorder="1" applyAlignment="1" applyProtection="1">
      <alignment horizontal="left" vertical="center" indent="1"/>
    </xf>
    <xf numFmtId="0" fontId="22" fillId="7" borderId="0" xfId="0" applyFont="1" applyFill="1" applyAlignment="1" applyProtection="1">
      <alignment horizontal="right" vertical="top"/>
    </xf>
    <xf numFmtId="3" fontId="22" fillId="7" borderId="0" xfId="0" applyNumberFormat="1" applyFont="1" applyFill="1" applyAlignment="1" applyProtection="1">
      <alignment vertical="top"/>
    </xf>
    <xf numFmtId="38" fontId="22" fillId="7" borderId="0" xfId="0" applyNumberFormat="1" applyFont="1" applyFill="1" applyAlignment="1" applyProtection="1">
      <alignment vertical="top"/>
    </xf>
    <xf numFmtId="0" fontId="22" fillId="7" borderId="0" xfId="0" applyFont="1" applyFill="1" applyBorder="1" applyAlignment="1" applyProtection="1">
      <alignment horizontal="center" vertical="center"/>
    </xf>
    <xf numFmtId="1" fontId="38" fillId="7" borderId="41" xfId="0" applyNumberFormat="1" applyFont="1" applyFill="1" applyBorder="1" applyAlignment="1" applyProtection="1">
      <alignment horizontal="center" vertical="top"/>
    </xf>
    <xf numFmtId="2" fontId="22" fillId="7" borderId="0" xfId="0" applyNumberFormat="1" applyFont="1" applyFill="1" applyBorder="1" applyAlignment="1" applyProtection="1"/>
    <xf numFmtId="170" fontId="22" fillId="7" borderId="0" xfId="0" applyNumberFormat="1" applyFont="1" applyFill="1" applyBorder="1" applyAlignment="1" applyProtection="1">
      <alignment horizontal="right" vertical="top" indent="1"/>
    </xf>
    <xf numFmtId="1" fontId="38" fillId="7" borderId="96" xfId="0" applyNumberFormat="1" applyFont="1" applyFill="1" applyBorder="1" applyAlignment="1" applyProtection="1">
      <alignment horizontal="center" vertical="top"/>
    </xf>
    <xf numFmtId="0" fontId="33" fillId="7" borderId="80" xfId="0" applyFont="1" applyFill="1" applyBorder="1" applyAlignment="1" applyProtection="1">
      <alignment vertical="top"/>
    </xf>
    <xf numFmtId="0" fontId="33" fillId="7" borderId="0" xfId="0" applyFont="1" applyFill="1" applyBorder="1" applyAlignment="1" applyProtection="1">
      <alignment vertical="top"/>
    </xf>
    <xf numFmtId="0" fontId="36" fillId="7" borderId="0" xfId="0" applyFont="1" applyFill="1" applyBorder="1" applyAlignment="1" applyProtection="1">
      <alignment horizontal="left" vertical="top"/>
    </xf>
    <xf numFmtId="0" fontId="33" fillId="7" borderId="13" xfId="0" applyFont="1" applyFill="1" applyBorder="1" applyAlignment="1" applyProtection="1">
      <alignment horizontal="left" vertical="center"/>
    </xf>
    <xf numFmtId="0" fontId="38" fillId="0" borderId="40" xfId="0" applyNumberFormat="1" applyFont="1" applyFill="1" applyBorder="1" applyAlignment="1" applyProtection="1">
      <alignment vertical="top"/>
    </xf>
    <xf numFmtId="3" fontId="22" fillId="7" borderId="38" xfId="0" applyNumberFormat="1" applyFont="1" applyFill="1" applyBorder="1" applyAlignment="1" applyProtection="1">
      <alignment vertical="center"/>
    </xf>
    <xf numFmtId="38" fontId="22" fillId="7" borderId="0" xfId="0" applyNumberFormat="1" applyFont="1" applyFill="1" applyAlignment="1" applyProtection="1">
      <alignment vertical="center"/>
    </xf>
    <xf numFmtId="0" fontId="37" fillId="7" borderId="0" xfId="0" applyFont="1" applyFill="1" applyAlignment="1" applyProtection="1">
      <alignment vertical="top"/>
    </xf>
    <xf numFmtId="0" fontId="34" fillId="0" borderId="0" xfId="0" applyFont="1" applyFill="1" applyBorder="1" applyAlignment="1" applyProtection="1">
      <alignment vertical="top"/>
    </xf>
    <xf numFmtId="0" fontId="37" fillId="7" borderId="0" xfId="0" applyFont="1" applyFill="1" applyBorder="1" applyAlignment="1" applyProtection="1">
      <alignment vertical="top"/>
    </xf>
    <xf numFmtId="0" fontId="34" fillId="7" borderId="0" xfId="0" applyFont="1" applyFill="1" applyBorder="1" applyAlignment="1" applyProtection="1">
      <alignment vertical="center"/>
    </xf>
    <xf numFmtId="0" fontId="42" fillId="7" borderId="0" xfId="0" applyNumberFormat="1" applyFont="1" applyFill="1" applyBorder="1" applyAlignment="1" applyProtection="1">
      <alignment horizontal="center" vertical="center"/>
    </xf>
    <xf numFmtId="0" fontId="34" fillId="7" borderId="0" xfId="0" applyFont="1" applyFill="1" applyBorder="1" applyAlignment="1" applyProtection="1">
      <alignment horizontal="center" vertical="top"/>
    </xf>
    <xf numFmtId="3" fontId="34" fillId="7" borderId="0" xfId="0" applyNumberFormat="1" applyFont="1" applyFill="1" applyBorder="1" applyAlignment="1" applyProtection="1">
      <alignment horizontal="right" vertical="top" indent="1"/>
    </xf>
    <xf numFmtId="0" fontId="34" fillId="0" borderId="0" xfId="0" applyFont="1" applyFill="1" applyBorder="1" applyAlignment="1" applyProtection="1">
      <alignment vertical="center"/>
    </xf>
    <xf numFmtId="0" fontId="34" fillId="7" borderId="0" xfId="0" applyFont="1" applyFill="1" applyBorder="1" applyAlignment="1" applyProtection="1">
      <alignment horizontal="right" vertical="top"/>
    </xf>
    <xf numFmtId="0" fontId="22" fillId="0" borderId="0" xfId="0" applyFont="1" applyFill="1" applyAlignment="1" applyProtection="1">
      <alignment horizontal="center" vertical="top"/>
    </xf>
    <xf numFmtId="3" fontId="22" fillId="0" borderId="0" xfId="0" applyNumberFormat="1" applyFont="1" applyFill="1" applyAlignment="1" applyProtection="1">
      <alignment horizontal="right" vertical="top" indent="1"/>
    </xf>
    <xf numFmtId="0" fontId="43" fillId="7" borderId="0" xfId="0" applyFont="1" applyFill="1" applyAlignment="1" applyProtection="1">
      <alignment horizontal="center" vertical="top"/>
    </xf>
    <xf numFmtId="0" fontId="43" fillId="7" borderId="0" xfId="0" applyFont="1" applyFill="1" applyAlignment="1" applyProtection="1">
      <alignment vertical="top"/>
    </xf>
    <xf numFmtId="170" fontId="22" fillId="0" borderId="129" xfId="0" applyNumberFormat="1" applyFont="1" applyFill="1" applyBorder="1" applyAlignment="1" applyProtection="1">
      <alignment horizontal="right" vertical="top"/>
    </xf>
    <xf numFmtId="170" fontId="22" fillId="0" borderId="1" xfId="0" applyNumberFormat="1" applyFont="1" applyFill="1" applyBorder="1" applyAlignment="1" applyProtection="1">
      <alignment horizontal="right" vertical="top"/>
    </xf>
    <xf numFmtId="0" fontId="22" fillId="7" borderId="0" xfId="0" applyFont="1" applyFill="1" applyAlignment="1" applyProtection="1">
      <alignment horizontal="left" vertical="center"/>
    </xf>
    <xf numFmtId="3" fontId="38" fillId="9" borderId="63" xfId="0" applyNumberFormat="1" applyFont="1" applyFill="1" applyBorder="1" applyAlignment="1" applyProtection="1">
      <alignment horizontal="right" vertical="center" indent="1"/>
    </xf>
    <xf numFmtId="1" fontId="38" fillId="9" borderId="64" xfId="0" applyNumberFormat="1" applyFont="1" applyFill="1" applyBorder="1" applyAlignment="1" applyProtection="1">
      <alignment horizontal="center" vertical="center"/>
    </xf>
    <xf numFmtId="1" fontId="38" fillId="9" borderId="63" xfId="0" applyNumberFormat="1" applyFont="1" applyFill="1" applyBorder="1" applyAlignment="1" applyProtection="1">
      <alignment horizontal="center" vertical="center"/>
    </xf>
    <xf numFmtId="0" fontId="34" fillId="7" borderId="0" xfId="0" applyFont="1" applyFill="1" applyAlignment="1" applyProtection="1">
      <alignment horizontal="center" vertical="center"/>
    </xf>
    <xf numFmtId="49" fontId="22" fillId="7" borderId="47" xfId="0" applyNumberFormat="1" applyFont="1" applyFill="1" applyBorder="1" applyAlignment="1" applyProtection="1">
      <alignment horizontal="center" vertical="center"/>
    </xf>
    <xf numFmtId="0" fontId="38" fillId="9" borderId="66" xfId="0" applyFont="1" applyFill="1" applyBorder="1" applyAlignment="1" applyProtection="1">
      <alignment horizontal="center" vertical="center"/>
    </xf>
    <xf numFmtId="0" fontId="25" fillId="7" borderId="0" xfId="0" applyFont="1" applyFill="1" applyProtection="1"/>
    <xf numFmtId="0" fontId="22" fillId="7" borderId="0" xfId="0" applyFont="1" applyFill="1" applyProtection="1"/>
    <xf numFmtId="0" fontId="34" fillId="7" borderId="0" xfId="0" applyFont="1" applyFill="1" applyProtection="1"/>
    <xf numFmtId="0" fontId="22" fillId="7" borderId="0" xfId="0" applyFont="1" applyFill="1" applyAlignment="1" applyProtection="1">
      <alignment horizontal="center"/>
    </xf>
    <xf numFmtId="0" fontId="22" fillId="0" borderId="0" xfId="0" applyFont="1" applyFill="1" applyProtection="1"/>
    <xf numFmtId="0" fontId="22" fillId="0" borderId="0" xfId="0" applyFont="1" applyFill="1" applyBorder="1" applyProtection="1"/>
    <xf numFmtId="0" fontId="34" fillId="7" borderId="0" xfId="0" applyFont="1" applyFill="1" applyProtection="1">
      <protection locked="0"/>
    </xf>
    <xf numFmtId="0" fontId="35" fillId="7" borderId="0" xfId="0" applyFont="1" applyFill="1" applyProtection="1"/>
    <xf numFmtId="0" fontId="38" fillId="9" borderId="59" xfId="0" applyFont="1" applyFill="1" applyBorder="1" applyAlignment="1" applyProtection="1">
      <alignment horizontal="center"/>
    </xf>
    <xf numFmtId="0" fontId="38" fillId="9" borderId="64" xfId="0" applyFont="1" applyFill="1" applyBorder="1" applyAlignment="1" applyProtection="1">
      <alignment horizontal="center"/>
    </xf>
    <xf numFmtId="0" fontId="38" fillId="9" borderId="63" xfId="0" applyFont="1" applyFill="1" applyBorder="1" applyAlignment="1" applyProtection="1">
      <alignment horizontal="center"/>
    </xf>
    <xf numFmtId="0" fontId="22" fillId="7" borderId="0" xfId="0" applyFont="1" applyFill="1" applyBorder="1" applyProtection="1"/>
    <xf numFmtId="0" fontId="22" fillId="0" borderId="59" xfId="0" applyFont="1" applyFill="1" applyBorder="1" applyAlignment="1" applyProtection="1"/>
    <xf numFmtId="38" fontId="22" fillId="0" borderId="1" xfId="0" applyNumberFormat="1" applyFont="1" applyFill="1" applyBorder="1" applyProtection="1"/>
    <xf numFmtId="0" fontId="22" fillId="7" borderId="0" xfId="0" applyFont="1" applyFill="1" applyProtection="1">
      <protection locked="0"/>
    </xf>
    <xf numFmtId="0" fontId="22" fillId="0" borderId="0" xfId="0" applyFont="1" applyFill="1" applyBorder="1" applyAlignment="1" applyProtection="1"/>
    <xf numFmtId="0" fontId="22" fillId="0" borderId="41" xfId="0" applyFont="1" applyFill="1" applyBorder="1" applyAlignment="1" applyProtection="1"/>
    <xf numFmtId="0" fontId="22" fillId="0" borderId="41" xfId="0" applyFont="1" applyFill="1" applyBorder="1" applyProtection="1"/>
    <xf numFmtId="0" fontId="44" fillId="0" borderId="41" xfId="0" applyFont="1" applyFill="1" applyBorder="1" applyAlignment="1" applyProtection="1">
      <alignment horizontal="left"/>
    </xf>
    <xf numFmtId="49" fontId="22" fillId="0" borderId="47" xfId="0" applyNumberFormat="1" applyFont="1" applyFill="1" applyBorder="1" applyProtection="1"/>
    <xf numFmtId="49" fontId="22" fillId="0" borderId="0" xfId="0" applyNumberFormat="1" applyFont="1" applyFill="1" applyBorder="1" applyProtection="1"/>
    <xf numFmtId="49" fontId="22" fillId="0" borderId="110" xfId="0" applyNumberFormat="1" applyFont="1" applyFill="1" applyBorder="1" applyProtection="1"/>
    <xf numFmtId="3" fontId="34" fillId="7" borderId="0" xfId="0" applyNumberFormat="1" applyFont="1" applyFill="1" applyProtection="1">
      <protection hidden="1"/>
    </xf>
    <xf numFmtId="3" fontId="34" fillId="7" borderId="0" xfId="0" applyNumberFormat="1" applyFont="1" applyFill="1" applyBorder="1" applyAlignment="1" applyProtection="1">
      <alignment horizontal="right"/>
      <protection hidden="1"/>
    </xf>
    <xf numFmtId="3" fontId="34" fillId="7" borderId="0" xfId="0" applyNumberFormat="1" applyFont="1" applyFill="1" applyAlignment="1" applyProtection="1">
      <alignment horizontal="center"/>
      <protection hidden="1"/>
    </xf>
    <xf numFmtId="3" fontId="34" fillId="7" borderId="0" xfId="0" applyNumberFormat="1" applyFont="1" applyFill="1" applyProtection="1">
      <protection locked="0"/>
    </xf>
    <xf numFmtId="3" fontId="34" fillId="0" borderId="0" xfId="0" applyNumberFormat="1" applyFont="1" applyFill="1" applyProtection="1">
      <protection hidden="1"/>
    </xf>
    <xf numFmtId="14" fontId="22" fillId="7" borderId="0" xfId="0" applyNumberFormat="1" applyFont="1" applyFill="1" applyProtection="1"/>
    <xf numFmtId="0" fontId="45" fillId="7" borderId="0" xfId="1" applyFont="1" applyFill="1" applyAlignment="1" applyProtection="1"/>
    <xf numFmtId="166" fontId="22" fillId="7" borderId="0" xfId="0" applyNumberFormat="1" applyFont="1" applyFill="1" applyProtection="1"/>
    <xf numFmtId="0" fontId="22" fillId="7" borderId="0" xfId="0" applyNumberFormat="1" applyFont="1" applyFill="1" applyAlignment="1" applyProtection="1">
      <alignment horizontal="center"/>
    </xf>
    <xf numFmtId="0" fontId="36" fillId="7" borderId="0" xfId="0" applyFont="1" applyFill="1" applyAlignment="1" applyProtection="1">
      <alignment horizontal="center" vertical="center"/>
    </xf>
    <xf numFmtId="0" fontId="22" fillId="7" borderId="0" xfId="0" applyFont="1" applyFill="1" applyAlignment="1" applyProtection="1"/>
    <xf numFmtId="1" fontId="22" fillId="7" borderId="0" xfId="0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 indent="1"/>
    </xf>
    <xf numFmtId="1" fontId="22" fillId="7" borderId="0" xfId="3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right" indent="1"/>
      <protection locked="0"/>
    </xf>
    <xf numFmtId="0" fontId="43" fillId="7" borderId="0" xfId="0" applyFont="1" applyFill="1" applyProtection="1"/>
    <xf numFmtId="0" fontId="22" fillId="7" borderId="0" xfId="0" applyFont="1" applyFill="1" applyProtection="1">
      <protection hidden="1"/>
    </xf>
    <xf numFmtId="0" fontId="22" fillId="7" borderId="0" xfId="0" applyFont="1" applyFill="1" applyBorder="1" applyAlignment="1" applyProtection="1">
      <alignment horizontal="right"/>
      <protection hidden="1"/>
    </xf>
    <xf numFmtId="0" fontId="22" fillId="7" borderId="0" xfId="0" applyFont="1" applyFill="1" applyBorder="1" applyProtection="1">
      <protection hidden="1"/>
    </xf>
    <xf numFmtId="0" fontId="35" fillId="0" borderId="0" xfId="0" applyFont="1" applyFill="1" applyProtection="1"/>
    <xf numFmtId="0" fontId="35" fillId="7" borderId="0" xfId="0" applyFont="1" applyFill="1" applyAlignment="1" applyProtection="1">
      <alignment horizontal="center"/>
    </xf>
    <xf numFmtId="0" fontId="35" fillId="7" borderId="0" xfId="0" applyFont="1" applyFill="1" applyProtection="1">
      <protection locked="0"/>
    </xf>
    <xf numFmtId="0" fontId="38" fillId="9" borderId="61" xfId="0" applyNumberFormat="1" applyFont="1" applyFill="1" applyBorder="1" applyAlignment="1" applyProtection="1">
      <alignment horizontal="center"/>
    </xf>
    <xf numFmtId="0" fontId="38" fillId="9" borderId="123" xfId="0" applyNumberFormat="1" applyFont="1" applyFill="1" applyBorder="1" applyAlignment="1" applyProtection="1">
      <alignment horizontal="center"/>
    </xf>
    <xf numFmtId="0" fontId="22" fillId="7" borderId="38" xfId="0" applyFont="1" applyFill="1" applyBorder="1" applyProtection="1"/>
    <xf numFmtId="0" fontId="39" fillId="16" borderId="11" xfId="7" applyFont="1" applyBorder="1" applyProtection="1">
      <protection locked="0"/>
    </xf>
    <xf numFmtId="0" fontId="38" fillId="9" borderId="71" xfId="0" applyFont="1" applyFill="1" applyBorder="1" applyAlignment="1" applyProtection="1">
      <alignment horizontal="center"/>
    </xf>
    <xf numFmtId="0" fontId="38" fillId="9" borderId="64" xfId="0" applyNumberFormat="1" applyFont="1" applyFill="1" applyBorder="1" applyAlignment="1" applyProtection="1">
      <alignment horizontal="center"/>
    </xf>
    <xf numFmtId="0" fontId="22" fillId="9" borderId="63" xfId="0" applyNumberFormat="1" applyFont="1" applyFill="1" applyBorder="1" applyAlignment="1" applyProtection="1">
      <alignment horizontal="center"/>
    </xf>
    <xf numFmtId="0" fontId="22" fillId="0" borderId="69" xfId="0" applyFont="1" applyFill="1" applyBorder="1" applyAlignment="1" applyProtection="1"/>
    <xf numFmtId="49" fontId="22" fillId="0" borderId="41" xfId="0" applyNumberFormat="1" applyFont="1" applyFill="1" applyBorder="1" applyProtection="1"/>
    <xf numFmtId="38" fontId="22" fillId="7" borderId="38" xfId="0" applyNumberFormat="1" applyFont="1" applyFill="1" applyBorder="1" applyAlignment="1" applyProtection="1"/>
    <xf numFmtId="0" fontId="22" fillId="0" borderId="0" xfId="0" applyFont="1" applyFill="1" applyAlignment="1" applyProtection="1"/>
    <xf numFmtId="0" fontId="22" fillId="7" borderId="0" xfId="0" applyFont="1" applyFill="1" applyAlignment="1" applyProtection="1">
      <protection locked="0"/>
    </xf>
    <xf numFmtId="38" fontId="22" fillId="7" borderId="38" xfId="0" applyNumberFormat="1" applyFont="1" applyFill="1" applyBorder="1" applyAlignment="1" applyProtection="1">
      <alignment vertical="center"/>
    </xf>
    <xf numFmtId="0" fontId="22" fillId="0" borderId="68" xfId="0" applyFont="1" applyFill="1" applyBorder="1" applyAlignment="1" applyProtection="1">
      <alignment vertical="center"/>
    </xf>
    <xf numFmtId="0" fontId="34" fillId="7" borderId="0" xfId="0" applyFont="1" applyFill="1" applyAlignment="1" applyProtection="1">
      <alignment vertical="center"/>
      <protection locked="0"/>
    </xf>
    <xf numFmtId="0" fontId="22" fillId="0" borderId="68" xfId="0" applyFont="1" applyFill="1" applyBorder="1" applyAlignment="1" applyProtection="1"/>
    <xf numFmtId="0" fontId="22" fillId="7" borderId="0" xfId="0" applyFont="1" applyFill="1" applyBorder="1" applyAlignment="1" applyProtection="1"/>
    <xf numFmtId="0" fontId="45" fillId="7" borderId="0" xfId="1" applyFont="1" applyFill="1" applyBorder="1" applyAlignment="1" applyProtection="1">
      <alignment vertical="center"/>
      <protection locked="0"/>
    </xf>
    <xf numFmtId="0" fontId="45" fillId="7" borderId="0" xfId="1" applyFont="1" applyFill="1" applyBorder="1" applyAlignment="1" applyProtection="1">
      <alignment vertical="center"/>
    </xf>
    <xf numFmtId="38" fontId="22" fillId="7" borderId="0" xfId="0" applyNumberFormat="1" applyFont="1" applyFill="1" applyProtection="1"/>
    <xf numFmtId="0" fontId="22" fillId="7" borderId="0" xfId="0" applyFont="1" applyFill="1"/>
    <xf numFmtId="0" fontId="22" fillId="0" borderId="0" xfId="0" applyFont="1" applyFill="1" applyBorder="1"/>
    <xf numFmtId="0" fontId="22" fillId="7" borderId="0" xfId="0" applyFont="1" applyFill="1" applyAlignment="1">
      <alignment horizontal="left"/>
    </xf>
    <xf numFmtId="0" fontId="45" fillId="7" borderId="0" xfId="1" applyFont="1" applyFill="1" applyAlignment="1" applyProtection="1">
      <alignment horizontal="left"/>
    </xf>
    <xf numFmtId="0" fontId="22" fillId="0" borderId="0" xfId="0" applyFont="1" applyFill="1" applyAlignment="1" applyProtection="1">
      <alignment horizontal="center"/>
    </xf>
    <xf numFmtId="0" fontId="37" fillId="7" borderId="0" xfId="0" applyFont="1" applyFill="1" applyProtection="1"/>
    <xf numFmtId="0" fontId="37" fillId="7" borderId="0" xfId="0" applyFont="1" applyFill="1" applyAlignment="1" applyProtection="1">
      <alignment horizontal="left"/>
    </xf>
    <xf numFmtId="0" fontId="37" fillId="0" borderId="0" xfId="0" applyFont="1" applyFill="1" applyProtection="1"/>
    <xf numFmtId="0" fontId="34" fillId="0" borderId="0" xfId="0" applyFont="1" applyFill="1" applyBorder="1" applyAlignment="1" applyProtection="1"/>
    <xf numFmtId="0" fontId="34" fillId="0" borderId="0" xfId="0" applyFont="1" applyFill="1" applyAlignment="1" applyProtection="1"/>
    <xf numFmtId="0" fontId="28" fillId="7" borderId="0" xfId="0" applyFont="1" applyFill="1" applyProtection="1"/>
    <xf numFmtId="0" fontId="7" fillId="7" borderId="0" xfId="0" applyFont="1" applyFill="1" applyProtection="1"/>
    <xf numFmtId="0" fontId="47" fillId="7" borderId="0" xfId="0" applyFont="1" applyFill="1" applyProtection="1"/>
    <xf numFmtId="0" fontId="32" fillId="7" borderId="0" xfId="0" applyFont="1" applyFill="1"/>
    <xf numFmtId="0" fontId="32" fillId="7" borderId="0" xfId="0" applyFont="1" applyFill="1" applyProtection="1"/>
    <xf numFmtId="0" fontId="28" fillId="0" borderId="0" xfId="0" applyFont="1" applyFill="1" applyProtection="1"/>
    <xf numFmtId="0" fontId="47" fillId="0" borderId="0" xfId="0" applyFont="1" applyFill="1" applyAlignment="1" applyProtection="1"/>
    <xf numFmtId="0" fontId="47" fillId="0" borderId="0" xfId="0" applyFont="1" applyFill="1" applyProtection="1"/>
    <xf numFmtId="0" fontId="9" fillId="7" borderId="0" xfId="0" applyFont="1" applyFill="1" applyAlignment="1" applyProtection="1">
      <alignment horizontal="right" vertical="center"/>
    </xf>
    <xf numFmtId="0" fontId="48" fillId="7" borderId="0" xfId="0" applyFont="1" applyFill="1" applyProtection="1"/>
    <xf numFmtId="0" fontId="4" fillId="7" borderId="0" xfId="0" applyFont="1" applyFill="1" applyAlignment="1" applyProtection="1">
      <alignment horizontal="left" indent="1"/>
    </xf>
    <xf numFmtId="0" fontId="48" fillId="7" borderId="0" xfId="0" applyFont="1" applyFill="1" applyAlignment="1" applyProtection="1"/>
    <xf numFmtId="0" fontId="28" fillId="7" borderId="0" xfId="0" applyFont="1" applyFill="1" applyAlignment="1" applyProtection="1">
      <alignment horizontal="right"/>
    </xf>
    <xf numFmtId="0" fontId="46" fillId="7" borderId="0" xfId="0" applyFont="1" applyFill="1" applyAlignment="1">
      <alignment horizontal="left" indent="1"/>
    </xf>
    <xf numFmtId="0" fontId="48" fillId="7" borderId="0" xfId="0" applyFont="1" applyFill="1" applyAlignment="1" applyProtection="1">
      <alignment horizontal="right" vertical="center"/>
    </xf>
    <xf numFmtId="0" fontId="46" fillId="7" borderId="0" xfId="0" applyFont="1" applyFill="1" applyAlignment="1">
      <alignment horizontal="left" vertical="center"/>
    </xf>
    <xf numFmtId="0" fontId="37" fillId="7" borderId="0" xfId="0" applyFont="1" applyFill="1" applyAlignment="1" applyProtection="1">
      <alignment vertical="center"/>
    </xf>
    <xf numFmtId="0" fontId="32" fillId="7" borderId="0" xfId="0" applyFont="1" applyFill="1" applyAlignment="1">
      <alignment vertical="center"/>
    </xf>
    <xf numFmtId="0" fontId="32" fillId="7" borderId="0" xfId="0" applyFont="1" applyFill="1" applyAlignment="1" applyProtection="1">
      <alignment vertical="center"/>
    </xf>
    <xf numFmtId="0" fontId="28" fillId="7" borderId="0" xfId="0" applyFont="1" applyFill="1" applyAlignment="1" applyProtection="1">
      <alignment vertical="center"/>
    </xf>
    <xf numFmtId="0" fontId="28" fillId="0" borderId="0" xfId="0" applyFont="1" applyFill="1" applyAlignment="1" applyProtection="1">
      <alignment vertical="center"/>
    </xf>
    <xf numFmtId="0" fontId="47" fillId="0" borderId="0" xfId="0" applyFont="1" applyFill="1" applyAlignment="1" applyProtection="1">
      <alignment vertical="center"/>
    </xf>
    <xf numFmtId="0" fontId="50" fillId="0" borderId="0" xfId="0" applyFont="1" applyFill="1" applyAlignment="1" applyProtection="1">
      <alignment vertical="center"/>
    </xf>
    <xf numFmtId="0" fontId="9" fillId="7" borderId="0" xfId="0" applyFont="1" applyFill="1" applyAlignment="1" applyProtection="1">
      <alignment vertical="center"/>
    </xf>
    <xf numFmtId="0" fontId="48" fillId="7" borderId="0" xfId="0" applyFont="1" applyFill="1" applyAlignment="1" applyProtection="1">
      <alignment vertical="center"/>
    </xf>
    <xf numFmtId="0" fontId="47" fillId="7" borderId="0" xfId="0" applyFont="1" applyFill="1" applyAlignment="1" applyProtection="1">
      <alignment vertical="center"/>
    </xf>
    <xf numFmtId="0" fontId="28" fillId="7" borderId="0" xfId="0" applyFont="1" applyFill="1" applyAlignment="1" applyProtection="1">
      <alignment horizontal="right" vertical="center"/>
    </xf>
    <xf numFmtId="0" fontId="46" fillId="7" borderId="0" xfId="0" applyFont="1" applyFill="1" applyAlignment="1">
      <alignment vertical="center"/>
    </xf>
    <xf numFmtId="0" fontId="28" fillId="7" borderId="0" xfId="0" applyFont="1" applyFill="1" applyAlignment="1" applyProtection="1"/>
    <xf numFmtId="0" fontId="47" fillId="7" borderId="0" xfId="0" applyFont="1" applyFill="1" applyAlignment="1" applyProtection="1"/>
    <xf numFmtId="0" fontId="46" fillId="7" borderId="0" xfId="0" applyFont="1" applyFill="1" applyBorder="1" applyAlignment="1" applyProtection="1">
      <alignment horizontal="right"/>
    </xf>
    <xf numFmtId="0" fontId="33" fillId="7" borderId="0" xfId="0" applyFont="1" applyFill="1" applyBorder="1" applyAlignment="1" applyProtection="1"/>
    <xf numFmtId="0" fontId="37" fillId="7" borderId="0" xfId="0" applyFont="1" applyFill="1" applyBorder="1" applyAlignment="1" applyProtection="1">
      <alignment horizontal="left"/>
    </xf>
    <xf numFmtId="0" fontId="37" fillId="7" borderId="0" xfId="0" applyFont="1" applyFill="1" applyAlignment="1" applyProtection="1"/>
    <xf numFmtId="0" fontId="32" fillId="7" borderId="0" xfId="0" applyFont="1" applyFill="1" applyAlignment="1"/>
    <xf numFmtId="0" fontId="32" fillId="7" borderId="0" xfId="0" applyFont="1" applyFill="1" applyAlignment="1" applyProtection="1"/>
    <xf numFmtId="0" fontId="28" fillId="0" borderId="0" xfId="0" applyFont="1" applyFill="1" applyAlignment="1" applyProtection="1"/>
    <xf numFmtId="0" fontId="47" fillId="7" borderId="0" xfId="0" applyFont="1" applyFill="1" applyAlignment="1" applyProtection="1">
      <alignment horizontal="right" vertical="center"/>
    </xf>
    <xf numFmtId="0" fontId="48" fillId="7" borderId="0" xfId="0" applyFont="1" applyFill="1" applyAlignment="1" applyProtection="1">
      <alignment horizontal="right"/>
    </xf>
    <xf numFmtId="0" fontId="48" fillId="7" borderId="0" xfId="0" applyFont="1" applyFill="1" applyAlignment="1">
      <alignment horizontal="left"/>
    </xf>
    <xf numFmtId="0" fontId="33" fillId="7" borderId="0" xfId="0" applyFont="1" applyFill="1" applyAlignment="1" applyProtection="1"/>
    <xf numFmtId="0" fontId="48" fillId="7" borderId="0" xfId="0" applyFont="1" applyFill="1" applyAlignment="1" applyProtection="1">
      <alignment horizontal="left" vertical="center"/>
    </xf>
    <xf numFmtId="0" fontId="48" fillId="7" borderId="0" xfId="0" applyFont="1" applyFill="1" applyAlignment="1">
      <alignment horizontal="left" vertical="center"/>
    </xf>
    <xf numFmtId="0" fontId="9" fillId="7" borderId="0" xfId="0" applyFont="1" applyFill="1" applyAlignment="1" applyProtection="1">
      <alignment horizontal="right"/>
    </xf>
    <xf numFmtId="0" fontId="48" fillId="7" borderId="0" xfId="0" applyFont="1" applyFill="1" applyAlignment="1" applyProtection="1">
      <alignment horizontal="left"/>
    </xf>
    <xf numFmtId="0" fontId="28" fillId="7" borderId="0" xfId="0" applyFont="1" applyFill="1" applyAlignment="1" applyProtection="1">
      <alignment horizontal="left"/>
    </xf>
    <xf numFmtId="0" fontId="47" fillId="7" borderId="0" xfId="0" applyFont="1" applyFill="1" applyAlignment="1" applyProtection="1">
      <alignment horizontal="left"/>
    </xf>
    <xf numFmtId="0" fontId="48" fillId="7" borderId="0" xfId="0" applyFont="1" applyFill="1" applyAlignment="1"/>
    <xf numFmtId="0" fontId="9" fillId="7" borderId="0" xfId="0" applyFont="1" applyFill="1" applyAlignment="1" applyProtection="1"/>
    <xf numFmtId="0" fontId="50" fillId="7" borderId="0" xfId="0" applyFont="1" applyFill="1" applyAlignment="1" applyProtection="1"/>
    <xf numFmtId="0" fontId="50" fillId="0" borderId="30" xfId="0" applyFont="1" applyBorder="1" applyAlignment="1" applyProtection="1">
      <protection locked="0"/>
    </xf>
    <xf numFmtId="0" fontId="28" fillId="7" borderId="0" xfId="0" applyFont="1" applyFill="1" applyAlignment="1" applyProtection="1">
      <alignment horizontal="left" vertical="center"/>
    </xf>
    <xf numFmtId="0" fontId="47" fillId="7" borderId="0" xfId="0" applyFont="1" applyFill="1" applyAlignment="1" applyProtection="1">
      <alignment horizontal="left" vertical="center"/>
    </xf>
    <xf numFmtId="0" fontId="34" fillId="0" borderId="0" xfId="0" applyFont="1" applyFill="1" applyAlignment="1" applyProtection="1">
      <alignment vertical="center"/>
    </xf>
    <xf numFmtId="0" fontId="33" fillId="7" borderId="0" xfId="0" applyFont="1" applyFill="1" applyProtection="1"/>
    <xf numFmtId="0" fontId="51" fillId="7" borderId="0" xfId="1" applyFont="1" applyFill="1" applyAlignment="1" applyProtection="1">
      <alignment vertical="center"/>
      <protection locked="0"/>
    </xf>
    <xf numFmtId="0" fontId="48" fillId="7" borderId="0" xfId="0" applyFont="1" applyFill="1" applyAlignment="1">
      <alignment horizontal="left" indent="1"/>
    </xf>
    <xf numFmtId="0" fontId="48" fillId="7" borderId="0" xfId="0" applyFont="1" applyFill="1"/>
    <xf numFmtId="0" fontId="48" fillId="7" borderId="0" xfId="0" applyFont="1" applyFill="1" applyAlignment="1">
      <alignment horizontal="left" vertical="center" indent="2"/>
    </xf>
    <xf numFmtId="0" fontId="48" fillId="7" borderId="0" xfId="0" applyFont="1" applyFill="1" applyAlignment="1">
      <alignment horizontal="left" vertical="center" indent="1"/>
    </xf>
    <xf numFmtId="0" fontId="48" fillId="7" borderId="0" xfId="0" applyFont="1" applyFill="1" applyAlignment="1">
      <alignment horizontal="left" vertical="center" indent="3"/>
    </xf>
    <xf numFmtId="0" fontId="52" fillId="7" borderId="0" xfId="0" applyFont="1" applyFill="1" applyProtection="1"/>
    <xf numFmtId="14" fontId="22" fillId="7" borderId="0" xfId="0" applyNumberFormat="1" applyFont="1" applyFill="1" applyAlignment="1" applyProtection="1">
      <alignment horizontal="center"/>
    </xf>
    <xf numFmtId="0" fontId="43" fillId="0" borderId="0" xfId="0" applyFont="1" applyFill="1" applyBorder="1" applyProtection="1"/>
    <xf numFmtId="0" fontId="36" fillId="7" borderId="0" xfId="0" applyFont="1" applyFill="1" applyAlignment="1" applyProtection="1">
      <alignment horizontal="left"/>
    </xf>
    <xf numFmtId="0" fontId="28" fillId="7" borderId="0" xfId="0" applyFont="1" applyFill="1" applyBorder="1" applyAlignment="1" applyProtection="1">
      <alignment horizontal="left"/>
    </xf>
    <xf numFmtId="0" fontId="38" fillId="9" borderId="66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 vertical="center"/>
    </xf>
    <xf numFmtId="49" fontId="22" fillId="7" borderId="41" xfId="0" applyNumberFormat="1" applyFont="1" applyFill="1" applyBorder="1" applyAlignment="1" applyProtection="1">
      <alignment horizontal="center"/>
    </xf>
    <xf numFmtId="0" fontId="38" fillId="0" borderId="30" xfId="0" applyNumberFormat="1" applyFont="1" applyFill="1" applyBorder="1" applyProtection="1"/>
    <xf numFmtId="38" fontId="22" fillId="0" borderId="2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Protection="1"/>
    <xf numFmtId="0" fontId="38" fillId="0" borderId="0" xfId="0" applyNumberFormat="1" applyFont="1" applyFill="1" applyBorder="1" applyProtection="1"/>
    <xf numFmtId="0" fontId="22" fillId="0" borderId="30" xfId="0" applyNumberFormat="1" applyFont="1" applyFill="1" applyBorder="1" applyProtection="1"/>
    <xf numFmtId="170" fontId="22" fillId="0" borderId="2" xfId="0" applyNumberFormat="1" applyFont="1" applyFill="1" applyBorder="1" applyAlignment="1" applyProtection="1">
      <alignment horizontal="right"/>
    </xf>
    <xf numFmtId="49" fontId="22" fillId="7" borderId="83" xfId="0" applyNumberFormat="1" applyFont="1" applyFill="1" applyBorder="1" applyAlignment="1" applyProtection="1">
      <alignment horizontal="center"/>
    </xf>
    <xf numFmtId="0" fontId="22" fillId="0" borderId="46" xfId="0" applyNumberFormat="1" applyFont="1" applyFill="1" applyBorder="1" applyProtection="1"/>
    <xf numFmtId="170" fontId="22" fillId="0" borderId="46" xfId="0" applyNumberFormat="1" applyFont="1" applyFill="1" applyBorder="1" applyAlignment="1" applyProtection="1">
      <alignment horizontal="right"/>
    </xf>
    <xf numFmtId="170" fontId="22" fillId="0" borderId="45" xfId="0" applyNumberFormat="1" applyFont="1" applyFill="1" applyBorder="1" applyAlignment="1" applyProtection="1">
      <alignment horizontal="right"/>
    </xf>
    <xf numFmtId="0" fontId="53" fillId="0" borderId="0" xfId="0" applyFont="1" applyBorder="1"/>
    <xf numFmtId="0" fontId="22" fillId="7" borderId="41" xfId="0" applyNumberFormat="1" applyFont="1" applyFill="1" applyBorder="1" applyAlignment="1" applyProtection="1">
      <alignment horizontal="center"/>
    </xf>
    <xf numFmtId="49" fontId="22" fillId="7" borderId="47" xfId="0" applyNumberFormat="1" applyFont="1" applyFill="1" applyBorder="1" applyAlignment="1" applyProtection="1">
      <alignment horizontal="center"/>
    </xf>
    <xf numFmtId="0" fontId="38" fillId="0" borderId="49" xfId="0" applyNumberFormat="1" applyFont="1" applyFill="1" applyBorder="1" applyProtection="1"/>
    <xf numFmtId="170" fontId="22" fillId="0" borderId="49" xfId="0" applyNumberFormat="1" applyFont="1" applyFill="1" applyBorder="1" applyAlignment="1" applyProtection="1">
      <alignment horizontal="right"/>
    </xf>
    <xf numFmtId="170" fontId="22" fillId="0" borderId="48" xfId="0" applyNumberFormat="1" applyFont="1" applyFill="1" applyBorder="1" applyAlignment="1" applyProtection="1">
      <alignment horizontal="right"/>
    </xf>
    <xf numFmtId="0" fontId="34" fillId="7" borderId="0" xfId="0" applyNumberFormat="1" applyFont="1" applyFill="1" applyBorder="1" applyProtection="1"/>
    <xf numFmtId="38" fontId="34" fillId="7" borderId="0" xfId="0" applyNumberFormat="1" applyFont="1" applyFill="1" applyBorder="1" applyProtection="1"/>
    <xf numFmtId="38" fontId="34" fillId="7" borderId="0" xfId="0" applyNumberFormat="1" applyFont="1" applyFill="1" applyBorder="1" applyAlignment="1" applyProtection="1">
      <alignment horizontal="center"/>
    </xf>
    <xf numFmtId="0" fontId="38" fillId="9" borderId="71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left"/>
    </xf>
    <xf numFmtId="170" fontId="22" fillId="10" borderId="30" xfId="0" applyNumberFormat="1" applyFont="1" applyFill="1" applyBorder="1" applyAlignment="1" applyProtection="1">
      <alignment horizontal="right"/>
      <protection locked="0"/>
    </xf>
    <xf numFmtId="170" fontId="22" fillId="0" borderId="113" xfId="0" applyNumberFormat="1" applyFont="1" applyFill="1" applyBorder="1" applyAlignment="1" applyProtection="1">
      <alignment horizontal="right"/>
    </xf>
    <xf numFmtId="170" fontId="22" fillId="0" borderId="30" xfId="0" applyNumberFormat="1" applyFont="1" applyFill="1" applyBorder="1" applyAlignment="1" applyProtection="1">
      <alignment horizontal="right"/>
    </xf>
    <xf numFmtId="0" fontId="22" fillId="0" borderId="9" xfId="0" applyNumberFormat="1" applyFont="1" applyFill="1" applyBorder="1" applyProtection="1"/>
    <xf numFmtId="170" fontId="22" fillId="0" borderId="32" xfId="0" applyNumberFormat="1" applyFont="1" applyFill="1" applyBorder="1" applyAlignment="1" applyProtection="1">
      <alignment horizontal="right" vertical="center"/>
    </xf>
    <xf numFmtId="170" fontId="22" fillId="0" borderId="9" xfId="0" applyNumberFormat="1" applyFont="1" applyFill="1" applyBorder="1" applyAlignment="1" applyProtection="1">
      <alignment horizontal="right" vertical="center"/>
    </xf>
    <xf numFmtId="0" fontId="33" fillId="7" borderId="0" xfId="0" applyFont="1" applyFill="1" applyBorder="1" applyProtection="1"/>
    <xf numFmtId="0" fontId="4" fillId="0" borderId="0" xfId="0" applyFont="1" applyFill="1" applyBorder="1" applyProtection="1"/>
    <xf numFmtId="0" fontId="54" fillId="0" borderId="0" xfId="0" applyFont="1" applyFill="1" applyBorder="1" applyProtection="1"/>
    <xf numFmtId="9" fontId="34" fillId="7" borderId="0" xfId="0" applyNumberFormat="1" applyFont="1" applyFill="1" applyAlignment="1" applyProtection="1">
      <alignment vertical="center"/>
    </xf>
    <xf numFmtId="0" fontId="38" fillId="9" borderId="66" xfId="0" applyNumberFormat="1" applyFont="1" applyFill="1" applyBorder="1" applyAlignment="1" applyProtection="1">
      <alignment horizontal="left"/>
    </xf>
    <xf numFmtId="49" fontId="22" fillId="7" borderId="97" xfId="0" applyNumberFormat="1" applyFont="1" applyFill="1" applyBorder="1" applyAlignment="1" applyProtection="1">
      <alignment horizontal="center" vertical="center"/>
    </xf>
    <xf numFmtId="0" fontId="22" fillId="10" borderId="84" xfId="0" applyNumberFormat="1" applyFont="1" applyFill="1" applyBorder="1" applyAlignment="1" applyProtection="1">
      <alignment horizontal="left" vertical="center" indent="1"/>
      <protection locked="0"/>
    </xf>
    <xf numFmtId="3" fontId="22" fillId="13" borderId="98" xfId="0" applyNumberFormat="1" applyFont="1" applyFill="1" applyBorder="1" applyAlignment="1" applyProtection="1">
      <alignment horizontal="right" indent="1"/>
      <protection locked="0"/>
    </xf>
    <xf numFmtId="0" fontId="22" fillId="0" borderId="0" xfId="0" applyNumberFormat="1" applyFont="1" applyFill="1" applyBorder="1" applyAlignment="1" applyProtection="1">
      <alignment horizontal="left" vertical="center" indent="1"/>
      <protection locked="0"/>
    </xf>
    <xf numFmtId="49" fontId="22" fillId="7" borderId="83" xfId="0" applyNumberFormat="1" applyFont="1" applyFill="1" applyBorder="1" applyAlignment="1" applyProtection="1">
      <alignment horizontal="center" vertical="center"/>
    </xf>
    <xf numFmtId="3" fontId="22" fillId="10" borderId="11" xfId="0" applyNumberFormat="1" applyFont="1" applyFill="1" applyBorder="1" applyAlignment="1" applyProtection="1">
      <alignment horizontal="right" indent="1"/>
      <protection locked="0"/>
    </xf>
    <xf numFmtId="49" fontId="22" fillId="7" borderId="106" xfId="0" applyNumberFormat="1" applyFont="1" applyFill="1" applyBorder="1" applyAlignment="1" applyProtection="1">
      <alignment horizontal="center" vertical="center"/>
    </xf>
    <xf numFmtId="0" fontId="22" fillId="10" borderId="11" xfId="0" applyNumberFormat="1" applyFont="1" applyFill="1" applyBorder="1" applyAlignment="1" applyProtection="1">
      <alignment horizontal="left" vertical="center" indent="1"/>
      <protection locked="0"/>
    </xf>
    <xf numFmtId="49" fontId="22" fillId="7" borderId="96" xfId="0" applyNumberFormat="1" applyFont="1" applyFill="1" applyBorder="1" applyAlignment="1" applyProtection="1">
      <alignment horizontal="center" vertical="center"/>
    </xf>
    <xf numFmtId="0" fontId="22" fillId="10" borderId="40" xfId="0" applyNumberFormat="1" applyFont="1" applyFill="1" applyBorder="1" applyAlignment="1" applyProtection="1">
      <alignment horizontal="left" vertical="center" indent="1"/>
      <protection locked="0"/>
    </xf>
    <xf numFmtId="3" fontId="22" fillId="10" borderId="46" xfId="0" applyNumberFormat="1" applyFont="1" applyFill="1" applyBorder="1" applyAlignment="1" applyProtection="1">
      <alignment horizontal="right" indent="1"/>
      <protection locked="0"/>
    </xf>
    <xf numFmtId="0" fontId="22" fillId="7" borderId="47" xfId="0" applyFont="1" applyFill="1" applyBorder="1" applyAlignment="1" applyProtection="1">
      <alignment vertical="center"/>
    </xf>
    <xf numFmtId="3" fontId="22" fillId="7" borderId="49" xfId="0" applyNumberFormat="1" applyFont="1" applyFill="1" applyBorder="1" applyAlignment="1" applyProtection="1">
      <alignment horizontal="right" vertical="center" indent="1"/>
    </xf>
    <xf numFmtId="49" fontId="22" fillId="0" borderId="0" xfId="0" applyNumberFormat="1" applyFont="1" applyFill="1" applyBorder="1" applyAlignment="1" applyProtection="1">
      <alignment horizontal="left" vertical="center" wrapText="1" indent="1"/>
    </xf>
    <xf numFmtId="0" fontId="43" fillId="0" borderId="0" xfId="0" applyFont="1" applyFill="1" applyBorder="1" applyAlignment="1" applyProtection="1">
      <alignment vertical="center"/>
    </xf>
    <xf numFmtId="0" fontId="22" fillId="7" borderId="0" xfId="0" applyNumberFormat="1" applyFont="1" applyFill="1" applyBorder="1" applyAlignment="1" applyProtection="1">
      <alignment vertical="center"/>
    </xf>
    <xf numFmtId="3" fontId="22" fillId="7" borderId="0" xfId="0" applyNumberFormat="1" applyFont="1" applyFill="1" applyBorder="1" applyAlignment="1" applyProtection="1">
      <alignment horizontal="right" vertical="center" indent="1"/>
    </xf>
    <xf numFmtId="0" fontId="28" fillId="0" borderId="0" xfId="0" applyFont="1" applyFill="1" applyBorder="1" applyAlignment="1" applyProtection="1">
      <alignment vertical="center"/>
    </xf>
    <xf numFmtId="0" fontId="55" fillId="0" borderId="0" xfId="0" applyNumberFormat="1" applyFont="1" applyFill="1" applyBorder="1" applyAlignment="1" applyProtection="1">
      <alignment horizontal="center"/>
    </xf>
    <xf numFmtId="0" fontId="22" fillId="7" borderId="68" xfId="0" applyFont="1" applyFill="1" applyBorder="1" applyAlignment="1" applyProtection="1">
      <alignment vertical="center"/>
    </xf>
    <xf numFmtId="49" fontId="22" fillId="0" borderId="62" xfId="0" applyNumberFormat="1" applyFont="1" applyFill="1" applyBorder="1" applyAlignment="1" applyProtection="1">
      <alignment horizontal="left" vertical="center" wrapText="1" indent="1"/>
    </xf>
    <xf numFmtId="3" fontId="22" fillId="10" borderId="62" xfId="0" applyNumberFormat="1" applyFont="1" applyFill="1" applyBorder="1" applyAlignment="1" applyProtection="1">
      <alignment horizontal="right" vertical="center" indent="1"/>
      <protection locked="0"/>
    </xf>
    <xf numFmtId="0" fontId="22" fillId="7" borderId="0" xfId="0" applyNumberFormat="1" applyFont="1" applyFill="1" applyProtection="1"/>
    <xf numFmtId="0" fontId="4" fillId="0" borderId="0" xfId="0" applyFont="1" applyFill="1" applyBorder="1" applyAlignment="1" applyProtection="1">
      <alignment vertical="center"/>
    </xf>
    <xf numFmtId="0" fontId="29" fillId="0" borderId="0" xfId="1" applyFont="1" applyAlignment="1" applyProtection="1"/>
    <xf numFmtId="0" fontId="56" fillId="0" borderId="0" xfId="1" applyFont="1" applyFill="1" applyBorder="1" applyAlignment="1" applyProtection="1"/>
    <xf numFmtId="0" fontId="34" fillId="7" borderId="0" xfId="0" applyNumberFormat="1" applyFont="1" applyFill="1" applyProtection="1"/>
    <xf numFmtId="9" fontId="34" fillId="7" borderId="0" xfId="3" applyFont="1" applyFill="1" applyBorder="1" applyAlignment="1" applyProtection="1">
      <alignment horizontal="right" vertical="center" indent="1"/>
    </xf>
    <xf numFmtId="0" fontId="34" fillId="7" borderId="0" xfId="0" applyFont="1" applyFill="1" applyAlignment="1" applyProtection="1">
      <alignment horizontal="center"/>
    </xf>
    <xf numFmtId="0" fontId="22" fillId="0" borderId="0" xfId="0" applyNumberFormat="1" applyFont="1" applyFill="1" applyProtection="1"/>
    <xf numFmtId="9" fontId="34" fillId="7" borderId="0" xfId="0" applyNumberFormat="1" applyFont="1" applyFill="1" applyProtection="1"/>
    <xf numFmtId="9" fontId="34" fillId="7" borderId="0" xfId="3" applyFont="1" applyFill="1" applyAlignment="1" applyProtection="1"/>
    <xf numFmtId="2" fontId="38" fillId="9" borderId="64" xfId="0" applyNumberFormat="1" applyFont="1" applyFill="1" applyBorder="1" applyAlignment="1" applyProtection="1">
      <alignment horizontal="center" vertical="center"/>
    </xf>
    <xf numFmtId="2" fontId="38" fillId="9" borderId="63" xfId="0" applyNumberFormat="1" applyFont="1" applyFill="1" applyBorder="1" applyAlignment="1" applyProtection="1">
      <alignment horizontal="center" vertical="center"/>
    </xf>
    <xf numFmtId="2" fontId="22" fillId="0" borderId="1" xfId="0" applyNumberFormat="1" applyFont="1" applyFill="1" applyBorder="1" applyAlignment="1" applyProtection="1">
      <alignment horizontal="right" indent="1"/>
    </xf>
    <xf numFmtId="2" fontId="22" fillId="0" borderId="2" xfId="0" applyNumberFormat="1" applyFont="1" applyFill="1" applyBorder="1" applyAlignment="1" applyProtection="1">
      <alignment horizontal="right" indent="1"/>
    </xf>
    <xf numFmtId="0" fontId="22" fillId="7" borderId="0" xfId="0" applyFont="1" applyFill="1" applyBorder="1" applyProtection="1">
      <protection locked="0"/>
    </xf>
    <xf numFmtId="0" fontId="22" fillId="7" borderId="124" xfId="0" applyNumberFormat="1" applyFont="1" applyFill="1" applyBorder="1" applyAlignment="1" applyProtection="1">
      <alignment horizontal="center"/>
    </xf>
    <xf numFmtId="0" fontId="33" fillId="7" borderId="0" xfId="0" applyFont="1" applyFill="1" applyProtection="1">
      <protection locked="0"/>
    </xf>
    <xf numFmtId="0" fontId="33" fillId="0" borderId="0" xfId="0" applyFont="1" applyFill="1" applyProtection="1"/>
    <xf numFmtId="0" fontId="57" fillId="7" borderId="0" xfId="0" applyFont="1" applyFill="1" applyProtection="1"/>
    <xf numFmtId="49" fontId="57" fillId="7" borderId="96" xfId="0" applyNumberFormat="1" applyFont="1" applyFill="1" applyBorder="1" applyAlignment="1" applyProtection="1">
      <alignment horizontal="center"/>
    </xf>
    <xf numFmtId="0" fontId="33" fillId="0" borderId="100" xfId="0" applyNumberFormat="1" applyFont="1" applyFill="1" applyBorder="1" applyAlignment="1" applyProtection="1">
      <alignment horizontal="right"/>
    </xf>
    <xf numFmtId="9" fontId="33" fillId="0" borderId="101" xfId="3" applyFont="1" applyFill="1" applyBorder="1" applyAlignment="1" applyProtection="1">
      <alignment horizontal="center"/>
    </xf>
    <xf numFmtId="0" fontId="57" fillId="7" borderId="0" xfId="0" applyFont="1" applyFill="1" applyProtection="1">
      <protection locked="0"/>
    </xf>
    <xf numFmtId="0" fontId="57" fillId="0" borderId="0" xfId="0" applyFont="1" applyFill="1" applyProtection="1"/>
    <xf numFmtId="49" fontId="57" fillId="7" borderId="41" xfId="0" applyNumberFormat="1" applyFont="1" applyFill="1" applyBorder="1" applyAlignment="1" applyProtection="1">
      <alignment horizontal="center"/>
    </xf>
    <xf numFmtId="9" fontId="33" fillId="0" borderId="1" xfId="3" applyFont="1" applyFill="1" applyBorder="1" applyAlignment="1" applyProtection="1">
      <alignment horizontal="center"/>
    </xf>
    <xf numFmtId="49" fontId="58" fillId="7" borderId="41" xfId="0" applyNumberFormat="1" applyFont="1" applyFill="1" applyBorder="1" applyAlignment="1" applyProtection="1">
      <alignment horizontal="center"/>
    </xf>
    <xf numFmtId="0" fontId="22" fillId="0" borderId="31" xfId="0" applyNumberFormat="1" applyFont="1" applyFill="1" applyBorder="1" applyProtection="1"/>
    <xf numFmtId="49" fontId="22" fillId="0" borderId="31" xfId="0" applyNumberFormat="1" applyFont="1" applyFill="1" applyBorder="1" applyProtection="1"/>
    <xf numFmtId="0" fontId="22" fillId="7" borderId="68" xfId="0" applyNumberFormat="1" applyFont="1" applyFill="1" applyBorder="1" applyAlignment="1" applyProtection="1">
      <alignment horizontal="center"/>
    </xf>
    <xf numFmtId="0" fontId="43" fillId="7" borderId="0" xfId="0" applyFont="1" applyFill="1" applyProtection="1">
      <protection hidden="1"/>
    </xf>
    <xf numFmtId="0" fontId="22" fillId="0" borderId="0" xfId="0" applyFont="1" applyFill="1" applyBorder="1" applyProtection="1">
      <protection hidden="1"/>
    </xf>
    <xf numFmtId="0" fontId="36" fillId="7" borderId="0" xfId="0" applyFont="1" applyFill="1" applyAlignment="1" applyProtection="1">
      <alignment horizontal="center"/>
    </xf>
    <xf numFmtId="0" fontId="22" fillId="7" borderId="0" xfId="0" applyFont="1" applyFill="1" applyBorder="1" applyAlignment="1" applyProtection="1">
      <alignment horizontal="center"/>
    </xf>
    <xf numFmtId="3" fontId="22" fillId="10" borderId="126" xfId="0" applyNumberFormat="1" applyFont="1" applyFill="1" applyBorder="1" applyAlignment="1" applyProtection="1">
      <alignment horizontal="right" indent="1"/>
      <protection locked="0"/>
    </xf>
    <xf numFmtId="0" fontId="57" fillId="7" borderId="38" xfId="0" applyFont="1" applyFill="1" applyBorder="1" applyProtection="1"/>
    <xf numFmtId="3" fontId="22" fillId="10" borderId="1" xfId="0" applyNumberFormat="1" applyFont="1" applyFill="1" applyBorder="1" applyAlignment="1" applyProtection="1">
      <alignment horizontal="right" indent="1"/>
      <protection locked="0"/>
    </xf>
    <xf numFmtId="49" fontId="22" fillId="7" borderId="41" xfId="0" applyNumberFormat="1" applyFont="1" applyFill="1" applyBorder="1" applyProtection="1"/>
    <xf numFmtId="0" fontId="59" fillId="7" borderId="0" xfId="0" applyFont="1" applyFill="1" applyAlignment="1" applyProtection="1">
      <alignment horizontal="left"/>
    </xf>
    <xf numFmtId="0" fontId="34" fillId="0" borderId="0" xfId="0" applyFont="1" applyFill="1" applyBorder="1" applyProtection="1"/>
    <xf numFmtId="0" fontId="37" fillId="7" borderId="0" xfId="0" applyFont="1" applyFill="1" applyProtection="1">
      <protection hidden="1"/>
    </xf>
    <xf numFmtId="0" fontId="58" fillId="7" borderId="0" xfId="0" applyFont="1" applyFill="1" applyProtection="1"/>
    <xf numFmtId="0" fontId="58" fillId="0" borderId="0" xfId="0" applyFont="1" applyFill="1" applyProtection="1"/>
    <xf numFmtId="0" fontId="38" fillId="9" borderId="112" xfId="0" applyNumberFormat="1" applyFont="1" applyFill="1" applyBorder="1" applyAlignment="1" applyProtection="1">
      <alignment horizontal="center"/>
    </xf>
    <xf numFmtId="0" fontId="34" fillId="7" borderId="0" xfId="0" applyFont="1" applyFill="1" applyProtection="1">
      <protection hidden="1"/>
    </xf>
    <xf numFmtId="0" fontId="31" fillId="7" borderId="0" xfId="0" applyFont="1" applyFill="1" applyAlignment="1" applyProtection="1">
      <alignment horizontal="left"/>
    </xf>
    <xf numFmtId="0" fontId="30" fillId="7" borderId="0" xfId="0" applyFont="1" applyFill="1" applyAlignment="1" applyProtection="1">
      <alignment horizontal="left"/>
    </xf>
    <xf numFmtId="0" fontId="34" fillId="0" borderId="0" xfId="0" applyFont="1" applyFill="1" applyBorder="1" applyProtection="1">
      <protection hidden="1"/>
    </xf>
    <xf numFmtId="0" fontId="42" fillId="0" borderId="0" xfId="0" applyFont="1" applyFill="1" applyBorder="1" applyAlignment="1" applyProtection="1">
      <alignment horizontal="center" vertical="center"/>
    </xf>
    <xf numFmtId="0" fontId="61" fillId="7" borderId="0" xfId="1" applyFont="1" applyFill="1" applyAlignment="1" applyProtection="1"/>
    <xf numFmtId="166" fontId="58" fillId="7" borderId="0" xfId="0" applyNumberFormat="1" applyFont="1" applyFill="1" applyProtection="1"/>
    <xf numFmtId="0" fontId="22" fillId="7" borderId="0" xfId="0" applyFont="1" applyFill="1" applyAlignment="1" applyProtection="1">
      <alignment horizontal="left"/>
    </xf>
    <xf numFmtId="0" fontId="58" fillId="7" borderId="0" xfId="0" applyFont="1" applyFill="1" applyAlignment="1" applyProtection="1"/>
    <xf numFmtId="0" fontId="62" fillId="7" borderId="0" xfId="0" applyFont="1" applyFill="1" applyBorder="1" applyAlignment="1" applyProtection="1"/>
    <xf numFmtId="0" fontId="63" fillId="7" borderId="0" xfId="0" applyFont="1" applyFill="1" applyProtection="1"/>
    <xf numFmtId="0" fontId="22" fillId="0" borderId="0" xfId="0" applyFont="1" applyFill="1" applyBorder="1" applyAlignment="1" applyProtection="1">
      <alignment horizontal="left"/>
    </xf>
    <xf numFmtId="0" fontId="35" fillId="0" borderId="0" xfId="0" applyFont="1" applyFill="1" applyBorder="1" applyProtection="1"/>
    <xf numFmtId="0" fontId="38" fillId="9" borderId="71" xfId="0" applyFont="1" applyFill="1" applyBorder="1" applyAlignment="1" applyProtection="1">
      <alignment horizontal="center" vertical="center"/>
      <protection hidden="1"/>
    </xf>
    <xf numFmtId="0" fontId="38" fillId="9" borderId="71" xfId="0" applyNumberFormat="1" applyFont="1" applyFill="1" applyBorder="1" applyAlignment="1" applyProtection="1">
      <alignment horizontal="center" vertical="center" wrapText="1"/>
      <protection hidden="1"/>
    </xf>
    <xf numFmtId="0" fontId="38" fillId="9" borderId="63" xfId="0" applyNumberFormat="1" applyFont="1" applyFill="1" applyBorder="1" applyAlignment="1" applyProtection="1">
      <alignment horizontal="center" vertical="center" wrapText="1"/>
      <protection hidden="1"/>
    </xf>
    <xf numFmtId="0" fontId="22" fillId="0" borderId="0" xfId="0" applyFont="1" applyFill="1" applyProtection="1">
      <protection hidden="1"/>
    </xf>
    <xf numFmtId="0" fontId="52" fillId="0" borderId="0" xfId="0" applyFont="1" applyFill="1" applyProtection="1">
      <protection hidden="1"/>
    </xf>
    <xf numFmtId="0" fontId="22" fillId="0" borderId="0" xfId="0" applyFont="1" applyFill="1" applyBorder="1" applyAlignment="1" applyProtection="1">
      <alignment horizontal="center" vertical="center"/>
      <protection hidden="1"/>
    </xf>
    <xf numFmtId="0" fontId="22" fillId="0" borderId="0" xfId="0" applyNumberFormat="1" applyFont="1" applyFill="1" applyBorder="1" applyAlignment="1" applyProtection="1">
      <alignment vertical="center"/>
      <protection hidden="1"/>
    </xf>
    <xf numFmtId="0" fontId="4" fillId="0" borderId="0" xfId="0" applyFont="1"/>
    <xf numFmtId="1" fontId="22" fillId="2" borderId="41" xfId="0" applyNumberFormat="1" applyFont="1" applyFill="1" applyBorder="1" applyAlignment="1" applyProtection="1">
      <alignment horizontal="center" vertical="center"/>
    </xf>
    <xf numFmtId="0" fontId="58" fillId="7" borderId="0" xfId="0" applyFont="1" applyFill="1" applyAlignment="1" applyProtection="1">
      <alignment vertical="center"/>
    </xf>
    <xf numFmtId="0" fontId="52" fillId="0" borderId="0" xfId="0" applyFont="1" applyFill="1" applyAlignment="1" applyProtection="1">
      <alignment vertical="center"/>
    </xf>
    <xf numFmtId="1" fontId="22" fillId="0" borderId="0" xfId="0" applyNumberFormat="1" applyFont="1" applyFill="1" applyBorder="1" applyAlignment="1" applyProtection="1">
      <alignment horizontal="center" vertical="center"/>
    </xf>
    <xf numFmtId="0" fontId="22" fillId="0" borderId="0" xfId="0" applyFont="1" applyFill="1" applyBorder="1" applyAlignment="1" applyProtection="1">
      <alignment vertical="center"/>
      <protection locked="0"/>
    </xf>
    <xf numFmtId="0" fontId="22" fillId="7" borderId="0" xfId="0" applyFont="1" applyFill="1" applyAlignment="1" applyProtection="1">
      <alignment vertical="center"/>
      <protection hidden="1"/>
    </xf>
    <xf numFmtId="1" fontId="22" fillId="2" borderId="41" xfId="0" applyNumberFormat="1" applyFont="1" applyFill="1" applyBorder="1" applyAlignment="1" applyProtection="1">
      <alignment horizontal="center" vertical="center"/>
      <protection hidden="1"/>
    </xf>
    <xf numFmtId="167" fontId="22" fillId="0" borderId="106" xfId="0" applyNumberFormat="1" applyFont="1" applyFill="1" applyBorder="1" applyAlignment="1" applyProtection="1">
      <alignment vertical="center"/>
      <protection hidden="1"/>
    </xf>
    <xf numFmtId="0" fontId="58" fillId="7" borderId="0" xfId="0" applyFont="1" applyFill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hidden="1"/>
    </xf>
    <xf numFmtId="0" fontId="52" fillId="0" borderId="0" xfId="0" applyFont="1" applyFill="1" applyAlignment="1" applyProtection="1">
      <alignment vertical="center"/>
      <protection hidden="1"/>
    </xf>
    <xf numFmtId="1" fontId="22" fillId="0" borderId="0" xfId="0" applyNumberFormat="1" applyFont="1" applyFill="1" applyBorder="1" applyAlignment="1" applyProtection="1">
      <alignment horizontal="center" vertical="center"/>
      <protection hidden="1"/>
    </xf>
    <xf numFmtId="0" fontId="22" fillId="0" borderId="0" xfId="0" applyFont="1" applyFill="1" applyBorder="1" applyAlignment="1" applyProtection="1">
      <alignment vertical="center"/>
      <protection hidden="1"/>
    </xf>
    <xf numFmtId="49" fontId="22" fillId="0" borderId="47" xfId="0" applyNumberFormat="1" applyFont="1" applyFill="1" applyBorder="1" applyAlignment="1" applyProtection="1">
      <alignment vertical="center"/>
      <protection hidden="1"/>
    </xf>
    <xf numFmtId="167" fontId="22" fillId="0" borderId="47" xfId="0" applyNumberFormat="1" applyFont="1" applyFill="1" applyBorder="1" applyAlignment="1" applyProtection="1">
      <alignment horizontal="left" vertical="center"/>
      <protection hidden="1"/>
    </xf>
    <xf numFmtId="167" fontId="22" fillId="0" borderId="47" xfId="0" applyNumberFormat="1" applyFont="1" applyFill="1" applyBorder="1" applyAlignment="1" applyProtection="1">
      <alignment horizontal="right" vertical="center"/>
      <protection hidden="1"/>
    </xf>
    <xf numFmtId="167" fontId="22" fillId="2" borderId="48" xfId="0" applyNumberFormat="1" applyFont="1" applyFill="1" applyBorder="1" applyAlignment="1" applyProtection="1">
      <alignment horizontal="right" vertical="center"/>
      <protection hidden="1"/>
    </xf>
    <xf numFmtId="0" fontId="22" fillId="7" borderId="0" xfId="0" applyFont="1" applyFill="1" applyAlignment="1" applyProtection="1">
      <alignment horizontal="center" vertical="center"/>
      <protection hidden="1"/>
    </xf>
    <xf numFmtId="49" fontId="22" fillId="0" borderId="0" xfId="0" applyNumberFormat="1" applyFont="1" applyFill="1" applyBorder="1" applyAlignment="1" applyProtection="1">
      <alignment vertical="center"/>
      <protection hidden="1"/>
    </xf>
    <xf numFmtId="49" fontId="22" fillId="7" borderId="0" xfId="0" applyNumberFormat="1" applyFont="1" applyFill="1" applyBorder="1" applyProtection="1"/>
    <xf numFmtId="167" fontId="22" fillId="7" borderId="0" xfId="0" applyNumberFormat="1" applyFont="1" applyFill="1" applyBorder="1" applyAlignment="1" applyProtection="1">
      <alignment horizontal="right"/>
    </xf>
    <xf numFmtId="167" fontId="22" fillId="7" borderId="0" xfId="0" applyNumberFormat="1" applyFont="1" applyFill="1" applyBorder="1" applyAlignment="1" applyProtection="1">
      <alignment horizontal="center"/>
    </xf>
    <xf numFmtId="167" fontId="22" fillId="7" borderId="0" xfId="0" applyNumberFormat="1" applyFont="1" applyFill="1" applyBorder="1" applyAlignment="1" applyProtection="1">
      <alignment horizontal="right"/>
      <protection locked="0"/>
    </xf>
    <xf numFmtId="0" fontId="22" fillId="7" borderId="13" xfId="0" applyFont="1" applyFill="1" applyBorder="1" applyAlignment="1" applyProtection="1"/>
    <xf numFmtId="0" fontId="58" fillId="7" borderId="0" xfId="0" applyFont="1" applyFill="1" applyAlignment="1" applyProtection="1">
      <alignment horizontal="center"/>
    </xf>
    <xf numFmtId="0" fontId="38" fillId="9" borderId="53" xfId="0" applyNumberFormat="1" applyFont="1" applyFill="1" applyBorder="1" applyAlignment="1" applyProtection="1">
      <alignment horizontal="center" vertical="center" wrapText="1"/>
    </xf>
    <xf numFmtId="49" fontId="22" fillId="2" borderId="38" xfId="0" applyNumberFormat="1" applyFont="1" applyFill="1" applyBorder="1" applyAlignment="1" applyProtection="1">
      <alignment horizontal="center" vertical="center"/>
    </xf>
    <xf numFmtId="49" fontId="22" fillId="0" borderId="0" xfId="0" applyNumberFormat="1" applyFont="1" applyFill="1" applyBorder="1" applyAlignment="1" applyProtection="1">
      <alignment horizontal="center" vertical="center"/>
    </xf>
    <xf numFmtId="167" fontId="22" fillId="0" borderId="103" xfId="0" applyNumberFormat="1" applyFont="1" applyFill="1" applyBorder="1" applyAlignment="1" applyProtection="1">
      <alignment horizontal="left" vertical="center"/>
      <protection hidden="1"/>
    </xf>
    <xf numFmtId="167" fontId="22" fillId="0" borderId="103" xfId="0" applyNumberFormat="1" applyFont="1" applyFill="1" applyBorder="1" applyAlignment="1" applyProtection="1">
      <alignment horizontal="right" vertical="center"/>
      <protection hidden="1"/>
    </xf>
    <xf numFmtId="0" fontId="22" fillId="7" borderId="38" xfId="0" applyFont="1" applyFill="1" applyBorder="1" applyAlignment="1" applyProtection="1">
      <alignment vertical="center"/>
      <protection hidden="1"/>
    </xf>
    <xf numFmtId="0" fontId="22" fillId="0" borderId="0" xfId="0" applyFont="1" applyFill="1" applyAlignment="1" applyProtection="1">
      <alignment vertical="center"/>
      <protection locked="0"/>
    </xf>
    <xf numFmtId="49" fontId="22" fillId="0" borderId="0" xfId="0" applyNumberFormat="1" applyFont="1" applyFill="1" applyBorder="1" applyAlignment="1" applyProtection="1">
      <alignment horizontal="left" vertical="center"/>
      <protection hidden="1"/>
    </xf>
    <xf numFmtId="49" fontId="22" fillId="7" borderId="0" xfId="0" applyNumberFormat="1" applyFont="1" applyFill="1" applyBorder="1" applyAlignment="1" applyProtection="1">
      <alignment horizontal="left" vertical="center"/>
    </xf>
    <xf numFmtId="167" fontId="22" fillId="7" borderId="0" xfId="0" applyNumberFormat="1" applyFont="1" applyFill="1" applyBorder="1" applyAlignment="1" applyProtection="1">
      <alignment horizontal="right" vertical="center"/>
    </xf>
    <xf numFmtId="49" fontId="22" fillId="7" borderId="0" xfId="0" applyNumberFormat="1" applyFont="1" applyFill="1" applyBorder="1" applyAlignment="1" applyProtection="1">
      <alignment horizontal="center" vertical="center"/>
    </xf>
    <xf numFmtId="0" fontId="52" fillId="7" borderId="0" xfId="0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horizontal="left" vertical="center"/>
    </xf>
    <xf numFmtId="49" fontId="22" fillId="7" borderId="0" xfId="0" applyNumberFormat="1" applyFont="1" applyFill="1" applyBorder="1" applyAlignment="1" applyProtection="1">
      <alignment horizontal="left" indent="1"/>
    </xf>
    <xf numFmtId="49" fontId="22" fillId="7" borderId="0" xfId="0" applyNumberFormat="1" applyFont="1" applyFill="1" applyBorder="1" applyAlignment="1" applyProtection="1">
      <alignment horizontal="center"/>
    </xf>
    <xf numFmtId="49" fontId="22" fillId="0" borderId="0" xfId="0" applyNumberFormat="1" applyFont="1" applyFill="1" applyBorder="1" applyAlignment="1" applyProtection="1">
      <alignment horizontal="left" indent="1"/>
    </xf>
    <xf numFmtId="167" fontId="58" fillId="7" borderId="0" xfId="0" applyNumberFormat="1" applyFont="1" applyFill="1" applyBorder="1" applyAlignment="1" applyProtection="1">
      <alignment horizontal="right"/>
    </xf>
    <xf numFmtId="167" fontId="58" fillId="7" borderId="0" xfId="0" applyNumberFormat="1" applyFont="1" applyFill="1" applyBorder="1" applyAlignment="1" applyProtection="1">
      <alignment horizontal="center"/>
    </xf>
    <xf numFmtId="49" fontId="22" fillId="7" borderId="0" xfId="0" applyNumberFormat="1" applyFont="1" applyFill="1" applyBorder="1" applyAlignment="1" applyProtection="1"/>
    <xf numFmtId="0" fontId="62" fillId="7" borderId="0" xfId="0" applyFont="1" applyFill="1" applyBorder="1" applyAlignment="1" applyProtection="1">
      <alignment vertical="center"/>
    </xf>
    <xf numFmtId="49" fontId="22" fillId="0" borderId="0" xfId="0" applyNumberFormat="1" applyFont="1" applyFill="1" applyBorder="1" applyAlignment="1" applyProtection="1"/>
    <xf numFmtId="0" fontId="22" fillId="7" borderId="0" xfId="0" applyFont="1" applyFill="1" applyAlignment="1" applyProtection="1">
      <alignment vertical="center" wrapText="1"/>
      <protection locked="0"/>
    </xf>
    <xf numFmtId="0" fontId="58" fillId="7" borderId="0" xfId="0" applyFont="1" applyFill="1" applyAlignment="1" applyProtection="1">
      <alignment vertical="center" wrapText="1"/>
    </xf>
    <xf numFmtId="0" fontId="38" fillId="9" borderId="53" xfId="0" applyNumberFormat="1" applyFont="1" applyFill="1" applyBorder="1" applyAlignment="1" applyProtection="1">
      <alignment horizontal="center" vertical="center"/>
    </xf>
    <xf numFmtId="0" fontId="22" fillId="0" borderId="0" xfId="0" applyNumberFormat="1" applyFont="1" applyFill="1" applyBorder="1" applyAlignment="1" applyProtection="1">
      <alignment horizontal="left" vertical="center"/>
      <protection hidden="1"/>
    </xf>
    <xf numFmtId="0" fontId="52" fillId="0" borderId="0" xfId="0" applyFont="1" applyFill="1" applyProtection="1"/>
    <xf numFmtId="0" fontId="38" fillId="9" borderId="53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 applyProtection="1">
      <alignment horizontal="left" vertical="center" indent="1"/>
    </xf>
    <xf numFmtId="1" fontId="22" fillId="2" borderId="57" xfId="0" applyNumberFormat="1" applyFont="1" applyFill="1" applyBorder="1" applyAlignment="1" applyProtection="1">
      <alignment horizontal="center" vertical="center"/>
    </xf>
    <xf numFmtId="3" fontId="22" fillId="0" borderId="47" xfId="0" applyNumberFormat="1" applyFont="1" applyFill="1" applyBorder="1" applyAlignment="1" applyProtection="1">
      <alignment horizontal="right" vertical="center" indent="1"/>
    </xf>
    <xf numFmtId="3" fontId="22" fillId="0" borderId="49" xfId="0" applyNumberFormat="1" applyFont="1" applyFill="1" applyBorder="1" applyAlignment="1" applyProtection="1">
      <alignment horizontal="right" vertical="center" indent="1"/>
    </xf>
    <xf numFmtId="3" fontId="22" fillId="0" borderId="48" xfId="0" applyNumberFormat="1" applyFont="1" applyFill="1" applyBorder="1" applyAlignment="1" applyProtection="1">
      <alignment horizontal="right" vertical="center" indent="1"/>
    </xf>
    <xf numFmtId="0" fontId="4" fillId="0" borderId="0" xfId="0" applyFont="1" applyFill="1"/>
    <xf numFmtId="0" fontId="34" fillId="7" borderId="0" xfId="0" applyFont="1" applyFill="1" applyAlignment="1" applyProtection="1">
      <alignment vertical="center"/>
      <protection hidden="1"/>
    </xf>
    <xf numFmtId="0" fontId="22" fillId="7" borderId="0" xfId="0" applyFont="1" applyFill="1" applyAlignment="1" applyProtection="1">
      <protection hidden="1"/>
    </xf>
    <xf numFmtId="0" fontId="52" fillId="7" borderId="0" xfId="0" applyFont="1" applyFill="1" applyAlignment="1" applyProtection="1"/>
    <xf numFmtId="0" fontId="43" fillId="0" borderId="0" xfId="0" applyFont="1" applyFill="1" applyBorder="1" applyAlignment="1" applyProtection="1"/>
    <xf numFmtId="0" fontId="62" fillId="7" borderId="0" xfId="0" applyFont="1" applyFill="1" applyAlignment="1" applyProtection="1"/>
    <xf numFmtId="0" fontId="58" fillId="7" borderId="0" xfId="0" applyFont="1" applyFill="1" applyProtection="1">
      <protection hidden="1"/>
    </xf>
    <xf numFmtId="0" fontId="34" fillId="7" borderId="0" xfId="0" applyFont="1" applyFill="1" applyBorder="1" applyProtection="1"/>
    <xf numFmtId="0" fontId="49" fillId="7" borderId="0" xfId="0" applyFont="1" applyFill="1" applyBorder="1" applyProtection="1"/>
    <xf numFmtId="0" fontId="34" fillId="7" borderId="0" xfId="0" applyFont="1" applyFill="1" applyBorder="1" applyProtection="1">
      <protection hidden="1"/>
    </xf>
    <xf numFmtId="0" fontId="49" fillId="7" borderId="0" xfId="0" applyFont="1" applyFill="1" applyBorder="1" applyProtection="1">
      <protection hidden="1"/>
    </xf>
    <xf numFmtId="0" fontId="34" fillId="7" borderId="0" xfId="0" applyFont="1" applyFill="1" applyBorder="1" applyAlignment="1" applyProtection="1">
      <protection hidden="1"/>
    </xf>
    <xf numFmtId="0" fontId="34" fillId="0" borderId="0" xfId="0" applyFont="1" applyFill="1" applyBorder="1" applyAlignment="1" applyProtection="1">
      <protection hidden="1"/>
    </xf>
    <xf numFmtId="0" fontId="22" fillId="7" borderId="117" xfId="0" applyFont="1" applyFill="1" applyBorder="1" applyProtection="1">
      <protection hidden="1"/>
    </xf>
    <xf numFmtId="0" fontId="58" fillId="0" borderId="107" xfId="0" applyFont="1" applyFill="1" applyBorder="1" applyAlignment="1" applyProtection="1">
      <alignment horizontal="center"/>
      <protection hidden="1"/>
    </xf>
    <xf numFmtId="0" fontId="22" fillId="0" borderId="62" xfId="0" applyFont="1" applyFill="1" applyBorder="1" applyAlignment="1" applyProtection="1">
      <alignment horizontal="center"/>
      <protection hidden="1"/>
    </xf>
    <xf numFmtId="0" fontId="22" fillId="7" borderId="62" xfId="0" applyFont="1" applyFill="1" applyBorder="1" applyAlignment="1" applyProtection="1">
      <alignment horizontal="center"/>
      <protection hidden="1"/>
    </xf>
    <xf numFmtId="0" fontId="58" fillId="7" borderId="62" xfId="0" applyFont="1" applyFill="1" applyBorder="1" applyAlignment="1" applyProtection="1">
      <alignment horizontal="center"/>
      <protection hidden="1"/>
    </xf>
    <xf numFmtId="0" fontId="58" fillId="7" borderId="108" xfId="0" applyFont="1" applyFill="1" applyBorder="1" applyAlignment="1" applyProtection="1">
      <alignment horizontal="center"/>
      <protection hidden="1"/>
    </xf>
    <xf numFmtId="0" fontId="49" fillId="7" borderId="75" xfId="0" applyFont="1" applyFill="1" applyBorder="1" applyAlignment="1" applyProtection="1">
      <alignment horizontal="left"/>
      <protection hidden="1"/>
    </xf>
    <xf numFmtId="0" fontId="49" fillId="7" borderId="75" xfId="0" applyFont="1" applyFill="1" applyBorder="1" applyProtection="1">
      <protection hidden="1"/>
    </xf>
    <xf numFmtId="0" fontId="34" fillId="7" borderId="75" xfId="0" applyFont="1" applyFill="1" applyBorder="1" applyProtection="1">
      <protection hidden="1"/>
    </xf>
    <xf numFmtId="0" fontId="49" fillId="7" borderId="114" xfId="0" applyFont="1" applyFill="1" applyBorder="1" applyAlignment="1" applyProtection="1">
      <alignment horizontal="left"/>
      <protection hidden="1"/>
    </xf>
    <xf numFmtId="0" fontId="34" fillId="6" borderId="75" xfId="0" applyFont="1" applyFill="1" applyBorder="1" applyProtection="1">
      <protection hidden="1"/>
    </xf>
    <xf numFmtId="0" fontId="34" fillId="6" borderId="88" xfId="0" applyFont="1" applyFill="1" applyBorder="1" applyProtection="1">
      <protection hidden="1"/>
    </xf>
    <xf numFmtId="0" fontId="22" fillId="0" borderId="0" xfId="0" applyFont="1" applyFill="1" applyBorder="1" applyAlignment="1" applyProtection="1">
      <alignment horizontal="right"/>
      <protection hidden="1"/>
    </xf>
    <xf numFmtId="0" fontId="52" fillId="3" borderId="7" xfId="0" applyNumberFormat="1" applyFont="1" applyFill="1" applyBorder="1" applyAlignment="1" applyProtection="1">
      <alignment horizontal="center" vertical="center"/>
      <protection hidden="1"/>
    </xf>
    <xf numFmtId="0" fontId="52" fillId="3" borderId="29" xfId="0" applyNumberFormat="1" applyFont="1" applyFill="1" applyBorder="1" applyAlignment="1" applyProtection="1">
      <alignment horizontal="center" vertical="center"/>
      <protection hidden="1"/>
    </xf>
    <xf numFmtId="0" fontId="52" fillId="7" borderId="7" xfId="0" applyNumberFormat="1" applyFont="1" applyFill="1" applyBorder="1" applyAlignment="1" applyProtection="1">
      <alignment horizontal="center" vertical="center"/>
      <protection hidden="1"/>
    </xf>
    <xf numFmtId="0" fontId="52" fillId="7" borderId="33" xfId="0" applyNumberFormat="1" applyFont="1" applyFill="1" applyBorder="1" applyAlignment="1" applyProtection="1">
      <alignment horizontal="center" vertical="center"/>
      <protection hidden="1"/>
    </xf>
    <xf numFmtId="0" fontId="34" fillId="7" borderId="116" xfId="0" applyFont="1" applyFill="1" applyBorder="1" applyProtection="1">
      <protection hidden="1"/>
    </xf>
    <xf numFmtId="0" fontId="34" fillId="6" borderId="0" xfId="0" applyFont="1" applyFill="1" applyBorder="1" applyProtection="1">
      <protection hidden="1"/>
    </xf>
    <xf numFmtId="0" fontId="34" fillId="6" borderId="30" xfId="0" applyFont="1" applyFill="1" applyBorder="1" applyProtection="1">
      <protection hidden="1"/>
    </xf>
    <xf numFmtId="167" fontId="58" fillId="0" borderId="23" xfId="0" applyNumberFormat="1" applyFont="1" applyFill="1" applyBorder="1" applyProtection="1">
      <protection hidden="1"/>
    </xf>
    <xf numFmtId="0" fontId="22" fillId="0" borderId="3" xfId="0" applyFont="1" applyBorder="1" applyProtection="1">
      <protection hidden="1"/>
    </xf>
    <xf numFmtId="167" fontId="58" fillId="7" borderId="3" xfId="0" applyNumberFormat="1" applyFont="1" applyFill="1" applyBorder="1" applyProtection="1">
      <protection hidden="1"/>
    </xf>
    <xf numFmtId="167" fontId="58" fillId="7" borderId="35" xfId="0" applyNumberFormat="1" applyFont="1" applyFill="1" applyBorder="1" applyProtection="1">
      <protection hidden="1"/>
    </xf>
    <xf numFmtId="1" fontId="22" fillId="7" borderId="37" xfId="0" applyNumberFormat="1" applyFont="1" applyFill="1" applyBorder="1" applyAlignment="1" applyProtection="1">
      <alignment horizontal="center"/>
      <protection hidden="1"/>
    </xf>
    <xf numFmtId="1" fontId="22" fillId="7" borderId="11" xfId="0" applyNumberFormat="1" applyFont="1" applyFill="1" applyBorder="1" applyAlignment="1" applyProtection="1">
      <alignment horizontal="center"/>
      <protection hidden="1"/>
    </xf>
    <xf numFmtId="1" fontId="22" fillId="7" borderId="52" xfId="0" applyNumberFormat="1" applyFont="1" applyFill="1" applyBorder="1" applyAlignment="1" applyProtection="1">
      <alignment horizontal="center"/>
      <protection hidden="1"/>
    </xf>
    <xf numFmtId="1" fontId="22" fillId="7" borderId="115" xfId="0" applyNumberFormat="1" applyFont="1" applyFill="1" applyBorder="1" applyAlignment="1" applyProtection="1">
      <alignment horizontal="center"/>
      <protection hidden="1"/>
    </xf>
    <xf numFmtId="1" fontId="22" fillId="0" borderId="11" xfId="0" applyNumberFormat="1" applyFont="1" applyFill="1" applyBorder="1" applyAlignment="1" applyProtection="1">
      <alignment horizontal="center"/>
      <protection hidden="1"/>
    </xf>
    <xf numFmtId="167" fontId="22" fillId="0" borderId="22" xfId="0" applyNumberFormat="1" applyFont="1" applyFill="1" applyBorder="1" applyProtection="1">
      <protection hidden="1"/>
    </xf>
    <xf numFmtId="167" fontId="22" fillId="0" borderId="1" xfId="0" applyNumberFormat="1" applyFont="1" applyFill="1" applyBorder="1" applyProtection="1">
      <protection hidden="1"/>
    </xf>
    <xf numFmtId="167" fontId="22" fillId="7" borderId="1" xfId="0" applyNumberFormat="1" applyFont="1" applyFill="1" applyBorder="1" applyProtection="1">
      <protection hidden="1"/>
    </xf>
    <xf numFmtId="167" fontId="22" fillId="7" borderId="34" xfId="0" applyNumberFormat="1" applyFont="1" applyFill="1" applyBorder="1" applyProtection="1">
      <protection hidden="1"/>
    </xf>
    <xf numFmtId="1" fontId="22" fillId="7" borderId="30" xfId="0" applyNumberFormat="1" applyFont="1" applyFill="1" applyBorder="1" applyProtection="1">
      <protection hidden="1"/>
    </xf>
    <xf numFmtId="1" fontId="22" fillId="7" borderId="1" xfId="0" applyNumberFormat="1" applyFont="1" applyFill="1" applyBorder="1" applyProtection="1">
      <protection hidden="1"/>
    </xf>
    <xf numFmtId="1" fontId="22" fillId="7" borderId="19" xfId="0" applyNumberFormat="1" applyFont="1" applyFill="1" applyBorder="1" applyProtection="1">
      <protection hidden="1"/>
    </xf>
    <xf numFmtId="1" fontId="22" fillId="0" borderId="52" xfId="0" applyNumberFormat="1" applyFont="1" applyFill="1" applyBorder="1" applyAlignment="1" applyProtection="1">
      <alignment horizontal="center"/>
      <protection hidden="1"/>
    </xf>
    <xf numFmtId="1" fontId="22" fillId="7" borderId="119" xfId="0" applyNumberFormat="1" applyFont="1" applyFill="1" applyBorder="1" applyProtection="1">
      <protection hidden="1"/>
    </xf>
    <xf numFmtId="1" fontId="22" fillId="0" borderId="1" xfId="0" applyNumberFormat="1" applyFont="1" applyFill="1" applyBorder="1" applyProtection="1">
      <protection hidden="1"/>
    </xf>
    <xf numFmtId="1" fontId="22" fillId="0" borderId="19" xfId="0" applyNumberFormat="1" applyFont="1" applyFill="1" applyBorder="1" applyProtection="1">
      <protection hidden="1"/>
    </xf>
    <xf numFmtId="167" fontId="22" fillId="0" borderId="94" xfId="0" applyNumberFormat="1" applyFont="1" applyFill="1" applyBorder="1" applyProtection="1">
      <protection hidden="1"/>
    </xf>
    <xf numFmtId="167" fontId="22" fillId="0" borderId="16" xfId="0" applyNumberFormat="1" applyFont="1" applyFill="1" applyBorder="1" applyProtection="1">
      <protection hidden="1"/>
    </xf>
    <xf numFmtId="167" fontId="22" fillId="7" borderId="16" xfId="0" applyNumberFormat="1" applyFont="1" applyFill="1" applyBorder="1" applyProtection="1">
      <protection hidden="1"/>
    </xf>
    <xf numFmtId="167" fontId="22" fillId="7" borderId="95" xfId="0" applyNumberFormat="1" applyFont="1" applyFill="1" applyBorder="1" applyProtection="1">
      <protection hidden="1"/>
    </xf>
    <xf numFmtId="1" fontId="22" fillId="7" borderId="0" xfId="0" applyNumberFormat="1" applyFont="1" applyFill="1" applyBorder="1" applyProtection="1">
      <protection hidden="1"/>
    </xf>
    <xf numFmtId="167" fontId="22" fillId="0" borderId="89" xfId="0" applyNumberFormat="1" applyFont="1" applyFill="1" applyBorder="1" applyAlignment="1" applyProtection="1">
      <alignment horizontal="right"/>
      <protection hidden="1"/>
    </xf>
    <xf numFmtId="167" fontId="22" fillId="0" borderId="43" xfId="0" applyNumberFormat="1" applyFont="1" applyFill="1" applyBorder="1" applyAlignment="1" applyProtection="1">
      <alignment horizontal="right"/>
      <protection hidden="1"/>
    </xf>
    <xf numFmtId="167" fontId="22" fillId="7" borderId="43" xfId="0" applyNumberFormat="1" applyFont="1" applyFill="1" applyBorder="1" applyAlignment="1" applyProtection="1">
      <alignment horizontal="right"/>
      <protection hidden="1"/>
    </xf>
    <xf numFmtId="167" fontId="22" fillId="7" borderId="90" xfId="0" applyNumberFormat="1" applyFont="1" applyFill="1" applyBorder="1" applyAlignment="1" applyProtection="1">
      <alignment horizontal="right"/>
      <protection hidden="1"/>
    </xf>
    <xf numFmtId="1" fontId="22" fillId="7" borderId="37" xfId="0" applyNumberFormat="1" applyFont="1" applyFill="1" applyBorder="1" applyProtection="1">
      <protection hidden="1"/>
    </xf>
    <xf numFmtId="1" fontId="22" fillId="7" borderId="11" xfId="0" applyNumberFormat="1" applyFont="1" applyFill="1" applyBorder="1" applyProtection="1">
      <protection hidden="1"/>
    </xf>
    <xf numFmtId="1" fontId="22" fillId="7" borderId="52" xfId="0" applyNumberFormat="1" applyFont="1" applyFill="1" applyBorder="1" applyProtection="1">
      <protection hidden="1"/>
    </xf>
    <xf numFmtId="1" fontId="22" fillId="7" borderId="115" xfId="0" applyNumberFormat="1" applyFont="1" applyFill="1" applyBorder="1" applyProtection="1">
      <protection hidden="1"/>
    </xf>
    <xf numFmtId="1" fontId="22" fillId="0" borderId="11" xfId="0" applyNumberFormat="1" applyFont="1" applyFill="1" applyBorder="1" applyProtection="1">
      <protection hidden="1"/>
    </xf>
    <xf numFmtId="167" fontId="22" fillId="0" borderId="9" xfId="0" applyNumberFormat="1" applyFont="1" applyFill="1" applyBorder="1" applyAlignment="1" applyProtection="1">
      <alignment horizontal="right"/>
      <protection hidden="1"/>
    </xf>
    <xf numFmtId="167" fontId="22" fillId="0" borderId="32" xfId="0" applyNumberFormat="1" applyFont="1" applyFill="1" applyBorder="1" applyAlignment="1" applyProtection="1">
      <alignment horizontal="right"/>
      <protection hidden="1"/>
    </xf>
    <xf numFmtId="167" fontId="22" fillId="7" borderId="9" xfId="0" applyNumberFormat="1" applyFont="1" applyFill="1" applyBorder="1" applyAlignment="1" applyProtection="1">
      <alignment horizontal="right"/>
      <protection hidden="1"/>
    </xf>
    <xf numFmtId="167" fontId="22" fillId="7" borderId="36" xfId="0" applyNumberFormat="1" applyFont="1" applyFill="1" applyBorder="1" applyAlignment="1" applyProtection="1">
      <alignment horizontal="right"/>
      <protection hidden="1"/>
    </xf>
    <xf numFmtId="1" fontId="22" fillId="7" borderId="88" xfId="0" applyNumberFormat="1" applyFont="1" applyFill="1" applyBorder="1" applyAlignment="1" applyProtection="1">
      <alignment vertical="center"/>
      <protection hidden="1"/>
    </xf>
    <xf numFmtId="1" fontId="22" fillId="7" borderId="40" xfId="0" applyNumberFormat="1" applyFont="1" applyFill="1" applyBorder="1" applyProtection="1">
      <protection hidden="1"/>
    </xf>
    <xf numFmtId="1" fontId="22" fillId="7" borderId="118" xfId="0" applyNumberFormat="1" applyFont="1" applyFill="1" applyBorder="1" applyProtection="1">
      <protection hidden="1"/>
    </xf>
    <xf numFmtId="1" fontId="22" fillId="7" borderId="120" xfId="0" applyNumberFormat="1" applyFont="1" applyFill="1" applyBorder="1" applyAlignment="1" applyProtection="1">
      <alignment vertical="center"/>
      <protection hidden="1"/>
    </xf>
    <xf numFmtId="1" fontId="22" fillId="0" borderId="40" xfId="0" applyNumberFormat="1" applyFont="1" applyFill="1" applyBorder="1" applyProtection="1">
      <protection hidden="1"/>
    </xf>
    <xf numFmtId="1" fontId="22" fillId="7" borderId="64" xfId="0" applyNumberFormat="1" applyFont="1" applyFill="1" applyBorder="1" applyProtection="1">
      <protection hidden="1"/>
    </xf>
    <xf numFmtId="1" fontId="22" fillId="7" borderId="112" xfId="0" applyNumberFormat="1" applyFont="1" applyFill="1" applyBorder="1" applyProtection="1">
      <protection hidden="1"/>
    </xf>
    <xf numFmtId="1" fontId="22" fillId="7" borderId="0" xfId="0" applyNumberFormat="1" applyFont="1" applyFill="1" applyProtection="1">
      <protection hidden="1"/>
    </xf>
    <xf numFmtId="0" fontId="52" fillId="7" borderId="0" xfId="0" applyFont="1" applyFill="1" applyProtection="1">
      <protection hidden="1"/>
    </xf>
    <xf numFmtId="1" fontId="22" fillId="7" borderId="121" xfId="0" applyNumberFormat="1" applyFont="1" applyFill="1" applyBorder="1" applyProtection="1">
      <protection hidden="1"/>
    </xf>
    <xf numFmtId="1" fontId="22" fillId="0" borderId="64" xfId="0" applyNumberFormat="1" applyFont="1" applyFill="1" applyBorder="1" applyProtection="1">
      <protection hidden="1"/>
    </xf>
    <xf numFmtId="1" fontId="22" fillId="0" borderId="63" xfId="0" applyNumberFormat="1" applyFont="1" applyFill="1" applyBorder="1" applyProtection="1">
      <protection hidden="1"/>
    </xf>
    <xf numFmtId="0" fontId="34" fillId="6" borderId="11" xfId="0" applyFont="1" applyFill="1" applyBorder="1" applyAlignment="1" applyProtection="1">
      <alignment horizontal="center" vertical="center"/>
      <protection hidden="1"/>
    </xf>
    <xf numFmtId="0" fontId="34" fillId="7" borderId="11" xfId="0" applyFont="1" applyFill="1" applyBorder="1" applyAlignment="1" applyProtection="1">
      <alignment horizontal="center" vertical="center"/>
      <protection hidden="1"/>
    </xf>
    <xf numFmtId="3" fontId="22" fillId="0" borderId="11" xfId="0" applyNumberFormat="1" applyFont="1" applyFill="1" applyBorder="1" applyProtection="1">
      <protection hidden="1"/>
    </xf>
    <xf numFmtId="3" fontId="22" fillId="7" borderId="11" xfId="0" applyNumberFormat="1" applyFont="1" applyFill="1" applyBorder="1" applyProtection="1">
      <protection hidden="1"/>
    </xf>
    <xf numFmtId="167" fontId="22" fillId="0" borderId="0" xfId="0" applyNumberFormat="1" applyFont="1" applyFill="1" applyBorder="1" applyAlignment="1" applyProtection="1">
      <alignment vertical="center"/>
      <protection hidden="1"/>
    </xf>
    <xf numFmtId="3" fontId="34" fillId="6" borderId="11" xfId="0" applyNumberFormat="1" applyFont="1" applyFill="1" applyBorder="1" applyAlignment="1" applyProtection="1">
      <alignment horizontal="right" vertical="center"/>
      <protection hidden="1"/>
    </xf>
    <xf numFmtId="3" fontId="34" fillId="7" borderId="11" xfId="0" applyNumberFormat="1" applyFont="1" applyFill="1" applyBorder="1" applyAlignment="1" applyProtection="1">
      <alignment horizontal="right" vertical="center"/>
      <protection hidden="1"/>
    </xf>
    <xf numFmtId="3" fontId="34" fillId="7" borderId="53" xfId="0" applyNumberFormat="1" applyFont="1" applyFill="1" applyBorder="1" applyAlignment="1" applyProtection="1">
      <alignment horizontal="right" vertical="center"/>
      <protection hidden="1"/>
    </xf>
    <xf numFmtId="0" fontId="22" fillId="7" borderId="0" xfId="0" applyFont="1" applyFill="1" applyBorder="1" applyAlignment="1" applyProtection="1">
      <protection hidden="1"/>
    </xf>
    <xf numFmtId="0" fontId="22" fillId="7" borderId="0" xfId="0" applyFont="1" applyFill="1" applyBorder="1" applyAlignment="1" applyProtection="1">
      <alignment vertical="center"/>
      <protection hidden="1"/>
    </xf>
    <xf numFmtId="167" fontId="22" fillId="7" borderId="0" xfId="0" applyNumberFormat="1" applyFont="1" applyFill="1" applyBorder="1" applyProtection="1">
      <protection hidden="1"/>
    </xf>
    <xf numFmtId="0" fontId="52" fillId="7" borderId="0" xfId="0" applyFont="1" applyFill="1" applyBorder="1" applyAlignment="1" applyProtection="1">
      <protection hidden="1"/>
    </xf>
    <xf numFmtId="167" fontId="22" fillId="0" borderId="0" xfId="0" applyNumberFormat="1" applyFont="1" applyFill="1" applyProtection="1">
      <protection hidden="1"/>
    </xf>
    <xf numFmtId="0" fontId="22" fillId="8" borderId="11" xfId="0" applyFont="1" applyFill="1" applyBorder="1" applyProtection="1">
      <protection hidden="1"/>
    </xf>
    <xf numFmtId="0" fontId="22" fillId="0" borderId="0" xfId="0" applyFont="1" applyFill="1" applyBorder="1" applyAlignment="1" applyProtection="1">
      <protection hidden="1"/>
    </xf>
    <xf numFmtId="0" fontId="22" fillId="7" borderId="0" xfId="0" quotePrefix="1" applyFont="1" applyFill="1" applyProtection="1">
      <protection hidden="1"/>
    </xf>
    <xf numFmtId="0" fontId="34" fillId="0" borderId="0" xfId="9" applyFont="1" applyFill="1" applyBorder="1" applyAlignment="1" applyProtection="1">
      <alignment vertical="top"/>
    </xf>
    <xf numFmtId="0" fontId="42" fillId="0" borderId="0" xfId="0" applyFont="1" applyFill="1" applyBorder="1" applyAlignment="1" applyProtection="1">
      <alignment vertical="top"/>
    </xf>
    <xf numFmtId="0" fontId="42" fillId="0" borderId="0" xfId="0" applyFont="1" applyFill="1" applyAlignment="1" applyProtection="1">
      <alignment vertical="top"/>
    </xf>
    <xf numFmtId="0" fontId="42" fillId="0" borderId="0" xfId="0" applyFont="1" applyFill="1" applyBorder="1" applyAlignment="1" applyProtection="1">
      <alignment vertical="center"/>
    </xf>
    <xf numFmtId="0" fontId="50" fillId="0" borderId="0" xfId="0" applyFont="1" applyFill="1" applyBorder="1" applyAlignment="1" applyProtection="1">
      <alignment horizontal="left" vertical="top"/>
    </xf>
    <xf numFmtId="0" fontId="34" fillId="0" borderId="0" xfId="8" applyFont="1" applyFill="1" applyBorder="1" applyAlignment="1" applyProtection="1">
      <alignment vertical="top"/>
      <protection locked="0"/>
    </xf>
    <xf numFmtId="0" fontId="34" fillId="0" borderId="0" xfId="0" applyFont="1" applyFill="1" applyAlignment="1" applyProtection="1">
      <alignment horizontal="center" vertical="center"/>
    </xf>
    <xf numFmtId="0" fontId="38" fillId="7" borderId="0" xfId="0" applyNumberFormat="1" applyFont="1" applyFill="1" applyBorder="1" applyAlignment="1" applyProtection="1">
      <alignment horizontal="center"/>
    </xf>
    <xf numFmtId="0" fontId="31" fillId="7" borderId="0" xfId="0" applyFont="1" applyFill="1" applyAlignment="1" applyProtection="1">
      <alignment horizontal="left" vertical="center"/>
    </xf>
    <xf numFmtId="0" fontId="25" fillId="7" borderId="0" xfId="0" applyFont="1" applyFill="1" applyAlignment="1" applyProtection="1">
      <alignment vertical="center"/>
    </xf>
    <xf numFmtId="3" fontId="34" fillId="7" borderId="0" xfId="0" applyNumberFormat="1" applyFont="1" applyFill="1" applyAlignment="1" applyProtection="1">
      <alignment horizontal="right" vertical="center"/>
    </xf>
    <xf numFmtId="3" fontId="65" fillId="7" borderId="0" xfId="1" applyNumberFormat="1" applyFont="1" applyFill="1" applyAlignment="1" applyProtection="1">
      <alignment horizontal="right" vertical="center"/>
    </xf>
    <xf numFmtId="3" fontId="28" fillId="14" borderId="0" xfId="0" applyNumberFormat="1" applyFont="1" applyFill="1" applyAlignment="1" applyProtection="1">
      <alignment horizontal="right" vertical="center" indent="1"/>
    </xf>
    <xf numFmtId="3" fontId="30" fillId="14" borderId="0" xfId="0" applyNumberFormat="1" applyFont="1" applyFill="1" applyAlignment="1" applyProtection="1">
      <alignment horizontal="right" vertical="center" indent="1"/>
    </xf>
    <xf numFmtId="170" fontId="5" fillId="14" borderId="132" xfId="0" applyNumberFormat="1" applyFont="1" applyFill="1" applyBorder="1" applyAlignment="1" applyProtection="1">
      <alignment horizontal="center" vertical="center"/>
      <protection locked="0"/>
    </xf>
    <xf numFmtId="3" fontId="30" fillId="14" borderId="0" xfId="0" applyNumberFormat="1" applyFont="1" applyFill="1" applyAlignment="1" applyProtection="1">
      <alignment horizontal="left" vertical="center" indent="1"/>
    </xf>
    <xf numFmtId="0" fontId="28" fillId="14" borderId="0" xfId="0" applyFont="1" applyFill="1" applyAlignment="1" applyProtection="1">
      <alignment vertical="center"/>
    </xf>
    <xf numFmtId="0" fontId="47" fillId="14" borderId="0" xfId="0" applyFont="1" applyFill="1" applyAlignment="1" applyProtection="1">
      <alignment horizontal="right" vertical="center" indent="1"/>
    </xf>
    <xf numFmtId="170" fontId="47" fillId="7" borderId="0" xfId="0" applyNumberFormat="1" applyFont="1" applyFill="1" applyAlignment="1" applyProtection="1">
      <alignment horizontal="right" indent="1"/>
    </xf>
    <xf numFmtId="9" fontId="34" fillId="7" borderId="0" xfId="0" applyNumberFormat="1" applyFont="1" applyFill="1" applyAlignment="1" applyProtection="1">
      <alignment vertical="top"/>
    </xf>
    <xf numFmtId="3" fontId="22" fillId="7" borderId="0" xfId="0" applyNumberFormat="1" applyFont="1" applyFill="1" applyAlignment="1" applyProtection="1">
      <alignment horizontal="right" vertical="top"/>
    </xf>
    <xf numFmtId="3" fontId="45" fillId="7" borderId="0" xfId="1" applyNumberFormat="1" applyFont="1" applyFill="1" applyAlignment="1" applyProtection="1">
      <alignment horizontal="right" vertical="top"/>
    </xf>
    <xf numFmtId="3" fontId="22" fillId="7" borderId="0" xfId="0" applyNumberFormat="1" applyFont="1" applyFill="1" applyAlignment="1" applyProtection="1">
      <alignment horizontal="left" vertical="top"/>
    </xf>
    <xf numFmtId="3" fontId="22" fillId="7" borderId="0" xfId="0" applyNumberFormat="1" applyFont="1" applyFill="1" applyAlignment="1" applyProtection="1">
      <alignment horizontal="right" vertical="center"/>
    </xf>
    <xf numFmtId="3" fontId="34" fillId="7" borderId="0" xfId="3" applyNumberFormat="1" applyFont="1" applyFill="1" applyAlignment="1" applyProtection="1">
      <alignment horizontal="right" vertical="center"/>
    </xf>
    <xf numFmtId="0" fontId="43" fillId="7" borderId="0" xfId="0" applyFont="1" applyFill="1" applyAlignment="1" applyProtection="1">
      <alignment vertical="center"/>
    </xf>
    <xf numFmtId="0" fontId="22" fillId="7" borderId="0" xfId="0" applyFont="1" applyFill="1" applyBorder="1" applyAlignment="1" applyProtection="1">
      <alignment horizontal="right" vertical="center"/>
      <protection hidden="1"/>
    </xf>
    <xf numFmtId="3" fontId="34" fillId="0" borderId="0" xfId="0" applyNumberFormat="1" applyFont="1" applyFill="1" applyBorder="1" applyAlignment="1" applyProtection="1">
      <alignment vertical="center"/>
    </xf>
    <xf numFmtId="0" fontId="8" fillId="9" borderId="71" xfId="0" applyFont="1" applyFill="1" applyBorder="1" applyAlignment="1" applyProtection="1">
      <alignment horizontal="center" vertical="center"/>
    </xf>
    <xf numFmtId="0" fontId="8" fillId="9" borderId="71" xfId="0" applyFont="1" applyFill="1" applyBorder="1" applyAlignment="1" applyProtection="1">
      <alignment horizontal="left" vertical="center"/>
    </xf>
    <xf numFmtId="3" fontId="8" fillId="9" borderId="64" xfId="0" applyNumberFormat="1" applyFont="1" applyFill="1" applyBorder="1" applyAlignment="1" applyProtection="1">
      <alignment horizontal="center" vertical="center"/>
    </xf>
    <xf numFmtId="3" fontId="8" fillId="9" borderId="63" xfId="0" applyNumberFormat="1" applyFont="1" applyFill="1" applyBorder="1" applyAlignment="1" applyProtection="1">
      <alignment horizontal="center" vertical="center"/>
    </xf>
    <xf numFmtId="0" fontId="8" fillId="9" borderId="53" xfId="0" applyFont="1" applyFill="1" applyBorder="1" applyAlignment="1" applyProtection="1">
      <alignment horizontal="center" vertical="center"/>
    </xf>
    <xf numFmtId="0" fontId="9" fillId="0" borderId="0" xfId="0" applyFont="1" applyFill="1" applyAlignment="1" applyProtection="1">
      <alignment vertical="center"/>
    </xf>
    <xf numFmtId="0" fontId="22" fillId="0" borderId="41" xfId="0" applyNumberFormat="1" applyFont="1" applyFill="1" applyBorder="1" applyAlignment="1" applyProtection="1">
      <alignment horizontal="center" vertical="center"/>
    </xf>
    <xf numFmtId="0" fontId="22" fillId="0" borderId="38" xfId="0" applyFont="1" applyFill="1" applyBorder="1" applyAlignment="1" applyProtection="1">
      <alignment vertical="center"/>
    </xf>
    <xf numFmtId="0" fontId="22" fillId="0" borderId="38" xfId="0" applyFont="1" applyFill="1" applyBorder="1" applyAlignment="1" applyProtection="1">
      <alignment horizontal="left" vertical="center"/>
    </xf>
    <xf numFmtId="0" fontId="22" fillId="0" borderId="55" xfId="0" applyNumberFormat="1" applyFont="1" applyFill="1" applyBorder="1" applyAlignment="1" applyProtection="1">
      <alignment horizontal="center" vertical="center"/>
    </xf>
    <xf numFmtId="0" fontId="38" fillId="0" borderId="55" xfId="0" applyNumberFormat="1" applyFont="1" applyFill="1" applyBorder="1" applyAlignment="1" applyProtection="1">
      <alignment vertical="center"/>
    </xf>
    <xf numFmtId="49" fontId="22" fillId="0" borderId="41" xfId="0" applyNumberFormat="1" applyFont="1" applyFill="1" applyBorder="1" applyAlignment="1" applyProtection="1">
      <alignment horizontal="center" vertical="center"/>
    </xf>
    <xf numFmtId="49" fontId="22" fillId="0" borderId="58" xfId="0" applyNumberFormat="1" applyFont="1" applyFill="1" applyBorder="1" applyAlignment="1" applyProtection="1">
      <alignment horizontal="center" vertical="center"/>
    </xf>
    <xf numFmtId="0" fontId="38" fillId="0" borderId="38" xfId="0" applyFont="1" applyFill="1" applyBorder="1" applyAlignment="1" applyProtection="1">
      <alignment vertical="center"/>
    </xf>
    <xf numFmtId="49" fontId="22" fillId="0" borderId="12" xfId="0" applyNumberFormat="1" applyFont="1" applyFill="1" applyBorder="1" applyAlignment="1" applyProtection="1">
      <alignment horizontal="center" vertical="center"/>
    </xf>
    <xf numFmtId="3" fontId="43" fillId="7" borderId="0" xfId="0" applyNumberFormat="1" applyFont="1" applyFill="1" applyAlignment="1" applyProtection="1">
      <alignment horizontal="right" vertical="center"/>
      <protection hidden="1"/>
    </xf>
    <xf numFmtId="3" fontId="66" fillId="7" borderId="0" xfId="0" applyNumberFormat="1" applyFont="1" applyFill="1" applyAlignment="1" applyProtection="1">
      <alignment horizontal="center" vertical="center"/>
      <protection hidden="1"/>
    </xf>
    <xf numFmtId="3" fontId="67" fillId="7" borderId="0" xfId="0" applyNumberFormat="1" applyFont="1" applyFill="1" applyAlignment="1" applyProtection="1">
      <alignment horizontal="center" vertical="center"/>
    </xf>
    <xf numFmtId="0" fontId="34" fillId="7" borderId="0" xfId="0" applyFont="1" applyFill="1" applyAlignment="1" applyProtection="1">
      <alignment horizontal="left" vertical="center"/>
    </xf>
    <xf numFmtId="3" fontId="64" fillId="7" borderId="0" xfId="0" applyNumberFormat="1" applyFont="1" applyFill="1" applyAlignment="1" applyProtection="1">
      <alignment horizontal="center" vertical="center"/>
    </xf>
    <xf numFmtId="1" fontId="8" fillId="9" borderId="64" xfId="0" applyNumberFormat="1" applyFont="1" applyFill="1" applyBorder="1" applyAlignment="1" applyProtection="1">
      <alignment horizontal="center" vertical="center"/>
    </xf>
    <xf numFmtId="1" fontId="8" fillId="9" borderId="63" xfId="0" applyNumberFormat="1" applyFont="1" applyFill="1" applyBorder="1" applyAlignment="1" applyProtection="1">
      <alignment horizontal="center" vertical="center"/>
    </xf>
    <xf numFmtId="3" fontId="9" fillId="7" borderId="38" xfId="0" applyNumberFormat="1" applyFont="1" applyFill="1" applyBorder="1" applyAlignment="1" applyProtection="1">
      <alignment horizontal="right" vertical="center"/>
    </xf>
    <xf numFmtId="3" fontId="9" fillId="7" borderId="0" xfId="0" applyNumberFormat="1" applyFont="1" applyFill="1" applyAlignment="1" applyProtection="1">
      <alignment horizontal="right" vertical="center"/>
    </xf>
    <xf numFmtId="3" fontId="9" fillId="0" borderId="0" xfId="0" applyNumberFormat="1" applyFont="1" applyFill="1" applyAlignment="1" applyProtection="1">
      <alignment horizontal="right" vertical="center"/>
    </xf>
    <xf numFmtId="3" fontId="8" fillId="7" borderId="0" xfId="0" applyNumberFormat="1" applyFont="1" applyFill="1" applyAlignment="1" applyProtection="1">
      <alignment horizontal="center" vertical="center"/>
    </xf>
    <xf numFmtId="3" fontId="22" fillId="7" borderId="38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Border="1" applyAlignment="1" applyProtection="1">
      <alignment horizontal="left" vertical="top"/>
      <protection locked="0"/>
    </xf>
    <xf numFmtId="3" fontId="22" fillId="0" borderId="0" xfId="0" applyNumberFormat="1" applyFont="1" applyFill="1" applyAlignment="1" applyProtection="1">
      <alignment horizontal="right" vertical="center"/>
    </xf>
    <xf numFmtId="0" fontId="5" fillId="7" borderId="0" xfId="0" applyFont="1" applyFill="1" applyBorder="1" applyAlignment="1" applyProtection="1">
      <alignment horizontal="center" vertical="top"/>
      <protection locked="0"/>
    </xf>
    <xf numFmtId="3" fontId="5" fillId="0" borderId="0" xfId="0" applyNumberFormat="1" applyFont="1" applyFill="1" applyAlignment="1" applyProtection="1">
      <alignment horizontal="center" vertical="center"/>
    </xf>
    <xf numFmtId="3" fontId="22" fillId="0" borderId="0" xfId="0" applyNumberFormat="1" applyFont="1" applyFill="1" applyAlignment="1" applyProtection="1">
      <alignment horizontal="center" vertical="center"/>
    </xf>
    <xf numFmtId="0" fontId="22" fillId="7" borderId="0" xfId="0" applyFont="1" applyFill="1" applyBorder="1" applyAlignment="1" applyProtection="1">
      <alignment horizontal="center" vertical="top"/>
      <protection locked="0"/>
    </xf>
    <xf numFmtId="0" fontId="22" fillId="7" borderId="0" xfId="0" applyFont="1" applyFill="1" applyBorder="1" applyAlignment="1">
      <alignment horizontal="left" vertical="top"/>
    </xf>
    <xf numFmtId="3" fontId="43" fillId="7" borderId="0" xfId="0" applyNumberFormat="1" applyFont="1" applyFill="1" applyAlignment="1" applyProtection="1">
      <alignment horizontal="right" vertical="center"/>
    </xf>
    <xf numFmtId="0" fontId="43" fillId="0" borderId="0" xfId="0" applyFont="1" applyFill="1" applyAlignment="1" applyProtection="1">
      <alignment vertical="center"/>
    </xf>
    <xf numFmtId="3" fontId="34" fillId="7" borderId="0" xfId="0" applyNumberFormat="1" applyFont="1" applyFill="1" applyBorder="1" applyAlignment="1" applyProtection="1">
      <alignment horizontal="right" vertical="center"/>
    </xf>
    <xf numFmtId="174" fontId="42" fillId="7" borderId="0" xfId="4" applyNumberFormat="1" applyFont="1" applyFill="1" applyBorder="1" applyAlignment="1" applyProtection="1">
      <alignment horizontal="center" vertical="center"/>
    </xf>
    <xf numFmtId="3" fontId="42" fillId="7" borderId="0" xfId="0" applyNumberFormat="1" applyFont="1" applyFill="1" applyBorder="1" applyAlignment="1" applyProtection="1">
      <alignment horizontal="center" vertical="center"/>
    </xf>
    <xf numFmtId="3" fontId="34" fillId="7" borderId="0" xfId="0" applyNumberFormat="1" applyFont="1" applyFill="1" applyBorder="1" applyAlignment="1" applyProtection="1">
      <alignment horizontal="right" vertical="center" indent="1"/>
    </xf>
    <xf numFmtId="3" fontId="22" fillId="7" borderId="0" xfId="0" applyNumberFormat="1" applyFont="1" applyFill="1" applyBorder="1" applyAlignment="1" applyProtection="1">
      <alignment horizontal="right" vertical="center"/>
    </xf>
    <xf numFmtId="3" fontId="22" fillId="7" borderId="0" xfId="0" applyNumberFormat="1" applyFont="1" applyFill="1" applyAlignment="1" applyProtection="1">
      <alignment vertical="center"/>
      <protection locked="0"/>
    </xf>
    <xf numFmtId="1" fontId="45" fillId="7" borderId="0" xfId="1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/>
      <protection hidden="1"/>
    </xf>
    <xf numFmtId="1" fontId="22" fillId="7" borderId="0" xfId="0" applyNumberFormat="1" applyFont="1" applyFill="1" applyAlignment="1" applyProtection="1">
      <alignment horizontal="left" indent="1"/>
      <protection locked="0"/>
    </xf>
    <xf numFmtId="0" fontId="22" fillId="7" borderId="0" xfId="0" applyFont="1" applyFill="1" applyAlignment="1" applyProtection="1">
      <alignment horizontal="left"/>
      <protection hidden="1"/>
    </xf>
    <xf numFmtId="0" fontId="35" fillId="7" borderId="0" xfId="0" applyFont="1" applyFill="1" applyAlignment="1" applyProtection="1">
      <alignment horizontal="left"/>
      <protection locked="0"/>
    </xf>
    <xf numFmtId="0" fontId="68" fillId="7" borderId="0" xfId="0" applyFont="1" applyFill="1" applyProtection="1"/>
    <xf numFmtId="1" fontId="28" fillId="7" borderId="0" xfId="0" applyNumberFormat="1" applyFont="1" applyFill="1" applyAlignment="1" applyProtection="1">
      <alignment horizontal="right" indent="1"/>
    </xf>
    <xf numFmtId="1" fontId="28" fillId="7" borderId="0" xfId="0" applyNumberFormat="1" applyFont="1" applyFill="1" applyAlignment="1" applyProtection="1">
      <alignment horizontal="left" indent="1"/>
    </xf>
    <xf numFmtId="0" fontId="28" fillId="7" borderId="0" xfId="0" applyFont="1" applyFill="1" applyAlignment="1" applyProtection="1">
      <alignment horizontal="left"/>
      <protection hidden="1"/>
    </xf>
    <xf numFmtId="0" fontId="68" fillId="0" borderId="0" xfId="0" applyFont="1" applyFill="1" applyProtection="1"/>
    <xf numFmtId="0" fontId="28" fillId="7" borderId="0" xfId="0" applyFont="1" applyFill="1" applyBorder="1" applyProtection="1"/>
    <xf numFmtId="0" fontId="22" fillId="0" borderId="0" xfId="0" applyFont="1"/>
    <xf numFmtId="1" fontId="38" fillId="9" borderId="68" xfId="0" applyNumberFormat="1" applyFont="1" applyFill="1" applyBorder="1" applyAlignment="1" applyProtection="1">
      <alignment horizontal="center" vertical="center"/>
    </xf>
    <xf numFmtId="1" fontId="38" fillId="9" borderId="56" xfId="0" applyNumberFormat="1" applyFont="1" applyFill="1" applyBorder="1" applyAlignment="1" applyProtection="1">
      <alignment horizontal="center" vertical="center" wrapText="1"/>
    </xf>
    <xf numFmtId="1" fontId="38" fillId="9" borderId="68" xfId="3" applyNumberFormat="1" applyFont="1" applyFill="1" applyBorder="1" applyAlignment="1" applyProtection="1">
      <alignment horizontal="center" vertical="center" wrapText="1"/>
    </xf>
    <xf numFmtId="1" fontId="38" fillId="9" borderId="62" xfId="0" applyNumberFormat="1" applyFont="1" applyFill="1" applyBorder="1" applyAlignment="1" applyProtection="1">
      <alignment horizontal="center" vertical="center" wrapText="1"/>
    </xf>
    <xf numFmtId="1" fontId="38" fillId="9" borderId="63" xfId="0" applyNumberFormat="1" applyFont="1" applyFill="1" applyBorder="1" applyAlignment="1" applyProtection="1">
      <alignment horizontal="center" vertical="center" wrapText="1"/>
    </xf>
    <xf numFmtId="0" fontId="22" fillId="0" borderId="72" xfId="0" applyFont="1" applyFill="1" applyBorder="1" applyAlignment="1" applyProtection="1">
      <alignment horizontal="left" indent="1"/>
    </xf>
    <xf numFmtId="10" fontId="43" fillId="0" borderId="59" xfId="3" applyNumberFormat="1" applyFont="1" applyFill="1" applyBorder="1" applyAlignment="1" applyProtection="1">
      <alignment horizontal="center" wrapText="1"/>
    </xf>
    <xf numFmtId="10" fontId="43" fillId="0" borderId="60" xfId="3" applyNumberFormat="1" applyFont="1" applyFill="1" applyBorder="1" applyAlignment="1" applyProtection="1">
      <alignment horizontal="center" wrapText="1"/>
    </xf>
    <xf numFmtId="10" fontId="43" fillId="0" borderId="61" xfId="3" applyNumberFormat="1" applyFont="1" applyFill="1" applyBorder="1" applyAlignment="1" applyProtection="1">
      <alignment horizontal="center" wrapText="1"/>
    </xf>
    <xf numFmtId="0" fontId="22" fillId="7" borderId="0" xfId="0" applyFont="1" applyFill="1" applyAlignment="1" applyProtection="1">
      <alignment horizontal="left" vertical="center"/>
      <protection locked="0"/>
    </xf>
    <xf numFmtId="1" fontId="38" fillId="0" borderId="41" xfId="0" applyNumberFormat="1" applyFont="1" applyFill="1" applyBorder="1" applyAlignment="1" applyProtection="1">
      <alignment horizontal="center"/>
    </xf>
    <xf numFmtId="3" fontId="43" fillId="0" borderId="41" xfId="3" applyNumberFormat="1" applyFont="1" applyFill="1" applyBorder="1" applyAlignment="1" applyProtection="1">
      <alignment horizontal="right" wrapText="1" indent="1"/>
    </xf>
    <xf numFmtId="3" fontId="43" fillId="0" borderId="2" xfId="3" applyNumberFormat="1" applyFont="1" applyFill="1" applyBorder="1" applyAlignment="1" applyProtection="1">
      <alignment horizontal="right" wrapText="1" indent="1"/>
    </xf>
    <xf numFmtId="10" fontId="22" fillId="0" borderId="41" xfId="3" applyNumberFormat="1" applyFont="1" applyFill="1" applyBorder="1" applyAlignment="1" applyProtection="1">
      <alignment horizontal="right" indent="1"/>
    </xf>
    <xf numFmtId="3" fontId="22" fillId="0" borderId="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center"/>
    </xf>
    <xf numFmtId="3" fontId="22" fillId="0" borderId="41" xfId="0" applyNumberFormat="1" applyFont="1" applyFill="1" applyBorder="1" applyAlignment="1" applyProtection="1">
      <alignment horizontal="right" indent="1"/>
    </xf>
    <xf numFmtId="0" fontId="38" fillId="0" borderId="41" xfId="0" applyNumberFormat="1" applyFont="1" applyFill="1" applyBorder="1" applyAlignment="1" applyProtection="1">
      <alignment horizontal="center"/>
    </xf>
    <xf numFmtId="3" fontId="22" fillId="0" borderId="2" xfId="0" applyNumberFormat="1" applyFont="1" applyFill="1" applyBorder="1" applyAlignment="1" applyProtection="1">
      <alignment horizontal="right" indent="1"/>
    </xf>
    <xf numFmtId="10" fontId="22" fillId="0" borderId="41" xfId="3" applyNumberFormat="1" applyFont="1" applyFill="1" applyBorder="1" applyAlignment="1" applyProtection="1">
      <alignment horizontal="center"/>
    </xf>
    <xf numFmtId="1" fontId="22" fillId="0" borderId="1" xfId="3" applyNumberFormat="1" applyFont="1" applyFill="1" applyBorder="1" applyAlignment="1" applyProtection="1">
      <alignment horizontal="center"/>
      <protection locked="0"/>
    </xf>
    <xf numFmtId="1" fontId="22" fillId="0" borderId="41" xfId="0" applyNumberFormat="1" applyFont="1" applyFill="1" applyBorder="1" applyAlignment="1" applyProtection="1">
      <alignment horizontal="center"/>
    </xf>
    <xf numFmtId="0" fontId="38" fillId="0" borderId="72" xfId="0" applyFont="1" applyFill="1" applyBorder="1" applyAlignment="1" applyProtection="1">
      <alignment horizontal="left" indent="1"/>
    </xf>
    <xf numFmtId="16" fontId="22" fillId="0" borderId="38" xfId="0" quotePrefix="1" applyNumberFormat="1" applyFont="1" applyFill="1" applyBorder="1" applyAlignment="1" applyProtection="1">
      <alignment horizontal="center"/>
    </xf>
    <xf numFmtId="49" fontId="22" fillId="0" borderId="38" xfId="0" applyNumberFormat="1" applyFont="1" applyFill="1" applyBorder="1" applyAlignment="1" applyProtection="1">
      <alignment horizontal="center"/>
    </xf>
    <xf numFmtId="49" fontId="22" fillId="0" borderId="2" xfId="0" applyNumberFormat="1" applyFont="1" applyFill="1" applyBorder="1" applyAlignment="1" applyProtection="1">
      <alignment horizontal="left"/>
    </xf>
    <xf numFmtId="3" fontId="22" fillId="0" borderId="41" xfId="3" applyNumberFormat="1" applyFont="1" applyFill="1" applyBorder="1" applyAlignment="1" applyProtection="1">
      <alignment horizontal="right" indent="1"/>
    </xf>
    <xf numFmtId="3" fontId="22" fillId="0" borderId="17" xfId="0" applyNumberFormat="1" applyFont="1" applyFill="1" applyBorder="1" applyAlignment="1" applyProtection="1">
      <alignment horizontal="right" indent="1"/>
    </xf>
    <xf numFmtId="1" fontId="34" fillId="7" borderId="0" xfId="0" applyNumberFormat="1" applyFont="1" applyFill="1" applyAlignment="1" applyProtection="1">
      <alignment horizontal="left" indent="1"/>
      <protection locked="0"/>
    </xf>
    <xf numFmtId="49" fontId="22" fillId="0" borderId="140" xfId="0" applyNumberFormat="1" applyFont="1" applyFill="1" applyBorder="1" applyProtection="1"/>
    <xf numFmtId="49" fontId="22" fillId="0" borderId="4" xfId="0" applyNumberFormat="1" applyFont="1" applyFill="1" applyBorder="1" applyAlignment="1" applyProtection="1">
      <alignment horizontal="left"/>
    </xf>
    <xf numFmtId="3" fontId="22" fillId="0" borderId="8" xfId="0" applyNumberFormat="1" applyFont="1" applyFill="1" applyBorder="1" applyAlignment="1" applyProtection="1">
      <alignment horizontal="right"/>
    </xf>
    <xf numFmtId="49" fontId="22" fillId="0" borderId="50" xfId="0" applyNumberFormat="1" applyFont="1" applyFill="1" applyBorder="1" applyAlignment="1" applyProtection="1">
      <alignment horizontal="center"/>
    </xf>
    <xf numFmtId="49" fontId="22" fillId="0" borderId="17" xfId="0" applyNumberFormat="1" applyFont="1" applyFill="1" applyBorder="1" applyAlignment="1" applyProtection="1">
      <alignment horizontal="left"/>
    </xf>
    <xf numFmtId="3" fontId="22" fillId="0" borderId="44" xfId="0" applyNumberFormat="1" applyFont="1" applyFill="1" applyBorder="1" applyAlignment="1" applyProtection="1">
      <alignment horizontal="right"/>
    </xf>
    <xf numFmtId="49" fontId="22" fillId="0" borderId="111" xfId="0" applyNumberFormat="1" applyFont="1" applyFill="1" applyBorder="1" applyProtection="1"/>
    <xf numFmtId="49" fontId="22" fillId="0" borderId="48" xfId="0" applyNumberFormat="1" applyFont="1" applyFill="1" applyBorder="1" applyAlignment="1" applyProtection="1">
      <alignment horizontal="left"/>
    </xf>
    <xf numFmtId="3" fontId="22" fillId="0" borderId="47" xfId="0" applyNumberFormat="1" applyFont="1" applyFill="1" applyBorder="1" applyAlignment="1" applyProtection="1">
      <alignment horizontal="right" vertical="center"/>
    </xf>
    <xf numFmtId="0" fontId="22" fillId="7" borderId="0" xfId="0" applyFont="1" applyFill="1" applyAlignment="1" applyProtection="1">
      <alignment horizontal="left"/>
      <protection locked="0"/>
    </xf>
    <xf numFmtId="1" fontId="43" fillId="7" borderId="0" xfId="0" applyNumberFormat="1" applyFont="1" applyFill="1" applyAlignment="1" applyProtection="1">
      <alignment horizontal="right" indent="1"/>
    </xf>
    <xf numFmtId="1" fontId="22" fillId="7" borderId="0" xfId="0" applyNumberFormat="1" applyFont="1" applyFill="1" applyAlignment="1" applyProtection="1">
      <alignment horizontal="left"/>
      <protection locked="0"/>
    </xf>
    <xf numFmtId="0" fontId="38" fillId="9" borderId="67" xfId="0" applyFont="1" applyFill="1" applyBorder="1" applyAlignment="1" applyProtection="1">
      <alignment vertical="center"/>
    </xf>
    <xf numFmtId="1" fontId="38" fillId="9" borderId="71" xfId="0" applyNumberFormat="1" applyFont="1" applyFill="1" applyBorder="1" applyAlignment="1" applyProtection="1">
      <alignment horizontal="center" vertical="center"/>
    </xf>
    <xf numFmtId="0" fontId="22" fillId="0" borderId="38" xfId="0" applyFont="1" applyFill="1" applyBorder="1" applyProtection="1"/>
    <xf numFmtId="170" fontId="22" fillId="0" borderId="41" xfId="0" applyNumberFormat="1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right" vertical="center"/>
      <protection hidden="1"/>
    </xf>
    <xf numFmtId="0" fontId="22" fillId="0" borderId="0" xfId="0" applyFont="1" applyAlignment="1">
      <alignment vertical="center"/>
    </xf>
    <xf numFmtId="170" fontId="22" fillId="0" borderId="47" xfId="0" applyNumberFormat="1" applyFont="1" applyFill="1" applyBorder="1" applyAlignment="1" applyProtection="1">
      <alignment horizontal="right"/>
    </xf>
    <xf numFmtId="0" fontId="22" fillId="7" borderId="0" xfId="0" applyFont="1" applyFill="1" applyBorder="1" applyAlignment="1" applyProtection="1">
      <alignment horizontal="left"/>
    </xf>
    <xf numFmtId="171" fontId="22" fillId="7" borderId="0" xfId="0" applyNumberFormat="1" applyFont="1" applyFill="1" applyBorder="1" applyAlignment="1" applyProtection="1">
      <alignment horizontal="right" indent="1"/>
    </xf>
    <xf numFmtId="0" fontId="22" fillId="7" borderId="0" xfId="0" applyFont="1" applyFill="1" applyBorder="1" applyAlignment="1" applyProtection="1">
      <alignment horizontal="left"/>
      <protection hidden="1"/>
    </xf>
    <xf numFmtId="1" fontId="22" fillId="7" borderId="0" xfId="0" applyNumberFormat="1" applyFont="1" applyFill="1" applyBorder="1" applyAlignment="1" applyProtection="1">
      <alignment vertical="center"/>
      <protection hidden="1"/>
    </xf>
    <xf numFmtId="1" fontId="22" fillId="7" borderId="0" xfId="0" applyNumberFormat="1" applyFont="1" applyFill="1" applyBorder="1" applyAlignment="1" applyProtection="1">
      <alignment horizontal="left" vertical="center"/>
      <protection hidden="1"/>
    </xf>
    <xf numFmtId="1" fontId="22" fillId="7" borderId="0" xfId="0" applyNumberFormat="1" applyFont="1" applyFill="1" applyBorder="1" applyAlignment="1" applyProtection="1">
      <alignment horizontal="right" vertical="center"/>
      <protection hidden="1"/>
    </xf>
    <xf numFmtId="1" fontId="22" fillId="7" borderId="0" xfId="0" applyNumberFormat="1" applyFont="1" applyFill="1" applyAlignment="1" applyProtection="1">
      <alignment horizontal="left" vertical="center"/>
      <protection hidden="1"/>
    </xf>
    <xf numFmtId="0" fontId="22" fillId="7" borderId="0" xfId="0" applyFont="1" applyFill="1" applyAlignment="1">
      <alignment vertical="center"/>
    </xf>
    <xf numFmtId="1" fontId="34" fillId="7" borderId="0" xfId="0" applyNumberFormat="1" applyFont="1" applyFill="1" applyAlignment="1" applyProtection="1">
      <alignment horizontal="left" indent="1"/>
    </xf>
    <xf numFmtId="0" fontId="34" fillId="7" borderId="0" xfId="0" applyFont="1" applyFill="1" applyAlignment="1" applyProtection="1">
      <alignment horizontal="left"/>
    </xf>
    <xf numFmtId="9" fontId="22" fillId="7" borderId="0" xfId="3" applyFont="1" applyFill="1" applyBorder="1" applyAlignment="1" applyProtection="1">
      <alignment horizontal="center"/>
      <protection hidden="1"/>
    </xf>
    <xf numFmtId="1" fontId="34" fillId="7" borderId="0" xfId="0" applyNumberFormat="1" applyFont="1" applyFill="1" applyAlignment="1" applyProtection="1">
      <alignment horizontal="right" indent="1"/>
    </xf>
    <xf numFmtId="1" fontId="34" fillId="7" borderId="0" xfId="3" applyNumberFormat="1" applyFont="1" applyFill="1" applyAlignment="1" applyProtection="1">
      <alignment horizontal="right" indent="1"/>
    </xf>
    <xf numFmtId="1" fontId="34" fillId="7" borderId="0" xfId="0" applyNumberFormat="1" applyFont="1" applyFill="1" applyAlignment="1" applyProtection="1">
      <alignment horizontal="left"/>
      <protection hidden="1"/>
    </xf>
    <xf numFmtId="0" fontId="34" fillId="7" borderId="0" xfId="0" applyFont="1" applyFill="1" applyBorder="1" applyAlignment="1" applyProtection="1">
      <alignment horizontal="right"/>
      <protection hidden="1"/>
    </xf>
    <xf numFmtId="0" fontId="34" fillId="7" borderId="0" xfId="0" applyFont="1" applyFill="1"/>
    <xf numFmtId="1" fontId="34" fillId="7" borderId="0" xfId="0" applyNumberFormat="1" applyFont="1" applyFill="1" applyProtection="1"/>
    <xf numFmtId="1" fontId="22" fillId="7" borderId="0" xfId="0" applyNumberFormat="1" applyFont="1" applyFill="1" applyBorder="1" applyAlignment="1" applyProtection="1">
      <alignment horizontal="right" indent="1"/>
      <protection hidden="1"/>
    </xf>
    <xf numFmtId="1" fontId="22" fillId="7" borderId="0" xfId="0" applyNumberFormat="1" applyFont="1" applyFill="1" applyBorder="1" applyAlignment="1" applyProtection="1">
      <alignment horizontal="left"/>
      <protection hidden="1"/>
    </xf>
    <xf numFmtId="1" fontId="22" fillId="7" borderId="0" xfId="0" applyNumberFormat="1" applyFont="1" applyFill="1" applyBorder="1" applyAlignment="1" applyProtection="1">
      <alignment horizontal="left" indent="1"/>
      <protection hidden="1"/>
    </xf>
    <xf numFmtId="168" fontId="22" fillId="7" borderId="0" xfId="4" applyNumberFormat="1" applyFont="1" applyFill="1" applyBorder="1" applyAlignment="1" applyProtection="1">
      <alignment horizontal="center"/>
      <protection hidden="1"/>
    </xf>
    <xf numFmtId="168" fontId="22" fillId="7" borderId="0" xfId="4" applyNumberFormat="1" applyFont="1" applyFill="1" applyBorder="1" applyAlignment="1" applyProtection="1">
      <alignment horizontal="left"/>
      <protection hidden="1"/>
    </xf>
    <xf numFmtId="0" fontId="22" fillId="7" borderId="0" xfId="0" applyFont="1" applyFill="1" applyBorder="1" applyAlignment="1" applyProtection="1">
      <alignment horizontal="center"/>
      <protection hidden="1"/>
    </xf>
    <xf numFmtId="1" fontId="22" fillId="7" borderId="0" xfId="0" applyNumberFormat="1" applyFont="1" applyFill="1" applyBorder="1" applyAlignment="1" applyProtection="1">
      <alignment horizontal="right" indent="1"/>
    </xf>
    <xf numFmtId="0" fontId="22" fillId="7" borderId="0" xfId="0" applyFont="1" applyFill="1" applyBorder="1" applyAlignment="1">
      <alignment horizontal="center"/>
    </xf>
    <xf numFmtId="0" fontId="22" fillId="12" borderId="0" xfId="0" applyFont="1" applyFill="1" applyBorder="1" applyAlignment="1">
      <alignment horizontal="center"/>
    </xf>
    <xf numFmtId="0" fontId="22" fillId="7" borderId="0" xfId="0" applyFont="1" applyFill="1" applyBorder="1"/>
    <xf numFmtId="168" fontId="22" fillId="7" borderId="11" xfId="4" applyNumberFormat="1" applyFont="1" applyFill="1" applyBorder="1" applyAlignment="1">
      <alignment horizontal="center"/>
    </xf>
    <xf numFmtId="168" fontId="22" fillId="12" borderId="11" xfId="4" applyNumberFormat="1" applyFont="1" applyFill="1" applyBorder="1" applyAlignment="1">
      <alignment horizontal="center"/>
    </xf>
    <xf numFmtId="168" fontId="22" fillId="7" borderId="11" xfId="4" applyNumberFormat="1" applyFont="1" applyFill="1" applyBorder="1" applyAlignment="1" applyProtection="1">
      <alignment horizontal="left"/>
    </xf>
    <xf numFmtId="0" fontId="22" fillId="7" borderId="11" xfId="0" applyFont="1" applyFill="1" applyBorder="1" applyAlignment="1">
      <alignment horizontal="center"/>
    </xf>
    <xf numFmtId="1" fontId="22" fillId="7" borderId="11" xfId="0" applyNumberFormat="1" applyFont="1" applyFill="1" applyBorder="1" applyAlignment="1">
      <alignment horizontal="center"/>
    </xf>
    <xf numFmtId="0" fontId="22" fillId="12" borderId="11" xfId="0" applyFont="1" applyFill="1" applyBorder="1" applyAlignment="1">
      <alignment horizontal="center"/>
    </xf>
    <xf numFmtId="0" fontId="22" fillId="7" borderId="11" xfId="0" applyFont="1" applyFill="1" applyBorder="1" applyAlignment="1" applyProtection="1">
      <alignment horizontal="left"/>
    </xf>
    <xf numFmtId="0" fontId="22" fillId="12" borderId="0" xfId="0" applyFont="1" applyFill="1" applyBorder="1" applyAlignment="1" applyProtection="1">
      <alignment horizontal="center" vertical="center" wrapText="1"/>
    </xf>
    <xf numFmtId="0" fontId="22" fillId="7" borderId="40" xfId="0" applyFont="1" applyFill="1" applyBorder="1" applyAlignment="1">
      <alignment horizontal="center" vertical="center" wrapText="1"/>
    </xf>
    <xf numFmtId="3" fontId="22" fillId="7" borderId="40" xfId="0" applyNumberFormat="1" applyFont="1" applyFill="1" applyBorder="1" applyAlignment="1">
      <alignment horizontal="center"/>
    </xf>
    <xf numFmtId="0" fontId="22" fillId="7" borderId="52" xfId="0" applyFont="1" applyFill="1" applyBorder="1" applyAlignment="1"/>
    <xf numFmtId="0" fontId="22" fillId="7" borderId="0" xfId="0" applyFont="1" applyFill="1" applyBorder="1" applyAlignment="1">
      <alignment horizontal="left"/>
    </xf>
    <xf numFmtId="0" fontId="22" fillId="7" borderId="0" xfId="0" applyFont="1" applyFill="1" applyBorder="1" applyAlignment="1"/>
    <xf numFmtId="3" fontId="22" fillId="7" borderId="40" xfId="0" applyNumberFormat="1" applyFont="1" applyFill="1" applyBorder="1" applyAlignment="1">
      <alignment horizontal="center" vertical="center" wrapText="1"/>
    </xf>
    <xf numFmtId="0" fontId="22" fillId="7" borderId="1" xfId="0" applyFont="1" applyFill="1" applyBorder="1" applyAlignment="1">
      <alignment horizontal="center" vertical="center" wrapText="1"/>
    </xf>
    <xf numFmtId="3" fontId="22" fillId="7" borderId="1" xfId="0" applyNumberFormat="1" applyFont="1" applyFill="1" applyBorder="1" applyAlignment="1">
      <alignment horizontal="center"/>
    </xf>
    <xf numFmtId="0" fontId="4" fillId="7" borderId="1" xfId="0" applyFont="1" applyFill="1" applyBorder="1" applyAlignment="1"/>
    <xf numFmtId="9" fontId="22" fillId="7" borderId="1" xfId="0" applyNumberFormat="1" applyFont="1" applyFill="1" applyBorder="1" applyAlignment="1">
      <alignment horizontal="center"/>
    </xf>
    <xf numFmtId="0" fontId="22" fillId="7" borderId="1" xfId="0" applyFont="1" applyFill="1" applyBorder="1" applyAlignment="1">
      <alignment horizontal="center"/>
    </xf>
    <xf numFmtId="0" fontId="22" fillId="7" borderId="84" xfId="0" applyFont="1" applyFill="1" applyBorder="1" applyAlignment="1">
      <alignment horizontal="center"/>
    </xf>
    <xf numFmtId="0" fontId="22" fillId="7" borderId="40" xfId="0" applyFont="1" applyFill="1" applyBorder="1" applyAlignment="1">
      <alignment horizontal="center" vertical="center"/>
    </xf>
    <xf numFmtId="0" fontId="22" fillId="7" borderId="84" xfId="0" applyFont="1" applyFill="1" applyBorder="1" applyAlignment="1">
      <alignment horizontal="center" vertical="center" wrapText="1"/>
    </xf>
    <xf numFmtId="0" fontId="22" fillId="7" borderId="40" xfId="0" applyFont="1" applyFill="1" applyBorder="1" applyAlignment="1" applyProtection="1">
      <alignment horizontal="center" vertical="center" wrapText="1"/>
    </xf>
    <xf numFmtId="0" fontId="4" fillId="7" borderId="84" xfId="0" applyFont="1" applyFill="1" applyBorder="1" applyAlignment="1"/>
    <xf numFmtId="0" fontId="22" fillId="7" borderId="118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>
      <alignment horizontal="center" vertical="center" wrapText="1"/>
    </xf>
    <xf numFmtId="0" fontId="22" fillId="7" borderId="11" xfId="0" applyFont="1" applyFill="1" applyBorder="1" applyAlignment="1" applyProtection="1">
      <alignment horizontal="center" vertical="center" wrapText="1"/>
    </xf>
    <xf numFmtId="0" fontId="22" fillId="0" borderId="0" xfId="0" applyFont="1" applyFill="1" applyBorder="1" applyAlignment="1">
      <alignment horizontal="center"/>
    </xf>
    <xf numFmtId="173" fontId="33" fillId="7" borderId="40" xfId="0" applyNumberFormat="1" applyFont="1" applyFill="1" applyBorder="1" applyAlignment="1" applyProtection="1">
      <alignment horizontal="center"/>
    </xf>
    <xf numFmtId="164" fontId="22" fillId="7" borderId="40" xfId="0" applyNumberFormat="1" applyFont="1" applyFill="1" applyBorder="1" applyAlignment="1" applyProtection="1">
      <alignment horizontal="center"/>
    </xf>
    <xf numFmtId="165" fontId="22" fillId="7" borderId="75" xfId="4" applyFont="1" applyFill="1" applyBorder="1" applyAlignment="1">
      <alignment horizontal="center"/>
    </xf>
    <xf numFmtId="165" fontId="22" fillId="7" borderId="88" xfId="4" applyFont="1" applyFill="1" applyBorder="1" applyAlignment="1">
      <alignment horizontal="center"/>
    </xf>
    <xf numFmtId="165" fontId="7" fillId="7" borderId="40" xfId="4" applyFont="1" applyFill="1" applyBorder="1" applyAlignment="1">
      <alignment horizontal="center"/>
    </xf>
    <xf numFmtId="165" fontId="33" fillId="7" borderId="88" xfId="4" applyFont="1" applyFill="1" applyBorder="1" applyAlignment="1" applyProtection="1">
      <alignment horizontal="center"/>
    </xf>
    <xf numFmtId="165" fontId="22" fillId="7" borderId="118" xfId="4" applyFont="1" applyFill="1" applyBorder="1" applyAlignment="1">
      <alignment horizontal="center"/>
    </xf>
    <xf numFmtId="173" fontId="33" fillId="7" borderId="1" xfId="0" applyNumberFormat="1" applyFont="1" applyFill="1" applyBorder="1" applyAlignment="1" applyProtection="1">
      <alignment horizontal="center"/>
    </xf>
    <xf numFmtId="164" fontId="22" fillId="7" borderId="1" xfId="0" applyNumberFormat="1" applyFont="1" applyFill="1" applyBorder="1" applyAlignment="1" applyProtection="1">
      <alignment horizontal="center"/>
    </xf>
    <xf numFmtId="165" fontId="22" fillId="7" borderId="0" xfId="4" applyFont="1" applyFill="1" applyBorder="1" applyAlignment="1">
      <alignment horizontal="center"/>
    </xf>
    <xf numFmtId="165" fontId="22" fillId="7" borderId="30" xfId="4" applyFont="1" applyFill="1" applyBorder="1" applyAlignment="1">
      <alignment horizontal="center"/>
    </xf>
    <xf numFmtId="165" fontId="7" fillId="7" borderId="1" xfId="4" applyFont="1" applyFill="1" applyBorder="1" applyAlignment="1">
      <alignment horizontal="center"/>
    </xf>
    <xf numFmtId="165" fontId="33" fillId="7" borderId="30" xfId="4" applyFont="1" applyFill="1" applyBorder="1" applyAlignment="1" applyProtection="1">
      <alignment horizontal="center"/>
    </xf>
    <xf numFmtId="165" fontId="22" fillId="7" borderId="19" xfId="4" applyFont="1" applyFill="1" applyBorder="1" applyAlignment="1">
      <alignment horizontal="center"/>
    </xf>
    <xf numFmtId="173" fontId="33" fillId="7" borderId="84" xfId="0" applyNumberFormat="1" applyFont="1" applyFill="1" applyBorder="1" applyAlignment="1" applyProtection="1">
      <alignment horizontal="center"/>
    </xf>
    <xf numFmtId="164" fontId="22" fillId="7" borderId="84" xfId="0" applyNumberFormat="1" applyFont="1" applyFill="1" applyBorder="1" applyAlignment="1" applyProtection="1">
      <alignment horizontal="center"/>
    </xf>
    <xf numFmtId="165" fontId="22" fillId="7" borderId="78" xfId="4" applyFont="1" applyFill="1" applyBorder="1" applyAlignment="1">
      <alignment horizontal="center"/>
    </xf>
    <xf numFmtId="165" fontId="22" fillId="7" borderId="85" xfId="4" applyFont="1" applyFill="1" applyBorder="1" applyAlignment="1">
      <alignment horizontal="center"/>
    </xf>
    <xf numFmtId="165" fontId="7" fillId="7" borderId="84" xfId="4" applyFont="1" applyFill="1" applyBorder="1" applyAlignment="1">
      <alignment horizontal="center"/>
    </xf>
    <xf numFmtId="165" fontId="33" fillId="7" borderId="85" xfId="4" applyFont="1" applyFill="1" applyBorder="1" applyAlignment="1" applyProtection="1">
      <alignment horizontal="center"/>
    </xf>
    <xf numFmtId="0" fontId="22" fillId="7" borderId="40" xfId="0" applyFont="1" applyFill="1" applyBorder="1" applyAlignment="1">
      <alignment horizontal="center"/>
    </xf>
    <xf numFmtId="165" fontId="22" fillId="7" borderId="87" xfId="4" applyFont="1" applyFill="1" applyBorder="1" applyAlignment="1">
      <alignment horizontal="center"/>
    </xf>
    <xf numFmtId="3" fontId="22" fillId="7" borderId="0" xfId="0" applyNumberFormat="1" applyFont="1" applyFill="1" applyBorder="1" applyAlignment="1">
      <alignment horizontal="center"/>
    </xf>
    <xf numFmtId="9" fontId="22" fillId="7" borderId="0" xfId="0" applyNumberFormat="1" applyFont="1" applyFill="1" applyBorder="1" applyAlignment="1">
      <alignment horizontal="center"/>
    </xf>
    <xf numFmtId="0" fontId="22" fillId="7" borderId="0" xfId="0" applyFont="1" applyFill="1" applyBorder="1" applyAlignment="1">
      <alignment horizontal="right"/>
    </xf>
    <xf numFmtId="1" fontId="45" fillId="7" borderId="0" xfId="1" applyNumberFormat="1" applyFont="1" applyFill="1" applyBorder="1" applyAlignment="1" applyProtection="1">
      <alignment horizontal="right" indent="1"/>
    </xf>
    <xf numFmtId="1" fontId="22" fillId="7" borderId="0" xfId="0" applyNumberFormat="1" applyFont="1" applyFill="1" applyBorder="1" applyAlignment="1">
      <alignment horizontal="center"/>
    </xf>
    <xf numFmtId="168" fontId="22" fillId="7" borderId="0" xfId="4" applyNumberFormat="1" applyFont="1" applyFill="1" applyBorder="1" applyAlignment="1">
      <alignment horizontal="center"/>
    </xf>
    <xf numFmtId="0" fontId="22" fillId="7" borderId="0" xfId="0" applyFont="1" applyFill="1" applyBorder="1" applyAlignment="1">
      <alignment horizontal="center" vertical="center" wrapText="1"/>
    </xf>
    <xf numFmtId="0" fontId="22" fillId="7" borderId="0" xfId="0" applyFont="1" applyFill="1" applyBorder="1" applyAlignment="1" applyProtection="1">
      <alignment horizontal="center" vertical="center" wrapText="1"/>
    </xf>
    <xf numFmtId="168" fontId="22" fillId="0" borderId="0" xfId="4" applyNumberFormat="1" applyFont="1" applyFill="1" applyBorder="1" applyAlignment="1">
      <alignment horizontal="center"/>
    </xf>
    <xf numFmtId="165" fontId="22" fillId="7" borderId="0" xfId="4" applyFont="1" applyFill="1" applyBorder="1" applyAlignment="1" applyProtection="1">
      <alignment horizontal="center"/>
    </xf>
    <xf numFmtId="165" fontId="22" fillId="0" borderId="0" xfId="4" applyFont="1" applyFill="1" applyBorder="1" applyAlignment="1">
      <alignment horizontal="center"/>
    </xf>
    <xf numFmtId="165" fontId="22" fillId="0" borderId="0" xfId="4" applyFont="1" applyFill="1" applyBorder="1" applyAlignment="1" applyProtection="1">
      <alignment horizontal="center"/>
    </xf>
    <xf numFmtId="168" fontId="33" fillId="0" borderId="0" xfId="4" applyNumberFormat="1" applyFont="1" applyFill="1" applyBorder="1" applyAlignment="1">
      <alignment horizontal="center"/>
    </xf>
    <xf numFmtId="1" fontId="22" fillId="0" borderId="0" xfId="0" applyNumberFormat="1" applyFont="1" applyFill="1" applyBorder="1" applyAlignment="1" applyProtection="1">
      <alignment horizontal="right" indent="1"/>
    </xf>
    <xf numFmtId="1" fontId="22" fillId="0" borderId="0" xfId="3" applyNumberFormat="1" applyFont="1" applyFill="1" applyBorder="1" applyAlignment="1" applyProtection="1">
      <alignment horizontal="right" indent="1"/>
    </xf>
    <xf numFmtId="1" fontId="22" fillId="0" borderId="0" xfId="0" applyNumberFormat="1" applyFont="1" applyFill="1" applyBorder="1" applyAlignment="1" applyProtection="1">
      <alignment horizontal="left"/>
      <protection hidden="1"/>
    </xf>
    <xf numFmtId="1" fontId="22" fillId="0" borderId="0" xfId="0" applyNumberFormat="1" applyFont="1" applyFill="1" applyBorder="1" applyAlignment="1" applyProtection="1">
      <alignment horizontal="left" indent="1"/>
    </xf>
    <xf numFmtId="168" fontId="22" fillId="0" borderId="0" xfId="4" applyNumberFormat="1" applyFont="1" applyFill="1" applyBorder="1" applyAlignment="1" applyProtection="1">
      <alignment horizontal="left"/>
    </xf>
    <xf numFmtId="1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0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>
      <alignment horizontal="center" vertical="center"/>
    </xf>
    <xf numFmtId="16" fontId="22" fillId="0" borderId="0" xfId="0" applyNumberFormat="1" applyFont="1" applyFill="1" applyBorder="1" applyAlignment="1" applyProtection="1">
      <alignment horizontal="center" vertical="center"/>
    </xf>
    <xf numFmtId="1" fontId="22" fillId="0" borderId="0" xfId="0" applyNumberFormat="1" applyFont="1" applyFill="1" applyBorder="1" applyAlignment="1">
      <alignment horizontal="center" vertical="center"/>
    </xf>
    <xf numFmtId="3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/>
    <xf numFmtId="0" fontId="22" fillId="0" borderId="0" xfId="0" applyFont="1" applyFill="1" applyBorder="1" applyAlignment="1">
      <alignment horizontal="left"/>
    </xf>
    <xf numFmtId="9" fontId="22" fillId="0" borderId="0" xfId="0" applyNumberFormat="1" applyFont="1" applyFill="1" applyBorder="1" applyAlignment="1">
      <alignment horizontal="center"/>
    </xf>
    <xf numFmtId="0" fontId="22" fillId="0" borderId="0" xfId="0" applyFont="1" applyFill="1" applyBorder="1" applyAlignment="1">
      <alignment horizontal="right"/>
    </xf>
    <xf numFmtId="1" fontId="45" fillId="0" borderId="0" xfId="1" applyNumberFormat="1" applyFont="1" applyFill="1" applyBorder="1" applyAlignment="1" applyProtection="1">
      <alignment horizontal="right" indent="1"/>
    </xf>
    <xf numFmtId="168" fontId="4" fillId="0" borderId="0" xfId="4" applyNumberFormat="1" applyFont="1" applyFill="1" applyBorder="1" applyAlignment="1">
      <alignment horizontal="center" wrapText="1"/>
    </xf>
    <xf numFmtId="0" fontId="33" fillId="0" borderId="0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 applyProtection="1">
      <alignment horizontal="center" vertical="center" wrapText="1"/>
    </xf>
    <xf numFmtId="1" fontId="22" fillId="0" borderId="0" xfId="0" applyNumberFormat="1" applyFont="1" applyFill="1" applyBorder="1" applyAlignment="1" applyProtection="1">
      <alignment horizontal="left" indent="1"/>
      <protection locked="0"/>
    </xf>
    <xf numFmtId="1" fontId="22" fillId="0" borderId="0" xfId="0" applyNumberFormat="1" applyFont="1" applyFill="1" applyAlignment="1" applyProtection="1">
      <alignment horizontal="right" indent="1"/>
    </xf>
    <xf numFmtId="1" fontId="22" fillId="0" borderId="0" xfId="3" applyNumberFormat="1" applyFont="1" applyFill="1" applyAlignment="1" applyProtection="1">
      <alignment horizontal="right" indent="1"/>
    </xf>
    <xf numFmtId="0" fontId="4" fillId="7" borderId="0" xfId="0" applyFont="1" applyFill="1" applyBorder="1"/>
    <xf numFmtId="0" fontId="25" fillId="0" borderId="0" xfId="0" applyFont="1" applyFill="1"/>
    <xf numFmtId="0" fontId="36" fillId="0" borderId="0" xfId="0" applyFont="1" applyFill="1" applyAlignment="1">
      <alignment horizontal="center"/>
    </xf>
    <xf numFmtId="0" fontId="4" fillId="0" borderId="0" xfId="0" applyFont="1" applyFill="1" applyBorder="1"/>
    <xf numFmtId="0" fontId="4" fillId="0" borderId="0" xfId="0" applyFont="1" applyFill="1" applyAlignment="1">
      <alignment horizontal="left"/>
    </xf>
    <xf numFmtId="20" fontId="4" fillId="0" borderId="0" xfId="0" applyNumberFormat="1" applyFont="1" applyFill="1"/>
    <xf numFmtId="0" fontId="43" fillId="0" borderId="0" xfId="0" applyFont="1" applyFill="1" applyBorder="1" applyAlignment="1" applyProtection="1">
      <alignment vertical="top"/>
    </xf>
    <xf numFmtId="0" fontId="46" fillId="7" borderId="0" xfId="0" applyFont="1" applyFill="1" applyBorder="1" applyAlignment="1" applyProtection="1">
      <alignment horizontal="center" vertical="top"/>
    </xf>
    <xf numFmtId="0" fontId="54" fillId="7" borderId="0" xfId="0" applyFont="1" applyFill="1" applyAlignment="1" applyProtection="1">
      <alignment horizontal="left" vertical="center"/>
    </xf>
    <xf numFmtId="3" fontId="43" fillId="7" borderId="0" xfId="0" applyNumberFormat="1" applyFont="1" applyFill="1" applyAlignment="1" applyProtection="1">
      <alignment horizontal="right" vertical="top" indent="1"/>
    </xf>
    <xf numFmtId="0" fontId="22" fillId="7" borderId="11" xfId="0" applyFont="1" applyFill="1" applyBorder="1" applyAlignment="1" applyProtection="1">
      <alignment horizontal="center" vertical="center"/>
      <protection hidden="1"/>
    </xf>
    <xf numFmtId="0" fontId="22" fillId="6" borderId="11" xfId="0" applyFont="1" applyFill="1" applyBorder="1" applyAlignment="1" applyProtection="1">
      <alignment horizontal="center" vertical="center"/>
      <protection hidden="1"/>
    </xf>
    <xf numFmtId="0" fontId="34" fillId="0" borderId="0" xfId="0" applyFont="1" applyFill="1" applyProtection="1"/>
    <xf numFmtId="0" fontId="60" fillId="0" borderId="0" xfId="0" applyFont="1" applyFill="1" applyProtection="1"/>
    <xf numFmtId="0" fontId="38" fillId="0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Protection="1">
      <protection hidden="1"/>
    </xf>
    <xf numFmtId="3" fontId="22" fillId="0" borderId="0" xfId="0" applyNumberFormat="1" applyFont="1" applyFill="1" applyProtection="1">
      <protection hidden="1"/>
    </xf>
    <xf numFmtId="0" fontId="38" fillId="0" borderId="0" xfId="0" applyFont="1" applyFill="1" applyBorder="1" applyAlignment="1" applyProtection="1">
      <alignment horizontal="center"/>
    </xf>
    <xf numFmtId="0" fontId="70" fillId="0" borderId="0" xfId="0" applyFont="1"/>
    <xf numFmtId="0" fontId="9" fillId="0" borderId="0" xfId="0" applyFont="1"/>
    <xf numFmtId="0" fontId="71" fillId="0" borderId="0" xfId="1" applyFont="1" applyFill="1" applyBorder="1" applyAlignment="1" applyProtection="1">
      <alignment vertical="center"/>
      <protection locked="0"/>
    </xf>
    <xf numFmtId="0" fontId="71" fillId="0" borderId="0" xfId="1" applyFont="1" applyFill="1" applyBorder="1" applyAlignment="1" applyProtection="1">
      <alignment vertical="center"/>
    </xf>
    <xf numFmtId="0" fontId="43" fillId="0" borderId="0" xfId="0" applyFont="1" applyFill="1" applyProtection="1"/>
    <xf numFmtId="49" fontId="43" fillId="0" borderId="0" xfId="0" applyNumberFormat="1" applyFont="1" applyFill="1" applyBorder="1" applyProtection="1"/>
    <xf numFmtId="0" fontId="43" fillId="0" borderId="0" xfId="0" applyFont="1" applyFill="1" applyBorder="1" applyProtection="1">
      <protection hidden="1"/>
    </xf>
    <xf numFmtId="0" fontId="43" fillId="0" borderId="0" xfId="0" applyFont="1" applyFill="1" applyBorder="1" applyAlignment="1" applyProtection="1">
      <alignment horizontal="center"/>
    </xf>
    <xf numFmtId="0" fontId="43" fillId="0" borderId="0" xfId="0" applyFont="1" applyFill="1" applyAlignment="1" applyProtection="1">
      <alignment vertical="top"/>
    </xf>
    <xf numFmtId="0" fontId="55" fillId="0" borderId="0" xfId="0" applyFont="1" applyFill="1" applyBorder="1" applyAlignment="1" applyProtection="1">
      <alignment horizontal="center" vertical="center"/>
    </xf>
    <xf numFmtId="0" fontId="55" fillId="0" borderId="0" xfId="0" applyFont="1" applyFill="1" applyBorder="1" applyAlignment="1" applyProtection="1">
      <alignment vertical="center"/>
    </xf>
    <xf numFmtId="0" fontId="43" fillId="7" borderId="0" xfId="0" applyFont="1" applyFill="1" applyBorder="1" applyAlignment="1" applyProtection="1">
      <alignment vertical="top"/>
    </xf>
    <xf numFmtId="1" fontId="43" fillId="0" borderId="0" xfId="0" applyNumberFormat="1" applyFont="1" applyFill="1" applyBorder="1" applyAlignment="1" applyProtection="1">
      <alignment horizontal="center" vertical="top"/>
    </xf>
    <xf numFmtId="1" fontId="55" fillId="0" borderId="0" xfId="0" applyNumberFormat="1" applyFont="1" applyFill="1" applyBorder="1" applyAlignment="1" applyProtection="1">
      <alignment horizontal="center" vertical="top"/>
    </xf>
    <xf numFmtId="9" fontId="43" fillId="0" borderId="0" xfId="0" applyNumberFormat="1" applyFont="1" applyFill="1" applyBorder="1" applyProtection="1"/>
    <xf numFmtId="0" fontId="54" fillId="0" borderId="0" xfId="0" applyFont="1" applyFill="1" applyProtection="1"/>
    <xf numFmtId="9" fontId="43" fillId="0" borderId="0" xfId="3" applyFont="1" applyFill="1" applyBorder="1" applyAlignment="1" applyProtection="1">
      <alignment horizontal="center"/>
    </xf>
    <xf numFmtId="9" fontId="54" fillId="0" borderId="0" xfId="3" applyFont="1" applyFill="1" applyBorder="1" applyAlignment="1" applyProtection="1">
      <alignment horizontal="center"/>
    </xf>
    <xf numFmtId="0" fontId="73" fillId="0" borderId="0" xfId="0" applyFont="1" applyFill="1" applyProtection="1"/>
    <xf numFmtId="9" fontId="74" fillId="0" borderId="0" xfId="3" applyFont="1" applyFill="1" applyBorder="1" applyAlignment="1" applyProtection="1">
      <alignment horizontal="center"/>
    </xf>
    <xf numFmtId="2" fontId="4" fillId="7" borderId="0" xfId="0" applyNumberFormat="1" applyFont="1" applyFill="1"/>
    <xf numFmtId="1" fontId="22" fillId="10" borderId="126" xfId="0" applyNumberFormat="1" applyFont="1" applyFill="1" applyBorder="1" applyAlignment="1" applyProtection="1">
      <alignment horizontal="left" indent="1"/>
      <protection locked="0"/>
    </xf>
    <xf numFmtId="0" fontId="22" fillId="0" borderId="1" xfId="0" applyNumberFormat="1" applyFont="1" applyFill="1" applyBorder="1" applyAlignment="1" applyProtection="1">
      <alignment vertical="top"/>
    </xf>
    <xf numFmtId="0" fontId="22" fillId="10" borderId="1" xfId="0" applyNumberFormat="1" applyFont="1" applyFill="1" applyBorder="1" applyAlignment="1" applyProtection="1">
      <alignment vertical="top"/>
      <protection locked="0"/>
    </xf>
    <xf numFmtId="0" fontId="22" fillId="0" borderId="0" xfId="0" applyFont="1" applyBorder="1"/>
    <xf numFmtId="0" fontId="22" fillId="0" borderId="0" xfId="0" applyFont="1" applyFill="1" applyBorder="1" applyAlignment="1" applyProtection="1">
      <alignment vertical="top"/>
    </xf>
    <xf numFmtId="0" fontId="22" fillId="0" borderId="0" xfId="0" applyNumberFormat="1" applyFont="1" applyFill="1" applyBorder="1" applyAlignment="1" applyProtection="1">
      <alignment vertical="top"/>
    </xf>
    <xf numFmtId="0" fontId="22" fillId="7" borderId="1" xfId="0" applyNumberFormat="1" applyFont="1" applyFill="1" applyBorder="1" applyAlignment="1" applyProtection="1">
      <alignment vertical="top"/>
    </xf>
    <xf numFmtId="0" fontId="46" fillId="7" borderId="0" xfId="0" applyFont="1" applyFill="1" applyBorder="1" applyAlignment="1" applyProtection="1">
      <alignment horizontal="center" vertical="center"/>
    </xf>
    <xf numFmtId="9" fontId="46" fillId="7" borderId="0" xfId="3" applyFont="1" applyFill="1" applyBorder="1" applyAlignment="1" applyProtection="1">
      <alignment horizontal="center" vertical="top"/>
    </xf>
    <xf numFmtId="0" fontId="75" fillId="7" borderId="0" xfId="0" applyFont="1" applyFill="1" applyBorder="1" applyAlignment="1" applyProtection="1">
      <alignment horizontal="center" vertical="top"/>
    </xf>
    <xf numFmtId="1" fontId="46" fillId="7" borderId="30" xfId="0" applyNumberFormat="1" applyFont="1" applyFill="1" applyBorder="1" applyAlignment="1" applyProtection="1">
      <alignment horizontal="center" vertical="top"/>
    </xf>
    <xf numFmtId="9" fontId="46" fillId="7" borderId="30" xfId="3" applyFont="1" applyFill="1" applyBorder="1" applyAlignment="1" applyProtection="1">
      <alignment horizontal="center" vertical="top"/>
    </xf>
    <xf numFmtId="9" fontId="7" fillId="10" borderId="65" xfId="3" applyFont="1" applyFill="1" applyBorder="1" applyAlignment="1" applyProtection="1">
      <alignment horizontal="center" vertical="center"/>
      <protection locked="0"/>
    </xf>
    <xf numFmtId="9" fontId="34" fillId="7" borderId="0" xfId="3" applyFont="1" applyFill="1" applyAlignment="1" applyProtection="1">
      <alignment horizontal="center" vertical="top"/>
    </xf>
    <xf numFmtId="0" fontId="39" fillId="17" borderId="83" xfId="8" applyFont="1" applyBorder="1" applyAlignment="1" applyProtection="1">
      <alignment vertical="top"/>
      <protection locked="0"/>
    </xf>
    <xf numFmtId="4" fontId="39" fillId="17" borderId="84" xfId="8" applyNumberFormat="1" applyFont="1" applyBorder="1" applyAlignment="1" applyProtection="1">
      <alignment horizontal="right" indent="1"/>
      <protection locked="0"/>
    </xf>
    <xf numFmtId="4" fontId="39" fillId="17" borderId="86" xfId="8" applyNumberFormat="1" applyFont="1" applyBorder="1" applyAlignment="1" applyProtection="1">
      <alignment horizontal="right" indent="1"/>
      <protection locked="0"/>
    </xf>
    <xf numFmtId="170" fontId="22" fillId="0" borderId="137" xfId="0" applyNumberFormat="1" applyFont="1" applyFill="1" applyBorder="1" applyAlignment="1" applyProtection="1">
      <alignment horizontal="right"/>
    </xf>
    <xf numFmtId="170" fontId="22" fillId="0" borderId="1" xfId="0" applyNumberFormat="1" applyFont="1" applyFill="1" applyBorder="1" applyAlignment="1" applyProtection="1">
      <alignment horizontal="left" vertical="top"/>
    </xf>
    <xf numFmtId="170" fontId="22" fillId="7" borderId="0" xfId="0" applyNumberFormat="1" applyFont="1" applyFill="1" applyAlignment="1" applyProtection="1">
      <alignment vertical="center"/>
      <protection locked="0"/>
    </xf>
    <xf numFmtId="4" fontId="22" fillId="7" borderId="0" xfId="0" applyNumberFormat="1" applyFont="1" applyFill="1" applyAlignment="1" applyProtection="1">
      <alignment vertical="top"/>
    </xf>
    <xf numFmtId="176" fontId="22" fillId="7" borderId="0" xfId="0" applyNumberFormat="1" applyFont="1" applyFill="1" applyAlignment="1" applyProtection="1">
      <alignment vertical="center"/>
    </xf>
    <xf numFmtId="0" fontId="38" fillId="0" borderId="0" xfId="0" applyFont="1" applyFill="1" applyAlignment="1" applyProtection="1">
      <alignment vertical="top"/>
      <protection locked="0"/>
    </xf>
    <xf numFmtId="0" fontId="22" fillId="0" borderId="0" xfId="0" applyFont="1" applyFill="1" applyBorder="1" applyAlignment="1" applyProtection="1">
      <alignment horizontal="center"/>
    </xf>
    <xf numFmtId="0" fontId="4" fillId="0" borderId="0" xfId="0" applyFont="1" applyFill="1" applyProtection="1"/>
    <xf numFmtId="0" fontId="33" fillId="0" borderId="0" xfId="0" applyFont="1" applyFill="1" applyAlignment="1"/>
    <xf numFmtId="0" fontId="33" fillId="0" borderId="0" xfId="0" applyFont="1" applyFill="1" applyBorder="1" applyAlignment="1" applyProtection="1"/>
    <xf numFmtId="0" fontId="22" fillId="0" borderId="0" xfId="0" applyFont="1" applyFill="1" applyAlignment="1"/>
    <xf numFmtId="3" fontId="47" fillId="7" borderId="0" xfId="0" applyNumberFormat="1" applyFont="1" applyFill="1" applyAlignment="1" applyProtection="1">
      <alignment horizontal="right" indent="1"/>
    </xf>
    <xf numFmtId="1" fontId="47" fillId="7" borderId="0" xfId="0" applyNumberFormat="1" applyFont="1" applyFill="1" applyAlignment="1" applyProtection="1">
      <alignment horizontal="right" vertical="center" indent="1"/>
    </xf>
    <xf numFmtId="9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Border="1" applyAlignment="1" applyProtection="1">
      <alignment vertical="center"/>
    </xf>
    <xf numFmtId="3" fontId="22" fillId="0" borderId="0" xfId="0" applyNumberFormat="1" applyFont="1" applyFill="1" applyAlignment="1" applyProtection="1">
      <alignment vertical="center"/>
    </xf>
    <xf numFmtId="49" fontId="22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vertical="center"/>
    </xf>
    <xf numFmtId="3" fontId="22" fillId="7" borderId="0" xfId="0" applyNumberFormat="1" applyFont="1" applyFill="1" applyProtection="1">
      <protection hidden="1"/>
    </xf>
    <xf numFmtId="0" fontId="28" fillId="0" borderId="0" xfId="0" applyFont="1" applyFill="1" applyAlignment="1" applyProtection="1">
      <alignment horizontal="left" vertical="top"/>
    </xf>
    <xf numFmtId="0" fontId="9" fillId="0" borderId="0" xfId="0" applyFont="1" applyFill="1" applyBorder="1" applyAlignment="1" applyProtection="1">
      <alignment vertical="top"/>
    </xf>
    <xf numFmtId="0" fontId="9" fillId="0" borderId="0" xfId="0" applyFont="1" applyFill="1" applyAlignment="1" applyProtection="1">
      <alignment horizontal="left" vertical="top"/>
    </xf>
    <xf numFmtId="49" fontId="22" fillId="0" borderId="0" xfId="0" applyNumberFormat="1" applyFont="1" applyFill="1" applyBorder="1" applyAlignment="1" applyProtection="1">
      <alignment vertical="top"/>
    </xf>
    <xf numFmtId="0" fontId="33" fillId="0" borderId="0" xfId="0" applyFont="1" applyFill="1" applyBorder="1" applyAlignment="1" applyProtection="1">
      <alignment vertical="top"/>
    </xf>
    <xf numFmtId="49" fontId="9" fillId="0" borderId="0" xfId="0" applyNumberFormat="1" applyFont="1" applyFill="1" applyBorder="1" applyAlignment="1" applyProtection="1">
      <alignment vertical="center"/>
    </xf>
    <xf numFmtId="0" fontId="22" fillId="0" borderId="0" xfId="0" applyNumberFormat="1" applyFont="1" applyFill="1" applyBorder="1" applyAlignment="1" applyProtection="1">
      <alignment horizontal="left" vertical="center" indent="1"/>
    </xf>
    <xf numFmtId="49" fontId="22" fillId="0" borderId="0" xfId="0" applyNumberFormat="1" applyFont="1" applyFill="1" applyBorder="1" applyAlignment="1" applyProtection="1">
      <alignment horizontal="left" vertical="center" indent="1"/>
    </xf>
    <xf numFmtId="0" fontId="38" fillId="0" borderId="0" xfId="0" applyFont="1" applyFill="1" applyBorder="1" applyAlignment="1" applyProtection="1">
      <alignment vertical="top"/>
    </xf>
    <xf numFmtId="0" fontId="9" fillId="7" borderId="0" xfId="0" applyFont="1" applyFill="1" applyAlignment="1" applyProtection="1">
      <alignment horizontal="left" vertical="top"/>
    </xf>
    <xf numFmtId="0" fontId="33" fillId="0" borderId="0" xfId="0" applyFont="1" applyFill="1" applyAlignment="1" applyProtection="1">
      <alignment horizontal="center" vertical="center"/>
    </xf>
    <xf numFmtId="0" fontId="22" fillId="0" borderId="0" xfId="0" applyFont="1" applyFill="1" applyAlignment="1" applyProtection="1">
      <alignment horizontal="right" vertical="top"/>
    </xf>
    <xf numFmtId="0" fontId="38" fillId="0" borderId="0" xfId="0" applyFont="1" applyFill="1" applyBorder="1" applyAlignment="1" applyProtection="1">
      <alignment horizontal="left" vertical="center"/>
    </xf>
    <xf numFmtId="0" fontId="38" fillId="0" borderId="0" xfId="0" applyNumberFormat="1" applyFont="1" applyFill="1" applyBorder="1" applyAlignment="1" applyProtection="1">
      <alignment vertical="top"/>
    </xf>
    <xf numFmtId="49" fontId="38" fillId="0" borderId="0" xfId="0" applyNumberFormat="1" applyFont="1" applyFill="1" applyBorder="1" applyAlignment="1" applyProtection="1">
      <alignment vertical="center"/>
    </xf>
    <xf numFmtId="0" fontId="38" fillId="0" borderId="0" xfId="0" applyNumberFormat="1" applyFont="1" applyFill="1" applyBorder="1" applyAlignment="1" applyProtection="1">
      <alignment horizontal="left" vertical="center"/>
    </xf>
    <xf numFmtId="0" fontId="33" fillId="0" borderId="0" xfId="0" applyFont="1" applyFill="1" applyBorder="1" applyAlignment="1" applyProtection="1">
      <alignment horizontal="left" vertical="center"/>
    </xf>
    <xf numFmtId="49" fontId="38" fillId="0" borderId="0" xfId="0" applyNumberFormat="1" applyFont="1" applyFill="1" applyBorder="1" applyAlignment="1" applyProtection="1">
      <alignment horizontal="left" vertical="center"/>
    </xf>
    <xf numFmtId="0" fontId="22" fillId="0" borderId="0" xfId="0" applyFont="1" applyFill="1" applyBorder="1" applyAlignment="1" applyProtection="1">
      <alignment horizontal="right" vertical="top"/>
    </xf>
    <xf numFmtId="9" fontId="22" fillId="0" borderId="125" xfId="0" applyNumberFormat="1" applyFont="1" applyFill="1" applyBorder="1" applyAlignment="1" applyProtection="1">
      <alignment horizontal="center"/>
    </xf>
    <xf numFmtId="49" fontId="22" fillId="7" borderId="38" xfId="0" applyNumberFormat="1" applyFont="1" applyFill="1" applyBorder="1" applyAlignment="1" applyProtection="1">
      <alignment horizontal="center"/>
    </xf>
    <xf numFmtId="0" fontId="57" fillId="7" borderId="0" xfId="0" applyFont="1" applyFill="1" applyBorder="1" applyProtection="1"/>
    <xf numFmtId="0" fontId="38" fillId="7" borderId="124" xfId="0" applyNumberFormat="1" applyFont="1" applyFill="1" applyBorder="1" applyAlignment="1" applyProtection="1">
      <alignment horizontal="center"/>
    </xf>
    <xf numFmtId="49" fontId="22" fillId="0" borderId="0" xfId="0" applyNumberFormat="1" applyFont="1" applyFill="1" applyBorder="1" applyAlignment="1" applyProtection="1">
      <alignment horizontal="left"/>
    </xf>
    <xf numFmtId="0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NumberFormat="1" applyFont="1" applyFill="1" applyBorder="1" applyProtection="1">
      <protection locked="0"/>
    </xf>
    <xf numFmtId="49" fontId="22" fillId="0" borderId="0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center"/>
    </xf>
    <xf numFmtId="49" fontId="58" fillId="0" borderId="0" xfId="0" applyNumberFormat="1" applyFont="1" applyFill="1" applyBorder="1" applyAlignment="1" applyProtection="1">
      <alignment horizontal="center"/>
    </xf>
    <xf numFmtId="0" fontId="22" fillId="0" borderId="0" xfId="0" applyNumberFormat="1" applyFont="1" applyFill="1" applyBorder="1" applyAlignment="1" applyProtection="1">
      <alignment horizontal="right"/>
    </xf>
    <xf numFmtId="0" fontId="22" fillId="0" borderId="0" xfId="0" applyFont="1" applyFill="1" applyBorder="1" applyAlignment="1" applyProtection="1">
      <alignment horizontal="center"/>
    </xf>
    <xf numFmtId="1" fontId="43" fillId="0" borderId="0" xfId="0" applyNumberFormat="1" applyFont="1" applyFill="1" applyBorder="1" applyAlignment="1" applyProtection="1">
      <alignment horizontal="center" vertical="center"/>
    </xf>
    <xf numFmtId="1" fontId="43" fillId="0" borderId="0" xfId="3" applyNumberFormat="1" applyFont="1" applyFill="1" applyBorder="1" applyAlignment="1" applyProtection="1">
      <alignment horizontal="center" vertical="top"/>
    </xf>
    <xf numFmtId="1" fontId="22" fillId="0" borderId="0" xfId="0" applyNumberFormat="1" applyFont="1" applyFill="1" applyBorder="1" applyAlignment="1" applyProtection="1">
      <alignment horizontal="center" vertical="top"/>
    </xf>
    <xf numFmtId="0" fontId="22" fillId="0" borderId="0" xfId="0" applyFont="1" applyFill="1" applyBorder="1" applyAlignment="1" applyProtection="1">
      <alignment horizontal="center" vertical="top"/>
    </xf>
    <xf numFmtId="0" fontId="7" fillId="7" borderId="0" xfId="0" applyFont="1" applyFill="1" applyBorder="1" applyAlignment="1" applyProtection="1">
      <alignment horizontal="center" vertical="top"/>
    </xf>
    <xf numFmtId="0" fontId="7" fillId="7" borderId="0" xfId="0" applyFont="1" applyFill="1" applyBorder="1" applyAlignment="1" applyProtection="1">
      <alignment horizontal="center" vertical="center"/>
    </xf>
    <xf numFmtId="9" fontId="7" fillId="7" borderId="0" xfId="3" applyFont="1" applyFill="1" applyBorder="1" applyAlignment="1" applyProtection="1">
      <alignment horizontal="center" vertical="top"/>
    </xf>
    <xf numFmtId="9" fontId="7" fillId="0" borderId="0" xfId="3" applyFont="1" applyFill="1" applyBorder="1" applyAlignment="1" applyProtection="1">
      <alignment horizontal="center" vertical="top"/>
    </xf>
    <xf numFmtId="0" fontId="76" fillId="7" borderId="0" xfId="0" applyFont="1" applyFill="1" applyBorder="1" applyAlignment="1" applyProtection="1">
      <alignment horizontal="center" vertical="top"/>
    </xf>
    <xf numFmtId="9" fontId="22" fillId="0" borderId="0" xfId="3" applyFont="1" applyFill="1" applyBorder="1" applyAlignment="1" applyProtection="1">
      <alignment vertical="top"/>
    </xf>
    <xf numFmtId="0" fontId="4" fillId="7" borderId="0" xfId="0" applyFont="1" applyFill="1" applyBorder="1" applyAlignment="1" applyProtection="1">
      <alignment horizontal="center" vertical="top"/>
    </xf>
    <xf numFmtId="1" fontId="7" fillId="7" borderId="0" xfId="0" applyNumberFormat="1" applyFont="1" applyFill="1" applyBorder="1" applyAlignment="1" applyProtection="1">
      <alignment horizontal="center" vertical="top"/>
    </xf>
    <xf numFmtId="0" fontId="9" fillId="7" borderId="0" xfId="0" applyFont="1" applyFill="1" applyBorder="1" applyAlignment="1" applyProtection="1">
      <alignment horizontal="left" vertical="top"/>
    </xf>
    <xf numFmtId="9" fontId="22" fillId="0" borderId="0" xfId="3" applyFont="1" applyFill="1" applyBorder="1" applyAlignment="1" applyProtection="1">
      <alignment horizontal="center" vertical="top"/>
    </xf>
    <xf numFmtId="0" fontId="38" fillId="0" borderId="0" xfId="0" applyFont="1" applyFill="1" applyAlignment="1" applyProtection="1">
      <alignment horizontal="center" vertical="top"/>
    </xf>
    <xf numFmtId="0" fontId="22" fillId="7" borderId="0" xfId="0" applyFont="1" applyFill="1" applyBorder="1" applyAlignment="1" applyProtection="1">
      <alignment horizontal="center" vertical="top"/>
    </xf>
    <xf numFmtId="0" fontId="69" fillId="7" borderId="0" xfId="0" applyFont="1" applyFill="1" applyProtection="1"/>
    <xf numFmtId="0" fontId="50" fillId="7" borderId="0" xfId="0" applyFont="1" applyFill="1" applyAlignment="1" applyProtection="1">
      <alignment horizontal="right" vertical="center"/>
    </xf>
    <xf numFmtId="0" fontId="77" fillId="7" borderId="0" xfId="0" applyFont="1" applyFill="1" applyProtection="1"/>
    <xf numFmtId="0" fontId="22" fillId="0" borderId="0" xfId="9" applyFont="1" applyFill="1" applyBorder="1" applyAlignment="1" applyProtection="1">
      <alignment vertical="top"/>
    </xf>
    <xf numFmtId="0" fontId="38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left" vertical="top"/>
    </xf>
    <xf numFmtId="0" fontId="22" fillId="0" borderId="0" xfId="8" applyFont="1" applyFill="1" applyBorder="1" applyAlignment="1" applyProtection="1">
      <alignment vertical="top"/>
      <protection locked="0"/>
    </xf>
    <xf numFmtId="3" fontId="39" fillId="17" borderId="99" xfId="8" applyNumberFormat="1" applyFont="1" applyBorder="1" applyAlignment="1" applyProtection="1">
      <alignment horizontal="right" indent="1"/>
      <protection locked="0"/>
    </xf>
    <xf numFmtId="3" fontId="39" fillId="17" borderId="65" xfId="8" applyNumberFormat="1" applyFont="1" applyBorder="1" applyAlignment="1" applyProtection="1">
      <alignment horizontal="right" indent="1"/>
      <protection locked="0"/>
    </xf>
    <xf numFmtId="175" fontId="39" fillId="17" borderId="45" xfId="8" applyNumberFormat="1" applyFont="1" applyBorder="1" applyAlignment="1" applyProtection="1">
      <alignment horizontal="right" indent="1"/>
      <protection locked="0"/>
    </xf>
    <xf numFmtId="3" fontId="22" fillId="7" borderId="0" xfId="0" applyNumberFormat="1" applyFont="1" applyFill="1" applyBorder="1" applyAlignment="1" applyProtection="1">
      <alignment horizontal="right" vertical="top" indent="1"/>
    </xf>
    <xf numFmtId="3" fontId="22" fillId="0" borderId="62" xfId="0" applyNumberFormat="1" applyFont="1" applyFill="1" applyBorder="1" applyAlignment="1" applyProtection="1">
      <alignment horizontal="right" vertical="top" indent="1"/>
    </xf>
    <xf numFmtId="175" fontId="39" fillId="17" borderId="9" xfId="8" applyNumberFormat="1" applyFont="1" applyBorder="1" applyAlignment="1" applyProtection="1">
      <alignment horizontal="right" indent="1"/>
      <protection locked="0"/>
    </xf>
    <xf numFmtId="175" fontId="39" fillId="17" borderId="76" xfId="8" applyNumberFormat="1" applyFont="1" applyBorder="1" applyAlignment="1" applyProtection="1">
      <alignment horizontal="right" indent="1"/>
      <protection locked="0"/>
    </xf>
    <xf numFmtId="3" fontId="22" fillId="0" borderId="145" xfId="0" applyNumberFormat="1" applyFont="1" applyFill="1" applyBorder="1" applyAlignment="1" applyProtection="1">
      <alignment horizontal="right" vertical="top" indent="1"/>
    </xf>
    <xf numFmtId="3" fontId="22" fillId="7" borderId="53" xfId="0" applyNumberFormat="1" applyFont="1" applyFill="1" applyBorder="1" applyAlignment="1" applyProtection="1">
      <alignment horizontal="right" vertical="top" indent="1"/>
    </xf>
    <xf numFmtId="3" fontId="22" fillId="10" borderId="2" xfId="0" applyNumberFormat="1" applyFont="1" applyFill="1" applyBorder="1" applyAlignment="1" applyProtection="1">
      <alignment horizontal="right" indent="1"/>
      <protection locked="0"/>
    </xf>
    <xf numFmtId="0" fontId="22" fillId="7" borderId="127" xfId="0" applyFont="1" applyFill="1" applyBorder="1" applyAlignment="1" applyProtection="1">
      <alignment horizontal="center"/>
      <protection hidden="1"/>
    </xf>
    <xf numFmtId="1" fontId="22" fillId="7" borderId="1" xfId="0" applyNumberFormat="1" applyFont="1" applyFill="1" applyBorder="1" applyAlignment="1" applyProtection="1">
      <alignment horizontal="left"/>
    </xf>
    <xf numFmtId="0" fontId="22" fillId="7" borderId="1" xfId="0" applyFont="1" applyFill="1" applyBorder="1" applyAlignment="1" applyProtection="1">
      <alignment horizontal="center"/>
      <protection hidden="1"/>
    </xf>
    <xf numFmtId="49" fontId="38" fillId="7" borderId="124" xfId="0" applyNumberFormat="1" applyFont="1" applyFill="1" applyBorder="1" applyAlignment="1" applyProtection="1">
      <alignment horizontal="center"/>
    </xf>
    <xf numFmtId="1" fontId="22" fillId="7" borderId="0" xfId="0" applyNumberFormat="1" applyFont="1" applyFill="1" applyBorder="1" applyAlignment="1" applyProtection="1">
      <alignment horizontal="left" indent="1"/>
    </xf>
    <xf numFmtId="3" fontId="22" fillId="7" borderId="0" xfId="0" applyNumberFormat="1" applyFont="1" applyFill="1" applyBorder="1" applyAlignment="1" applyProtection="1">
      <alignment horizontal="right" indent="1"/>
    </xf>
    <xf numFmtId="1" fontId="22" fillId="7" borderId="0" xfId="0" applyNumberFormat="1" applyFont="1" applyFill="1" applyBorder="1" applyAlignment="1" applyProtection="1">
      <alignment horizontal="left" indent="1"/>
      <protection locked="0"/>
    </xf>
    <xf numFmtId="3" fontId="22" fillId="7" borderId="0" xfId="0" applyNumberFormat="1" applyFont="1" applyFill="1" applyBorder="1" applyAlignment="1" applyProtection="1">
      <alignment horizontal="right" indent="1"/>
      <protection locked="0"/>
    </xf>
    <xf numFmtId="9" fontId="22" fillId="7" borderId="0" xfId="0" applyNumberFormat="1" applyFont="1" applyFill="1" applyBorder="1" applyAlignment="1" applyProtection="1">
      <alignment horizontal="center"/>
    </xf>
    <xf numFmtId="2" fontId="22" fillId="7" borderId="0" xfId="0" applyNumberFormat="1" applyFont="1" applyFill="1" applyBorder="1" applyAlignment="1" applyProtection="1">
      <alignment horizontal="right" indent="1"/>
    </xf>
    <xf numFmtId="1" fontId="22" fillId="7" borderId="126" xfId="0" applyNumberFormat="1" applyFont="1" applyFill="1" applyBorder="1" applyAlignment="1" applyProtection="1">
      <alignment horizontal="left" indent="1"/>
      <protection hidden="1"/>
    </xf>
    <xf numFmtId="1" fontId="22" fillId="7" borderId="1" xfId="0" applyNumberFormat="1" applyFont="1" applyFill="1" applyBorder="1" applyAlignment="1" applyProtection="1">
      <alignment horizontal="left" indent="1"/>
      <protection hidden="1"/>
    </xf>
    <xf numFmtId="1" fontId="22" fillId="7" borderId="130" xfId="0" applyNumberFormat="1" applyFont="1" applyFill="1" applyBorder="1" applyAlignment="1" applyProtection="1">
      <alignment horizontal="left" indent="1"/>
      <protection hidden="1"/>
    </xf>
    <xf numFmtId="0" fontId="22" fillId="7" borderId="130" xfId="0" applyFont="1" applyFill="1" applyBorder="1" applyProtection="1"/>
    <xf numFmtId="3" fontId="22" fillId="7" borderId="130" xfId="0" applyNumberFormat="1" applyFont="1" applyFill="1" applyBorder="1" applyAlignment="1" applyProtection="1">
      <alignment horizontal="right" indent="1"/>
      <protection hidden="1"/>
    </xf>
    <xf numFmtId="3" fontId="22" fillId="0" borderId="129" xfId="0" applyNumberFormat="1" applyFont="1" applyFill="1" applyBorder="1" applyAlignment="1" applyProtection="1">
      <alignment horizontal="right" indent="1"/>
    </xf>
    <xf numFmtId="1" fontId="22" fillId="7" borderId="150" xfId="0" applyNumberFormat="1" applyFont="1" applyFill="1" applyBorder="1" applyAlignment="1" applyProtection="1">
      <alignment horizontal="left" indent="1"/>
      <protection hidden="1"/>
    </xf>
    <xf numFmtId="0" fontId="22" fillId="7" borderId="150" xfId="0" applyFont="1" applyFill="1" applyBorder="1" applyProtection="1"/>
    <xf numFmtId="3" fontId="22" fillId="7" borderId="150" xfId="0" applyNumberFormat="1" applyFont="1" applyFill="1" applyBorder="1" applyAlignment="1" applyProtection="1">
      <alignment horizontal="right" indent="1"/>
      <protection hidden="1"/>
    </xf>
    <xf numFmtId="3" fontId="22" fillId="0" borderId="151" xfId="0" applyNumberFormat="1" applyFont="1" applyFill="1" applyBorder="1" applyAlignment="1" applyProtection="1">
      <alignment horizontal="right" indent="1"/>
    </xf>
    <xf numFmtId="0" fontId="22" fillId="7" borderId="30" xfId="0" applyFont="1" applyFill="1" applyBorder="1" applyAlignment="1" applyProtection="1">
      <alignment horizontal="center"/>
      <protection hidden="1"/>
    </xf>
    <xf numFmtId="49" fontId="33" fillId="7" borderId="141" xfId="0" applyNumberFormat="1" applyFont="1" applyFill="1" applyBorder="1" applyAlignment="1" applyProtection="1">
      <alignment horizontal="center"/>
    </xf>
    <xf numFmtId="0" fontId="33" fillId="0" borderId="152" xfId="0" applyNumberFormat="1" applyFont="1" applyFill="1" applyBorder="1" applyAlignment="1" applyProtection="1">
      <alignment horizontal="right"/>
    </xf>
    <xf numFmtId="49" fontId="22" fillId="7" borderId="148" xfId="0" applyNumberFormat="1" applyFont="1" applyFill="1" applyBorder="1" applyAlignment="1" applyProtection="1">
      <alignment horizontal="center"/>
      <protection locked="0"/>
    </xf>
    <xf numFmtId="49" fontId="38" fillId="7" borderId="41" xfId="0" applyNumberFormat="1" applyFont="1" applyFill="1" applyBorder="1" applyAlignment="1" applyProtection="1">
      <alignment horizontal="center"/>
      <protection locked="0"/>
    </xf>
    <xf numFmtId="49" fontId="22" fillId="7" borderId="149" xfId="0" applyNumberFormat="1" applyFont="1" applyFill="1" applyBorder="1" applyAlignment="1" applyProtection="1">
      <alignment horizontal="center"/>
      <protection locked="0"/>
    </xf>
    <xf numFmtId="9" fontId="33" fillId="7" borderId="152" xfId="3" applyFont="1" applyFill="1" applyBorder="1" applyAlignment="1" applyProtection="1">
      <alignment horizontal="center"/>
    </xf>
    <xf numFmtId="49" fontId="22" fillId="0" borderId="32" xfId="0" applyNumberFormat="1" applyFont="1" applyFill="1" applyBorder="1" applyProtection="1"/>
    <xf numFmtId="0" fontId="38" fillId="7" borderId="38" xfId="0" applyNumberFormat="1" applyFont="1" applyFill="1" applyBorder="1" applyAlignment="1" applyProtection="1">
      <alignment horizontal="center"/>
    </xf>
    <xf numFmtId="49" fontId="22" fillId="7" borderId="38" xfId="0" applyNumberFormat="1" applyFont="1" applyFill="1" applyBorder="1" applyAlignment="1" applyProtection="1">
      <alignment horizontal="center"/>
      <protection hidden="1"/>
    </xf>
    <xf numFmtId="0" fontId="22" fillId="0" borderId="0" xfId="0" applyFont="1" applyFill="1"/>
    <xf numFmtId="1" fontId="22" fillId="0" borderId="0" xfId="0" applyNumberFormat="1" applyFont="1" applyFill="1" applyBorder="1" applyAlignment="1" applyProtection="1">
      <alignment horizontal="left" vertical="center"/>
    </xf>
    <xf numFmtId="0" fontId="28" fillId="0" borderId="0" xfId="0" applyFont="1" applyFill="1" applyBorder="1" applyAlignment="1" applyProtection="1">
      <alignment horizontal="left"/>
    </xf>
    <xf numFmtId="0" fontId="28" fillId="0" borderId="0" xfId="0" applyFont="1" applyFill="1"/>
    <xf numFmtId="0" fontId="22" fillId="0" borderId="0" xfId="0" applyFont="1" applyFill="1" applyBorder="1" applyAlignment="1" applyProtection="1">
      <alignment wrapText="1"/>
    </xf>
    <xf numFmtId="0" fontId="22" fillId="0" borderId="0" xfId="0" applyFont="1" applyFill="1" applyBorder="1" applyAlignment="1" applyProtection="1">
      <alignment wrapText="1"/>
      <protection hidden="1"/>
    </xf>
    <xf numFmtId="3" fontId="22" fillId="0" borderId="0" xfId="0" applyNumberFormat="1" applyFont="1" applyFill="1" applyBorder="1" applyAlignment="1" applyProtection="1">
      <alignment horizontal="left"/>
      <protection locked="0"/>
    </xf>
    <xf numFmtId="0" fontId="22" fillId="0" borderId="0" xfId="0" applyFont="1" applyFill="1" applyBorder="1" applyAlignment="1">
      <alignment horizontal="center" vertical="center"/>
    </xf>
    <xf numFmtId="1" fontId="38" fillId="0" borderId="0" xfId="0" applyNumberFormat="1" applyFont="1" applyFill="1" applyBorder="1" applyAlignment="1" applyProtection="1">
      <alignment vertical="center" wrapText="1"/>
    </xf>
    <xf numFmtId="1" fontId="38" fillId="0" borderId="0" xfId="0" applyNumberFormat="1" applyFont="1" applyFill="1" applyBorder="1" applyAlignment="1" applyProtection="1">
      <alignment vertical="center"/>
    </xf>
    <xf numFmtId="0" fontId="22" fillId="0" borderId="0" xfId="0" applyFont="1" applyFill="1" applyAlignment="1" applyProtection="1">
      <alignment vertical="center" wrapText="1"/>
    </xf>
    <xf numFmtId="0" fontId="22" fillId="7" borderId="38" xfId="0" applyNumberFormat="1" applyFont="1" applyFill="1" applyBorder="1" applyAlignment="1" applyProtection="1">
      <alignment horizontal="center"/>
      <protection hidden="1"/>
    </xf>
    <xf numFmtId="0" fontId="22" fillId="10" borderId="30" xfId="0" applyNumberFormat="1" applyFont="1" applyFill="1" applyBorder="1" applyAlignment="1" applyProtection="1">
      <alignment vertical="top"/>
    </xf>
    <xf numFmtId="0" fontId="38" fillId="0" borderId="41" xfId="0" applyNumberFormat="1" applyFont="1" applyFill="1" applyBorder="1" applyAlignment="1" applyProtection="1">
      <alignment vertical="center"/>
    </xf>
    <xf numFmtId="0" fontId="22" fillId="0" borderId="155" xfId="0" applyNumberFormat="1" applyFont="1" applyFill="1" applyBorder="1" applyAlignment="1" applyProtection="1">
      <alignment horizontal="center" vertical="center"/>
    </xf>
    <xf numFmtId="0" fontId="22" fillId="0" borderId="50" xfId="0" applyFont="1" applyFill="1" applyBorder="1" applyAlignment="1" applyProtection="1">
      <alignment horizontal="left" vertical="center"/>
    </xf>
    <xf numFmtId="0" fontId="9" fillId="0" borderId="10" xfId="0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horizontal="left" vertical="center"/>
    </xf>
    <xf numFmtId="0" fontId="9" fillId="0" borderId="0" xfId="0" applyFont="1" applyBorder="1"/>
    <xf numFmtId="174" fontId="34" fillId="0" borderId="0" xfId="4" applyNumberFormat="1" applyFont="1" applyFill="1" applyBorder="1" applyAlignment="1" applyProtection="1">
      <alignment vertical="center"/>
    </xf>
    <xf numFmtId="0" fontId="9" fillId="0" borderId="38" xfId="0" applyFont="1" applyFill="1" applyBorder="1" applyAlignment="1" applyProtection="1">
      <alignment vertical="center"/>
    </xf>
    <xf numFmtId="9" fontId="34" fillId="7" borderId="0" xfId="0" applyNumberFormat="1" applyFont="1" applyFill="1" applyAlignment="1" applyProtection="1">
      <alignment horizontal="center" vertical="center"/>
    </xf>
    <xf numFmtId="0" fontId="47" fillId="7" borderId="0" xfId="0" applyFont="1" applyFill="1" applyAlignment="1" applyProtection="1">
      <alignment horizontal="center" vertical="center"/>
    </xf>
    <xf numFmtId="3" fontId="34" fillId="7" borderId="0" xfId="0" applyNumberFormat="1" applyFont="1" applyFill="1" applyAlignment="1" applyProtection="1">
      <alignment horizontal="center" vertical="center"/>
    </xf>
    <xf numFmtId="0" fontId="79" fillId="7" borderId="0" xfId="0" applyFont="1" applyFill="1" applyAlignment="1" applyProtection="1">
      <alignment horizontal="left"/>
    </xf>
    <xf numFmtId="170" fontId="22" fillId="7" borderId="0" xfId="0" applyNumberFormat="1" applyFont="1" applyFill="1" applyBorder="1" applyAlignment="1" applyProtection="1">
      <alignment horizontal="right"/>
    </xf>
    <xf numFmtId="0" fontId="78" fillId="7" borderId="0" xfId="0" applyFont="1" applyFill="1" applyAlignment="1">
      <alignment horizontal="center" vertical="center" readingOrder="1"/>
    </xf>
    <xf numFmtId="1" fontId="22" fillId="0" borderId="1" xfId="0" applyNumberFormat="1" applyFont="1" applyFill="1" applyBorder="1" applyAlignment="1" applyProtection="1">
      <alignment horizontal="left"/>
      <protection hidden="1"/>
    </xf>
    <xf numFmtId="9" fontId="7" fillId="7" borderId="30" xfId="3" applyFont="1" applyFill="1" applyBorder="1" applyAlignment="1" applyProtection="1">
      <alignment horizontal="center" vertical="top"/>
    </xf>
    <xf numFmtId="3" fontId="22" fillId="7" borderId="0" xfId="0" applyNumberFormat="1" applyFont="1" applyFill="1" applyBorder="1" applyAlignment="1" applyProtection="1">
      <alignment horizontal="right"/>
      <protection hidden="1"/>
    </xf>
    <xf numFmtId="3" fontId="22" fillId="7" borderId="0" xfId="0" applyNumberFormat="1" applyFont="1" applyFill="1" applyAlignment="1" applyProtection="1">
      <alignment horizontal="center"/>
      <protection hidden="1"/>
    </xf>
    <xf numFmtId="3" fontId="22" fillId="7" borderId="0" xfId="0" applyNumberFormat="1" applyFont="1" applyFill="1" applyProtection="1">
      <protection locked="0"/>
    </xf>
    <xf numFmtId="3" fontId="34" fillId="0" borderId="0" xfId="0" applyNumberFormat="1" applyFont="1" applyFill="1" applyBorder="1" applyProtection="1">
      <protection hidden="1"/>
    </xf>
    <xf numFmtId="3" fontId="36" fillId="7" borderId="0" xfId="0" applyNumberFormat="1" applyFont="1" applyFill="1" applyBorder="1" applyAlignment="1" applyProtection="1">
      <alignment horizontal="center"/>
      <protection hidden="1"/>
    </xf>
    <xf numFmtId="3" fontId="34" fillId="7" borderId="0" xfId="0" applyNumberFormat="1" applyFont="1" applyFill="1" applyBorder="1" applyProtection="1">
      <protection hidden="1"/>
    </xf>
    <xf numFmtId="173" fontId="34" fillId="7" borderId="0" xfId="4" applyNumberFormat="1" applyFont="1" applyFill="1" applyBorder="1" applyAlignment="1" applyProtection="1">
      <alignment horizontal="right" indent="1"/>
      <protection hidden="1"/>
    </xf>
    <xf numFmtId="1" fontId="34" fillId="7" borderId="0" xfId="0" applyNumberFormat="1" applyFont="1" applyFill="1" applyBorder="1" applyAlignment="1" applyProtection="1">
      <alignment horizontal="right" indent="1"/>
      <protection hidden="1"/>
    </xf>
    <xf numFmtId="1" fontId="34" fillId="7" borderId="0" xfId="3" applyNumberFormat="1" applyFont="1" applyFill="1" applyBorder="1" applyAlignment="1" applyProtection="1">
      <alignment horizontal="right" indent="1"/>
      <protection hidden="1"/>
    </xf>
    <xf numFmtId="1" fontId="34" fillId="7" borderId="0" xfId="0" applyNumberFormat="1" applyFont="1" applyFill="1" applyAlignment="1" applyProtection="1">
      <alignment horizontal="right" indent="1"/>
      <protection hidden="1"/>
    </xf>
    <xf numFmtId="1" fontId="34" fillId="7" borderId="0" xfId="0" applyNumberFormat="1" applyFont="1" applyFill="1" applyAlignment="1" applyProtection="1">
      <alignment horizontal="left" indent="1"/>
      <protection hidden="1"/>
    </xf>
    <xf numFmtId="1" fontId="34" fillId="7" borderId="0" xfId="3" applyNumberFormat="1" applyFont="1" applyFill="1" applyAlignment="1" applyProtection="1">
      <alignment horizontal="right" indent="1"/>
      <protection hidden="1"/>
    </xf>
    <xf numFmtId="1" fontId="42" fillId="7" borderId="0" xfId="0" applyNumberFormat="1" applyFont="1" applyFill="1" applyBorder="1" applyAlignment="1" applyProtection="1">
      <alignment horizontal="center" vertical="center"/>
      <protection hidden="1"/>
    </xf>
    <xf numFmtId="1" fontId="42" fillId="7" borderId="0" xfId="0" applyNumberFormat="1" applyFont="1" applyFill="1" applyBorder="1" applyAlignment="1" applyProtection="1">
      <alignment horizontal="left" vertical="center"/>
      <protection hidden="1"/>
    </xf>
    <xf numFmtId="4" fontId="34" fillId="7" borderId="0" xfId="0" applyNumberFormat="1" applyFont="1" applyFill="1" applyBorder="1" applyAlignment="1" applyProtection="1">
      <alignment horizontal="right" indent="1"/>
      <protection hidden="1"/>
    </xf>
    <xf numFmtId="0" fontId="34" fillId="7" borderId="0" xfId="0" applyFont="1" applyFill="1" applyBorder="1" applyAlignment="1" applyProtection="1">
      <alignment horizontal="left"/>
      <protection hidden="1"/>
    </xf>
    <xf numFmtId="1" fontId="34" fillId="7" borderId="0" xfId="0" applyNumberFormat="1" applyFont="1" applyFill="1" applyBorder="1" applyAlignment="1" applyProtection="1">
      <alignment horizontal="left"/>
      <protection hidden="1"/>
    </xf>
    <xf numFmtId="1" fontId="34" fillId="7" borderId="0" xfId="0" applyNumberFormat="1" applyFont="1" applyFill="1" applyBorder="1" applyAlignment="1" applyProtection="1">
      <alignment horizontal="left" indent="1"/>
      <protection hidden="1"/>
    </xf>
    <xf numFmtId="0" fontId="28" fillId="7" borderId="0" xfId="0" applyFont="1" applyFill="1" applyAlignment="1" applyProtection="1">
      <alignment horizontal="center"/>
    </xf>
    <xf numFmtId="1" fontId="34" fillId="7" borderId="0" xfId="0" applyNumberFormat="1" applyFont="1" applyFill="1" applyAlignment="1" applyProtection="1">
      <alignment horizontal="right" indent="1"/>
      <protection locked="0"/>
    </xf>
    <xf numFmtId="0" fontId="37" fillId="7" borderId="0" xfId="0" applyFont="1" applyFill="1"/>
    <xf numFmtId="38" fontId="34" fillId="7" borderId="0" xfId="0" applyNumberFormat="1" applyFont="1" applyFill="1" applyAlignment="1" applyProtection="1">
      <protection hidden="1"/>
    </xf>
    <xf numFmtId="14" fontId="6" fillId="2" borderId="0" xfId="0" applyNumberFormat="1" applyFont="1" applyFill="1" applyBorder="1" applyAlignment="1">
      <alignment horizontal="center"/>
    </xf>
    <xf numFmtId="0" fontId="22" fillId="10" borderId="30" xfId="0" applyNumberFormat="1" applyFont="1" applyFill="1" applyBorder="1" applyAlignment="1" applyProtection="1">
      <alignment vertical="top"/>
      <protection locked="0" hidden="1"/>
    </xf>
    <xf numFmtId="0" fontId="22" fillId="0" borderId="30" xfId="0" applyNumberFormat="1" applyFont="1" applyFill="1" applyBorder="1" applyAlignment="1" applyProtection="1">
      <alignment vertical="top"/>
      <protection hidden="1"/>
    </xf>
    <xf numFmtId="0" fontId="38" fillId="0" borderId="30" xfId="0" applyNumberFormat="1" applyFont="1" applyFill="1" applyBorder="1" applyAlignment="1" applyProtection="1">
      <alignment vertical="top"/>
      <protection hidden="1"/>
    </xf>
    <xf numFmtId="0" fontId="22" fillId="0" borderId="142" xfId="0" applyNumberFormat="1" applyFont="1" applyFill="1" applyBorder="1" applyAlignment="1" applyProtection="1">
      <alignment vertical="top"/>
      <protection hidden="1"/>
    </xf>
    <xf numFmtId="0" fontId="38" fillId="0" borderId="88" xfId="0" applyNumberFormat="1" applyFont="1" applyFill="1" applyBorder="1" applyAlignment="1" applyProtection="1">
      <alignment vertical="top"/>
      <protection hidden="1"/>
    </xf>
    <xf numFmtId="0" fontId="22" fillId="0" borderId="130" xfId="0" applyNumberFormat="1" applyFont="1" applyFill="1" applyBorder="1" applyAlignment="1" applyProtection="1">
      <alignment vertical="top"/>
      <protection hidden="1"/>
    </xf>
    <xf numFmtId="170" fontId="22" fillId="0" borderId="1" xfId="0" applyNumberFormat="1" applyFont="1" applyFill="1" applyBorder="1" applyAlignment="1" applyProtection="1">
      <alignment horizontal="left" vertical="top"/>
      <protection hidden="1"/>
    </xf>
    <xf numFmtId="49" fontId="38" fillId="0" borderId="31" xfId="0" applyNumberFormat="1" applyFont="1" applyFill="1" applyBorder="1" applyAlignment="1" applyProtection="1">
      <alignment vertical="center"/>
      <protection hidden="1"/>
    </xf>
    <xf numFmtId="49" fontId="38" fillId="0" borderId="73" xfId="0" applyNumberFormat="1" applyFont="1" applyFill="1" applyBorder="1" applyAlignment="1" applyProtection="1">
      <alignment vertical="top"/>
      <protection hidden="1"/>
    </xf>
    <xf numFmtId="0" fontId="38" fillId="0" borderId="74" xfId="0" applyNumberFormat="1" applyFont="1" applyFill="1" applyBorder="1" applyAlignment="1" applyProtection="1">
      <alignment vertical="center"/>
      <protection hidden="1"/>
    </xf>
    <xf numFmtId="0" fontId="54" fillId="7" borderId="0" xfId="0" applyFont="1" applyFill="1" applyAlignment="1" applyProtection="1">
      <alignment horizontal="left"/>
    </xf>
    <xf numFmtId="0" fontId="22" fillId="0" borderId="97" xfId="9" applyFont="1" applyFill="1" applyBorder="1" applyAlignment="1" applyProtection="1">
      <alignment vertical="center"/>
    </xf>
    <xf numFmtId="0" fontId="22" fillId="0" borderId="106" xfId="9" applyFont="1" applyFill="1" applyBorder="1" applyAlignment="1" applyProtection="1">
      <alignment vertical="center"/>
    </xf>
    <xf numFmtId="0" fontId="22" fillId="0" borderId="10" xfId="9" applyFont="1" applyFill="1" applyBorder="1" applyAlignment="1" applyProtection="1">
      <alignment vertical="center"/>
    </xf>
    <xf numFmtId="0" fontId="80" fillId="7" borderId="0" xfId="0" applyFont="1" applyFill="1" applyAlignment="1" applyProtection="1"/>
    <xf numFmtId="0" fontId="46" fillId="7" borderId="0" xfId="0" applyFont="1" applyFill="1"/>
    <xf numFmtId="0" fontId="46" fillId="7" borderId="0" xfId="0" applyFont="1" applyFill="1" applyProtection="1"/>
    <xf numFmtId="0" fontId="54" fillId="7" borderId="0" xfId="0" applyFont="1" applyFill="1" applyAlignment="1" applyProtection="1">
      <alignment vertical="top"/>
    </xf>
    <xf numFmtId="0" fontId="54" fillId="7" borderId="0" xfId="0" applyFont="1" applyFill="1" applyAlignment="1" applyProtection="1">
      <alignment vertical="center"/>
    </xf>
    <xf numFmtId="0" fontId="54" fillId="7" borderId="0" xfId="0" applyFont="1" applyFill="1" applyBorder="1" applyAlignment="1" applyProtection="1"/>
    <xf numFmtId="0" fontId="54" fillId="7" borderId="0" xfId="0" applyFont="1" applyFill="1" applyBorder="1" applyAlignment="1" applyProtection="1">
      <alignment horizontal="left"/>
    </xf>
    <xf numFmtId="0" fontId="54" fillId="7" borderId="0" xfId="0" applyFont="1" applyFill="1" applyAlignment="1" applyProtection="1"/>
    <xf numFmtId="0" fontId="54" fillId="7" borderId="0" xfId="0" applyFont="1" applyFill="1" applyProtection="1"/>
    <xf numFmtId="0" fontId="54" fillId="7" borderId="0" xfId="0" applyFont="1" applyFill="1"/>
    <xf numFmtId="170" fontId="22" fillId="0" borderId="49" xfId="0" applyNumberFormat="1" applyFont="1" applyFill="1" applyBorder="1" applyAlignment="1" applyProtection="1">
      <alignment vertical="center"/>
    </xf>
    <xf numFmtId="170" fontId="22" fillId="0" borderId="48" xfId="0" applyNumberFormat="1" applyFont="1" applyFill="1" applyBorder="1" applyAlignment="1" applyProtection="1">
      <alignment vertical="center"/>
    </xf>
    <xf numFmtId="170" fontId="22" fillId="0" borderId="98" xfId="0" applyNumberFormat="1" applyFont="1" applyFill="1" applyBorder="1" applyAlignment="1" applyProtection="1">
      <alignment horizontal="right" vertical="center"/>
    </xf>
    <xf numFmtId="170" fontId="22" fillId="0" borderId="46" xfId="0" applyNumberFormat="1" applyFont="1" applyFill="1" applyBorder="1" applyAlignment="1" applyProtection="1">
      <alignment horizontal="right" vertical="center"/>
    </xf>
    <xf numFmtId="167" fontId="22" fillId="1" borderId="106" xfId="0" applyNumberFormat="1" applyFont="1" applyFill="1" applyBorder="1" applyAlignment="1" applyProtection="1">
      <alignment vertical="center"/>
      <protection hidden="1"/>
    </xf>
    <xf numFmtId="1" fontId="22" fillId="1" borderId="65" xfId="2" applyNumberFormat="1" applyFont="1" applyFill="1" applyBorder="1" applyAlignment="1" applyProtection="1">
      <alignment horizontal="center" vertical="center"/>
      <protection hidden="1"/>
    </xf>
    <xf numFmtId="3" fontId="22" fillId="7" borderId="129" xfId="0" applyNumberFormat="1" applyFont="1" applyFill="1" applyBorder="1" applyAlignment="1" applyProtection="1">
      <alignment horizontal="right" indent="1"/>
      <protection hidden="1"/>
    </xf>
    <xf numFmtId="3" fontId="22" fillId="7" borderId="151" xfId="0" applyNumberFormat="1" applyFont="1" applyFill="1" applyBorder="1" applyAlignment="1" applyProtection="1">
      <alignment horizontal="right" indent="1"/>
      <protection hidden="1"/>
    </xf>
    <xf numFmtId="1" fontId="34" fillId="7" borderId="0" xfId="3" applyNumberFormat="1" applyFont="1" applyFill="1" applyAlignment="1" applyProtection="1">
      <alignment horizontal="center" vertical="top"/>
    </xf>
    <xf numFmtId="3" fontId="43" fillId="1" borderId="41" xfId="3" applyNumberFormat="1" applyFont="1" applyFill="1" applyBorder="1" applyAlignment="1" applyProtection="1">
      <alignment horizontal="right" wrapText="1" indent="1"/>
    </xf>
    <xf numFmtId="3" fontId="43" fillId="1" borderId="2" xfId="3" applyNumberFormat="1" applyFont="1" applyFill="1" applyBorder="1" applyAlignment="1" applyProtection="1">
      <alignment horizontal="right" wrapText="1" indent="1"/>
    </xf>
    <xf numFmtId="10" fontId="22" fillId="1" borderId="41" xfId="3" applyNumberFormat="1" applyFont="1" applyFill="1" applyBorder="1" applyAlignment="1" applyProtection="1">
      <alignment horizontal="right" indent="1"/>
    </xf>
    <xf numFmtId="3" fontId="22" fillId="1" borderId="1" xfId="0" applyNumberFormat="1" applyFont="1" applyFill="1" applyBorder="1" applyAlignment="1" applyProtection="1">
      <alignment horizontal="center"/>
    </xf>
    <xf numFmtId="3" fontId="22" fillId="1" borderId="2" xfId="0" applyNumberFormat="1" applyFont="1" applyFill="1" applyBorder="1" applyAlignment="1" applyProtection="1">
      <alignment horizontal="center"/>
    </xf>
    <xf numFmtId="3" fontId="22" fillId="1" borderId="42" xfId="0" applyNumberFormat="1" applyFont="1" applyFill="1" applyBorder="1" applyAlignment="1" applyProtection="1">
      <alignment horizontal="right"/>
    </xf>
    <xf numFmtId="3" fontId="22" fillId="1" borderId="45" xfId="0" applyNumberFormat="1" applyFont="1" applyFill="1" applyBorder="1" applyAlignment="1" applyProtection="1">
      <alignment horizontal="right"/>
    </xf>
    <xf numFmtId="3" fontId="22" fillId="1" borderId="48" xfId="0" applyNumberFormat="1" applyFont="1" applyFill="1" applyBorder="1" applyAlignment="1" applyProtection="1">
      <alignment horizontal="right" vertical="center"/>
    </xf>
    <xf numFmtId="3" fontId="22" fillId="1" borderId="8" xfId="0" applyNumberFormat="1" applyFont="1" applyFill="1" applyBorder="1" applyAlignment="1" applyProtection="1">
      <alignment horizontal="right"/>
    </xf>
    <xf numFmtId="3" fontId="22" fillId="1" borderId="43" xfId="0" applyNumberFormat="1" applyFont="1" applyFill="1" applyBorder="1" applyAlignment="1" applyProtection="1">
      <alignment horizontal="right"/>
    </xf>
    <xf numFmtId="3" fontId="22" fillId="1" borderId="44" xfId="0" applyNumberFormat="1" applyFont="1" applyFill="1" applyBorder="1" applyAlignment="1" applyProtection="1">
      <alignment horizontal="right"/>
    </xf>
    <xf numFmtId="3" fontId="22" fillId="1" borderId="46" xfId="0" applyNumberFormat="1" applyFont="1" applyFill="1" applyBorder="1" applyAlignment="1" applyProtection="1">
      <alignment horizontal="right"/>
    </xf>
    <xf numFmtId="3" fontId="22" fillId="1" borderId="47" xfId="0" applyNumberFormat="1" applyFont="1" applyFill="1" applyBorder="1" applyAlignment="1" applyProtection="1">
      <alignment horizontal="right" vertical="center"/>
    </xf>
    <xf numFmtId="3" fontId="22" fillId="1" borderId="49" xfId="0" applyNumberFormat="1" applyFont="1" applyFill="1" applyBorder="1" applyAlignment="1" applyProtection="1">
      <alignment horizontal="right" vertical="center"/>
    </xf>
    <xf numFmtId="49" fontId="22" fillId="1" borderId="105" xfId="0" applyNumberFormat="1" applyFont="1" applyFill="1" applyBorder="1" applyAlignment="1" applyProtection="1">
      <alignment horizontal="center" vertical="center"/>
      <protection hidden="1"/>
    </xf>
    <xf numFmtId="49" fontId="22" fillId="1" borderId="104" xfId="0" applyNumberFormat="1" applyFont="1" applyFill="1" applyBorder="1" applyAlignment="1" applyProtection="1">
      <alignment horizontal="center" vertical="center"/>
      <protection hidden="1"/>
    </xf>
    <xf numFmtId="167" fontId="22" fillId="20" borderId="48" xfId="0" applyNumberFormat="1" applyFont="1" applyFill="1" applyBorder="1" applyAlignment="1" applyProtection="1">
      <alignment horizontal="right" vertical="center"/>
      <protection hidden="1"/>
    </xf>
    <xf numFmtId="0" fontId="82" fillId="7" borderId="0" xfId="0" applyFont="1" applyFill="1" applyBorder="1" applyAlignment="1" applyProtection="1">
      <alignment horizontal="left" vertical="center"/>
    </xf>
    <xf numFmtId="0" fontId="41" fillId="7" borderId="0" xfId="0" applyFont="1" applyFill="1" applyAlignment="1" applyProtection="1">
      <alignment horizontal="left" vertical="center"/>
    </xf>
    <xf numFmtId="0" fontId="4" fillId="0" borderId="0" xfId="0" applyFont="1" applyFill="1" applyAlignment="1" applyProtection="1"/>
    <xf numFmtId="0" fontId="33" fillId="0" borderId="0" xfId="0" applyFont="1" applyFill="1" applyAlignment="1" applyProtection="1"/>
    <xf numFmtId="0" fontId="58" fillId="0" borderId="0" xfId="0" applyFont="1" applyFill="1" applyBorder="1" applyAlignment="1" applyProtection="1"/>
    <xf numFmtId="0" fontId="33" fillId="0" borderId="0" xfId="0" applyFont="1" applyFill="1" applyBorder="1"/>
    <xf numFmtId="0" fontId="33" fillId="0" borderId="0" xfId="0" applyFont="1" applyFill="1" applyBorder="1" applyAlignment="1" applyProtection="1">
      <alignment vertical="center"/>
      <protection locked="0"/>
    </xf>
    <xf numFmtId="0" fontId="22" fillId="0" borderId="0" xfId="0" applyFont="1" applyFill="1" applyAlignment="1">
      <alignment vertical="center"/>
    </xf>
    <xf numFmtId="0" fontId="4" fillId="0" borderId="0" xfId="0" applyFont="1" applyFill="1" applyAlignment="1" applyProtection="1">
      <alignment vertical="center"/>
    </xf>
    <xf numFmtId="0" fontId="33" fillId="0" borderId="0" xfId="0" applyFont="1" applyFill="1" applyAlignment="1" applyProtection="1">
      <alignment vertical="center"/>
    </xf>
    <xf numFmtId="0" fontId="33" fillId="0" borderId="0" xfId="0" applyFont="1" applyFill="1" applyBorder="1" applyAlignment="1" applyProtection="1">
      <alignment vertical="center"/>
    </xf>
    <xf numFmtId="0" fontId="22" fillId="0" borderId="0" xfId="0" applyFont="1" applyFill="1" applyBorder="1" applyAlignment="1" applyProtection="1">
      <protection locked="0"/>
    </xf>
    <xf numFmtId="0" fontId="9" fillId="0" borderId="0" xfId="0" applyFont="1" applyFill="1" applyAlignment="1" applyProtection="1"/>
    <xf numFmtId="0" fontId="33" fillId="0" borderId="0" xfId="0" applyFont="1" applyFill="1" applyBorder="1" applyAlignment="1" applyProtection="1">
      <protection locked="0"/>
    </xf>
    <xf numFmtId="0" fontId="56" fillId="0" borderId="0" xfId="0" applyFont="1" applyFill="1" applyAlignment="1" applyProtection="1"/>
    <xf numFmtId="0" fontId="22" fillId="0" borderId="0" xfId="0" quotePrefix="1" applyFont="1" applyFill="1" applyBorder="1" applyAlignment="1" applyProtection="1"/>
    <xf numFmtId="14" fontId="22" fillId="0" borderId="0" xfId="0" applyNumberFormat="1" applyFont="1" applyFill="1" applyBorder="1" applyAlignment="1" applyProtection="1">
      <protection locked="0"/>
    </xf>
    <xf numFmtId="0" fontId="33" fillId="0" borderId="0" xfId="1" applyFont="1" applyFill="1" applyAlignment="1" applyProtection="1"/>
    <xf numFmtId="3" fontId="22" fillId="0" borderId="1" xfId="0" applyNumberFormat="1" applyFont="1" applyFill="1" applyBorder="1" applyAlignment="1" applyProtection="1">
      <alignment vertical="center"/>
    </xf>
    <xf numFmtId="3" fontId="22" fillId="0" borderId="2" xfId="0" applyNumberFormat="1" applyFont="1" applyFill="1" applyBorder="1" applyAlignment="1" applyProtection="1">
      <alignment vertical="center"/>
    </xf>
    <xf numFmtId="3" fontId="22" fillId="0" borderId="3" xfId="0" applyNumberFormat="1" applyFont="1" applyFill="1" applyBorder="1" applyAlignment="1" applyProtection="1">
      <alignment vertical="center"/>
    </xf>
    <xf numFmtId="3" fontId="22" fillId="0" borderId="4" xfId="0" applyNumberFormat="1" applyFont="1" applyFill="1" applyBorder="1" applyAlignment="1" applyProtection="1">
      <alignment vertical="center"/>
    </xf>
    <xf numFmtId="3" fontId="9" fillId="0" borderId="46" xfId="0" applyNumberFormat="1" applyFont="1" applyFill="1" applyBorder="1" applyAlignment="1" applyProtection="1">
      <alignment vertical="center"/>
    </xf>
    <xf numFmtId="3" fontId="9" fillId="0" borderId="45" xfId="0" applyNumberFormat="1" applyFont="1" applyFill="1" applyBorder="1" applyAlignment="1" applyProtection="1">
      <alignment vertical="center"/>
    </xf>
    <xf numFmtId="3" fontId="22" fillId="1" borderId="2" xfId="0" applyNumberFormat="1" applyFont="1" applyFill="1" applyBorder="1" applyAlignment="1" applyProtection="1">
      <alignment vertical="center"/>
    </xf>
    <xf numFmtId="3" fontId="9" fillId="0" borderId="9" xfId="0" applyNumberFormat="1" applyFont="1" applyFill="1" applyBorder="1" applyAlignment="1" applyProtection="1">
      <alignment vertical="center"/>
    </xf>
    <xf numFmtId="3" fontId="9" fillId="1" borderId="76" xfId="0" applyNumberFormat="1" applyFont="1" applyFill="1" applyBorder="1" applyAlignment="1" applyProtection="1">
      <alignment vertical="center"/>
    </xf>
    <xf numFmtId="3" fontId="22" fillId="4" borderId="16" xfId="0" applyNumberFormat="1" applyFont="1" applyFill="1" applyBorder="1" applyAlignment="1" applyProtection="1">
      <alignment vertical="center"/>
    </xf>
    <xf numFmtId="3" fontId="22" fillId="4" borderId="17" xfId="0" applyNumberFormat="1" applyFont="1" applyFill="1" applyBorder="1" applyAlignment="1" applyProtection="1">
      <alignment vertical="center"/>
    </xf>
    <xf numFmtId="3" fontId="9" fillId="0" borderId="1" xfId="0" applyNumberFormat="1" applyFont="1" applyFill="1" applyBorder="1" applyAlignment="1" applyProtection="1">
      <alignment vertical="center"/>
    </xf>
    <xf numFmtId="3" fontId="22" fillId="0" borderId="16" xfId="0" applyNumberFormat="1" applyFont="1" applyFill="1" applyBorder="1" applyAlignment="1" applyProtection="1">
      <alignment vertical="center"/>
    </xf>
    <xf numFmtId="3" fontId="9" fillId="0" borderId="76" xfId="0" applyNumberFormat="1" applyFont="1" applyFill="1" applyBorder="1" applyAlignment="1" applyProtection="1">
      <alignment vertical="center"/>
    </xf>
    <xf numFmtId="169" fontId="22" fillId="0" borderId="61" xfId="0" applyNumberFormat="1" applyFont="1" applyFill="1" applyBorder="1" applyAlignment="1" applyProtection="1"/>
    <xf numFmtId="169" fontId="22" fillId="0" borderId="60" xfId="0" applyNumberFormat="1" applyFont="1" applyFill="1" applyBorder="1" applyAlignment="1" applyProtection="1"/>
    <xf numFmtId="169" fontId="22" fillId="0" borderId="1" xfId="0" applyNumberFormat="1" applyFont="1" applyFill="1" applyBorder="1" applyAlignment="1" applyProtection="1"/>
    <xf numFmtId="169" fontId="22" fillId="0" borderId="2" xfId="0" applyNumberFormat="1" applyFont="1" applyFill="1" applyBorder="1" applyAlignment="1" applyProtection="1"/>
    <xf numFmtId="169" fontId="44" fillId="0" borderId="1" xfId="0" applyNumberFormat="1" applyFont="1" applyFill="1" applyBorder="1" applyAlignment="1" applyProtection="1"/>
    <xf numFmtId="169" fontId="22" fillId="0" borderId="49" xfId="0" applyNumberFormat="1" applyFont="1" applyFill="1" applyBorder="1" applyAlignment="1" applyProtection="1"/>
    <xf numFmtId="169" fontId="22" fillId="0" borderId="48" xfId="0" applyNumberFormat="1" applyFont="1" applyFill="1" applyBorder="1" applyAlignment="1" applyProtection="1"/>
    <xf numFmtId="169" fontId="22" fillId="0" borderId="5" xfId="0" applyNumberFormat="1" applyFont="1" applyFill="1" applyBorder="1" applyAlignment="1" applyProtection="1"/>
    <xf numFmtId="169" fontId="22" fillId="0" borderId="6" xfId="0" applyNumberFormat="1" applyFont="1" applyFill="1" applyBorder="1" applyAlignment="1" applyProtection="1"/>
    <xf numFmtId="169" fontId="22" fillId="0" borderId="16" xfId="0" applyNumberFormat="1" applyFont="1" applyFill="1" applyBorder="1" applyAlignment="1" applyProtection="1"/>
    <xf numFmtId="169" fontId="22" fillId="0" borderId="17" xfId="0" applyNumberFormat="1" applyFont="1" applyFill="1" applyBorder="1" applyAlignment="1" applyProtection="1"/>
    <xf numFmtId="169" fontId="22" fillId="15" borderId="1" xfId="0" applyNumberFormat="1" applyFont="1" applyFill="1" applyBorder="1" applyAlignment="1" applyProtection="1">
      <protection locked="0"/>
    </xf>
    <xf numFmtId="169" fontId="22" fillId="0" borderId="62" xfId="0" applyNumberFormat="1" applyFont="1" applyFill="1" applyBorder="1" applyAlignment="1" applyProtection="1">
      <alignment vertical="center"/>
    </xf>
    <xf numFmtId="169" fontId="22" fillId="0" borderId="56" xfId="0" applyNumberFormat="1" applyFont="1" applyFill="1" applyBorder="1" applyAlignment="1" applyProtection="1">
      <alignment vertical="center"/>
    </xf>
    <xf numFmtId="169" fontId="22" fillId="1" borderId="6" xfId="0" applyNumberFormat="1" applyFont="1" applyFill="1" applyBorder="1" applyAlignment="1" applyProtection="1"/>
    <xf numFmtId="2" fontId="22" fillId="0" borderId="1" xfId="0" applyNumberFormat="1" applyFont="1" applyFill="1" applyBorder="1" applyAlignment="1" applyProtection="1"/>
    <xf numFmtId="2" fontId="22" fillId="0" borderId="2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/>
    <xf numFmtId="3" fontId="22" fillId="7" borderId="1" xfId="0" applyNumberFormat="1" applyFont="1" applyFill="1" applyBorder="1" applyAlignment="1" applyProtection="1"/>
    <xf numFmtId="170" fontId="33" fillId="19" borderId="152" xfId="0" applyNumberFormat="1" applyFont="1" applyFill="1" applyBorder="1" applyAlignment="1" applyProtection="1"/>
    <xf numFmtId="3" fontId="33" fillId="0" borderId="153" xfId="0" applyNumberFormat="1" applyFont="1" applyFill="1" applyBorder="1" applyAlignment="1" applyProtection="1"/>
    <xf numFmtId="3" fontId="22" fillId="7" borderId="128" xfId="0" applyNumberFormat="1" applyFont="1" applyFill="1" applyBorder="1" applyAlignment="1" applyProtection="1"/>
    <xf numFmtId="3" fontId="22" fillId="7" borderId="126" xfId="0" applyNumberFormat="1" applyFont="1" applyFill="1" applyBorder="1" applyAlignment="1" applyProtection="1"/>
    <xf numFmtId="3" fontId="22" fillId="0" borderId="3" xfId="0" applyNumberFormat="1" applyFont="1" applyFill="1" applyBorder="1" applyAlignment="1" applyProtection="1"/>
    <xf numFmtId="3" fontId="22" fillId="0" borderId="42" xfId="0" applyNumberFormat="1" applyFont="1" applyFill="1" applyBorder="1" applyAlignment="1" applyProtection="1"/>
    <xf numFmtId="3" fontId="22" fillId="0" borderId="9" xfId="0" applyNumberFormat="1" applyFont="1" applyFill="1" applyBorder="1" applyAlignment="1" applyProtection="1"/>
    <xf numFmtId="3" fontId="22" fillId="1" borderId="56" xfId="0" applyNumberFormat="1" applyFont="1" applyFill="1" applyBorder="1" applyAlignment="1" applyProtection="1"/>
    <xf numFmtId="3" fontId="33" fillId="0" borderId="152" xfId="0" applyNumberFormat="1" applyFont="1" applyFill="1" applyBorder="1" applyAlignment="1" applyProtection="1"/>
    <xf numFmtId="3" fontId="22" fillId="0" borderId="40" xfId="0" applyNumberFormat="1" applyFont="1" applyFill="1" applyBorder="1" applyAlignment="1" applyProtection="1"/>
    <xf numFmtId="2" fontId="22" fillId="0" borderId="61" xfId="0" applyNumberFormat="1" applyFont="1" applyFill="1" applyBorder="1" applyAlignment="1" applyProtection="1"/>
    <xf numFmtId="3" fontId="22" fillId="0" borderId="1" xfId="0" applyNumberFormat="1" applyFont="1" applyFill="1" applyBorder="1" applyAlignment="1" applyProtection="1"/>
    <xf numFmtId="170" fontId="33" fillId="0" borderId="40" xfId="0" applyNumberFormat="1" applyFont="1" applyFill="1" applyBorder="1" applyAlignment="1" applyProtection="1"/>
    <xf numFmtId="3" fontId="33" fillId="7" borderId="152" xfId="0" applyNumberFormat="1" applyFont="1" applyFill="1" applyBorder="1" applyAlignment="1" applyProtection="1"/>
    <xf numFmtId="3" fontId="33" fillId="0" borderId="101" xfId="0" applyNumberFormat="1" applyFont="1" applyFill="1" applyBorder="1" applyAlignment="1" applyProtection="1"/>
    <xf numFmtId="3" fontId="22" fillId="0" borderId="2" xfId="0" applyNumberFormat="1" applyFont="1" applyFill="1" applyBorder="1" applyAlignment="1" applyProtection="1">
      <alignment horizontal="right" vertical="top"/>
    </xf>
    <xf numFmtId="3" fontId="22" fillId="0" borderId="136" xfId="0" applyNumberFormat="1" applyFont="1" applyFill="1" applyBorder="1" applyAlignment="1" applyProtection="1">
      <alignment horizontal="right" vertical="top"/>
    </xf>
    <xf numFmtId="3" fontId="22" fillId="0" borderId="142" xfId="0" applyNumberFormat="1" applyFont="1" applyFill="1" applyBorder="1" applyAlignment="1" applyProtection="1">
      <alignment horizontal="right"/>
    </xf>
    <xf numFmtId="3" fontId="22" fillId="0" borderId="143" xfId="0" applyNumberFormat="1" applyFont="1" applyFill="1" applyBorder="1" applyAlignment="1" applyProtection="1">
      <alignment horizontal="right" vertical="top"/>
    </xf>
    <xf numFmtId="3" fontId="22" fillId="0" borderId="40" xfId="0" applyNumberFormat="1" applyFont="1" applyFill="1" applyBorder="1" applyAlignment="1" applyProtection="1">
      <alignment horizontal="right" vertical="top"/>
    </xf>
    <xf numFmtId="3" fontId="22" fillId="0" borderId="122" xfId="0" applyNumberFormat="1" applyFont="1" applyFill="1" applyBorder="1" applyAlignment="1" applyProtection="1">
      <alignment horizontal="right" vertical="top"/>
    </xf>
    <xf numFmtId="3" fontId="22" fillId="0" borderId="129" xfId="0" applyNumberFormat="1" applyFont="1" applyFill="1" applyBorder="1" applyAlignment="1" applyProtection="1">
      <alignment horizontal="right" vertical="top"/>
    </xf>
    <xf numFmtId="3" fontId="22" fillId="0" borderId="1" xfId="0" applyNumberFormat="1" applyFont="1" applyFill="1" applyBorder="1" applyAlignment="1" applyProtection="1">
      <alignment horizontal="right" vertical="top"/>
    </xf>
    <xf numFmtId="3" fontId="22" fillId="7" borderId="2" xfId="0" applyNumberFormat="1" applyFont="1" applyFill="1" applyBorder="1" applyAlignment="1" applyProtection="1">
      <alignment horizontal="right" vertical="top"/>
    </xf>
    <xf numFmtId="3" fontId="22" fillId="0" borderId="85" xfId="0" applyNumberFormat="1" applyFont="1" applyFill="1" applyBorder="1" applyAlignment="1" applyProtection="1">
      <alignment horizontal="right" vertical="top"/>
    </xf>
    <xf numFmtId="3" fontId="22" fillId="0" borderId="84" xfId="0" applyNumberFormat="1" applyFont="1" applyFill="1" applyBorder="1" applyAlignment="1" applyProtection="1">
      <alignment horizontal="right" vertical="top"/>
    </xf>
    <xf numFmtId="3" fontId="22" fillId="0" borderId="86" xfId="0" applyNumberFormat="1" applyFont="1" applyFill="1" applyBorder="1" applyAlignment="1" applyProtection="1">
      <alignment horizontal="right" vertical="top"/>
    </xf>
    <xf numFmtId="3" fontId="9" fillId="0" borderId="3" xfId="0" applyNumberFormat="1" applyFont="1" applyFill="1" applyBorder="1" applyAlignment="1" applyProtection="1">
      <alignment horizontal="right" vertical="center"/>
    </xf>
    <xf numFmtId="3" fontId="9" fillId="0" borderId="51" xfId="0" applyNumberFormat="1" applyFont="1" applyFill="1" applyBorder="1" applyAlignment="1" applyProtection="1">
      <alignment horizontal="right" vertical="center"/>
    </xf>
    <xf numFmtId="3" fontId="22" fillId="0" borderId="15" xfId="0" applyNumberFormat="1" applyFont="1" applyFill="1" applyBorder="1" applyAlignment="1" applyProtection="1">
      <alignment horizontal="right" vertical="top"/>
    </xf>
    <xf numFmtId="3" fontId="22" fillId="0" borderId="14" xfId="0" applyNumberFormat="1" applyFont="1" applyFill="1" applyBorder="1" applyAlignment="1" applyProtection="1">
      <alignment horizontal="right" vertical="top"/>
    </xf>
    <xf numFmtId="3" fontId="9" fillId="0" borderId="49" xfId="0" applyNumberFormat="1" applyFont="1" applyFill="1" applyBorder="1" applyAlignment="1" applyProtection="1">
      <alignment horizontal="right" vertical="center"/>
    </xf>
    <xf numFmtId="3" fontId="9" fillId="0" borderId="48" xfId="0" applyNumberFormat="1" applyFont="1" applyFill="1" applyBorder="1" applyAlignment="1" applyProtection="1">
      <alignment horizontal="right" vertical="center"/>
    </xf>
    <xf numFmtId="3" fontId="22" fillId="0" borderId="1" xfId="0" applyNumberFormat="1" applyFont="1" applyFill="1" applyBorder="1" applyAlignment="1" applyProtection="1">
      <alignment horizontal="right"/>
    </xf>
    <xf numFmtId="3" fontId="22" fillId="0" borderId="137" xfId="0" applyNumberFormat="1" applyFont="1" applyFill="1" applyBorder="1" applyAlignment="1" applyProtection="1">
      <alignment horizontal="right"/>
    </xf>
    <xf numFmtId="3" fontId="22" fillId="0" borderId="3" xfId="0" applyNumberFormat="1" applyFont="1" applyFill="1" applyBorder="1" applyAlignment="1" applyProtection="1">
      <alignment horizontal="right" vertical="center"/>
    </xf>
    <xf numFmtId="3" fontId="22" fillId="0" borderId="49" xfId="0" applyNumberFormat="1" applyFont="1" applyFill="1" applyBorder="1" applyAlignment="1" applyProtection="1">
      <alignment horizontal="right" vertical="center"/>
    </xf>
    <xf numFmtId="3" fontId="22" fillId="7" borderId="11" xfId="0" applyNumberFormat="1" applyFont="1" applyFill="1" applyBorder="1" applyAlignment="1" applyProtection="1">
      <alignment horizontal="right" vertical="center"/>
      <protection hidden="1"/>
    </xf>
    <xf numFmtId="0" fontId="22" fillId="7" borderId="57" xfId="0" applyFont="1" applyFill="1" applyBorder="1" applyAlignment="1" applyProtection="1">
      <alignment horizontal="center" vertical="center"/>
    </xf>
    <xf numFmtId="1" fontId="22" fillId="7" borderId="57" xfId="0" applyNumberFormat="1" applyFont="1" applyFill="1" applyBorder="1" applyAlignment="1" applyProtection="1">
      <alignment horizontal="center" vertical="center"/>
    </xf>
    <xf numFmtId="0" fontId="28" fillId="7" borderId="0" xfId="0" applyFont="1" applyFill="1" applyBorder="1" applyAlignment="1" applyProtection="1"/>
    <xf numFmtId="0" fontId="28" fillId="13" borderId="0" xfId="0" applyFont="1" applyFill="1" applyBorder="1" applyAlignment="1" applyProtection="1">
      <alignment horizontal="left" indent="1"/>
      <protection locked="0"/>
    </xf>
    <xf numFmtId="14" fontId="4" fillId="7" borderId="0" xfId="0" applyNumberFormat="1" applyFont="1" applyFill="1"/>
    <xf numFmtId="0" fontId="85" fillId="7" borderId="0" xfId="0" applyFont="1" applyFill="1"/>
    <xf numFmtId="0" fontId="9" fillId="7" borderId="0" xfId="0" applyFont="1" applyFill="1" applyAlignment="1">
      <alignment horizontal="right" vertical="center" readingOrder="1"/>
    </xf>
    <xf numFmtId="0" fontId="3" fillId="7" borderId="0" xfId="1" applyFill="1" applyAlignment="1" applyProtection="1">
      <alignment vertical="center" readingOrder="1"/>
    </xf>
    <xf numFmtId="0" fontId="58" fillId="7" borderId="0" xfId="0" applyFont="1" applyFill="1" applyBorder="1" applyProtection="1">
      <protection hidden="1"/>
    </xf>
    <xf numFmtId="0" fontId="31" fillId="0" borderId="0" xfId="0" applyFont="1" applyFill="1" applyAlignment="1">
      <alignment horizontal="center" vertical="center"/>
    </xf>
    <xf numFmtId="0" fontId="4" fillId="7" borderId="0" xfId="0" applyFont="1" applyFill="1" applyAlignment="1" applyProtection="1">
      <alignment horizontal="left"/>
      <protection hidden="1"/>
    </xf>
    <xf numFmtId="0" fontId="33" fillId="7" borderId="0" xfId="0" applyFont="1" applyFill="1" applyBorder="1" applyAlignment="1" applyProtection="1">
      <alignment vertical="center"/>
    </xf>
    <xf numFmtId="0" fontId="22" fillId="7" borderId="0" xfId="0" applyNumberFormat="1" applyFont="1" applyFill="1" applyBorder="1" applyAlignment="1" applyProtection="1">
      <alignment horizontal="left" vertical="center" indent="1"/>
    </xf>
    <xf numFmtId="172" fontId="22" fillId="7" borderId="0" xfId="0" applyNumberFormat="1" applyFont="1" applyFill="1" applyBorder="1" applyAlignment="1" applyProtection="1">
      <alignment vertical="center"/>
    </xf>
    <xf numFmtId="1" fontId="33" fillId="7" borderId="47" xfId="0" applyNumberFormat="1" applyFont="1" applyFill="1" applyBorder="1" applyAlignment="1" applyProtection="1">
      <alignment vertical="center"/>
    </xf>
    <xf numFmtId="3" fontId="22" fillId="10" borderId="1" xfId="0" applyNumberFormat="1" applyFont="1" applyFill="1" applyBorder="1" applyAlignment="1" applyProtection="1">
      <alignment horizontal="right"/>
    </xf>
    <xf numFmtId="3" fontId="36" fillId="0" borderId="0" xfId="0" applyNumberFormat="1" applyFont="1" applyFill="1" applyAlignment="1" applyProtection="1">
      <alignment vertical="center"/>
    </xf>
    <xf numFmtId="0" fontId="38" fillId="0" borderId="0" xfId="0" applyFont="1" applyFill="1" applyBorder="1" applyProtection="1"/>
    <xf numFmtId="0" fontId="25" fillId="2" borderId="0" xfId="0" applyFont="1" applyFill="1" applyBorder="1" applyAlignment="1"/>
    <xf numFmtId="0" fontId="15" fillId="0" borderId="0" xfId="0" applyFont="1"/>
    <xf numFmtId="1" fontId="4" fillId="0" borderId="0" xfId="0" applyNumberFormat="1" applyFont="1" applyFill="1" applyBorder="1" applyAlignment="1" applyProtection="1">
      <alignment horizontal="center" vertical="top"/>
    </xf>
    <xf numFmtId="0" fontId="9" fillId="13" borderId="0" xfId="0" applyFont="1" applyFill="1" applyBorder="1" applyAlignment="1" applyProtection="1">
      <alignment horizontal="center"/>
      <protection locked="0"/>
    </xf>
    <xf numFmtId="0" fontId="81" fillId="7" borderId="0" xfId="0" applyFont="1" applyFill="1" applyProtection="1"/>
    <xf numFmtId="0" fontId="87" fillId="7" borderId="0" xfId="0" applyFont="1" applyFill="1" applyAlignment="1" applyProtection="1"/>
    <xf numFmtId="0" fontId="87" fillId="7" borderId="0" xfId="0" applyFont="1" applyFill="1" applyAlignment="1" applyProtection="1">
      <alignment vertical="center"/>
    </xf>
    <xf numFmtId="0" fontId="87" fillId="7" borderId="0" xfId="0" applyFont="1" applyFill="1" applyProtection="1"/>
    <xf numFmtId="0" fontId="86" fillId="7" borderId="0" xfId="0" applyFont="1" applyFill="1" applyProtection="1"/>
    <xf numFmtId="0" fontId="86" fillId="7" borderId="0" xfId="0" applyFont="1" applyFill="1" applyAlignment="1" applyProtection="1">
      <alignment vertical="center"/>
    </xf>
    <xf numFmtId="0" fontId="86" fillId="7" borderId="0" xfId="0" applyFont="1" applyFill="1" applyAlignment="1" applyProtection="1"/>
    <xf numFmtId="0" fontId="22" fillId="0" borderId="49" xfId="0" applyNumberFormat="1" applyFont="1" applyFill="1" applyBorder="1" applyAlignment="1" applyProtection="1">
      <alignment horizontal="left" vertical="center" wrapText="1" indent="1"/>
    </xf>
    <xf numFmtId="170" fontId="37" fillId="19" borderId="152" xfId="0" applyNumberFormat="1" applyFont="1" applyFill="1" applyBorder="1" applyAlignment="1" applyProtection="1"/>
    <xf numFmtId="3" fontId="33" fillId="0" borderId="159" xfId="0" applyNumberFormat="1" applyFont="1" applyFill="1" applyBorder="1" applyAlignment="1" applyProtection="1"/>
    <xf numFmtId="0" fontId="4" fillId="0" borderId="1" xfId="0" applyNumberFormat="1" applyFont="1" applyFill="1" applyBorder="1" applyAlignment="1" applyProtection="1">
      <alignment textRotation="90" wrapText="1"/>
    </xf>
    <xf numFmtId="3" fontId="22" fillId="10" borderId="160" xfId="0" applyNumberFormat="1" applyFont="1" applyFill="1" applyBorder="1" applyAlignment="1" applyProtection="1">
      <alignment horizontal="left" indent="1"/>
      <protection locked="0"/>
    </xf>
    <xf numFmtId="0" fontId="22" fillId="0" borderId="1" xfId="0" applyFont="1" applyFill="1" applyBorder="1" applyProtection="1"/>
    <xf numFmtId="3" fontId="22" fillId="10" borderId="52" xfId="0" applyNumberFormat="1" applyFont="1" applyFill="1" applyBorder="1" applyAlignment="1" applyProtection="1">
      <alignment horizontal="left" indent="1"/>
      <protection locked="0"/>
    </xf>
    <xf numFmtId="0" fontId="4" fillId="0" borderId="1" xfId="0" applyNumberFormat="1" applyFont="1" applyFill="1" applyBorder="1" applyAlignment="1" applyProtection="1">
      <alignment horizontal="center" wrapText="1"/>
    </xf>
    <xf numFmtId="0" fontId="88" fillId="0" borderId="40" xfId="0" applyNumberFormat="1" applyFont="1" applyFill="1" applyBorder="1" applyAlignment="1" applyProtection="1">
      <alignment horizontal="center" vertical="center" wrapText="1"/>
    </xf>
    <xf numFmtId="170" fontId="33" fillId="0" borderId="131" xfId="0" applyNumberFormat="1" applyFont="1" applyFill="1" applyBorder="1" applyAlignment="1" applyProtection="1"/>
    <xf numFmtId="0" fontId="33" fillId="0" borderId="161" xfId="0" applyNumberFormat="1" applyFont="1" applyFill="1" applyBorder="1" applyAlignment="1" applyProtection="1">
      <alignment horizontal="right"/>
    </xf>
    <xf numFmtId="9" fontId="33" fillId="0" borderId="161" xfId="3" applyFont="1" applyFill="1" applyBorder="1" applyAlignment="1" applyProtection="1">
      <alignment horizontal="center"/>
    </xf>
    <xf numFmtId="170" fontId="33" fillId="0" borderId="161" xfId="0" applyNumberFormat="1" applyFont="1" applyFill="1" applyBorder="1" applyAlignment="1" applyProtection="1"/>
    <xf numFmtId="0" fontId="33" fillId="0" borderId="131" xfId="0" applyNumberFormat="1" applyFont="1" applyFill="1" applyBorder="1" applyAlignment="1" applyProtection="1">
      <alignment horizontal="right"/>
    </xf>
    <xf numFmtId="9" fontId="33" fillId="0" borderId="131" xfId="3" applyFont="1" applyFill="1" applyBorder="1" applyAlignment="1" applyProtection="1">
      <alignment horizontal="center"/>
    </xf>
    <xf numFmtId="3" fontId="33" fillId="0" borderId="154" xfId="0" applyNumberFormat="1" applyFont="1" applyFill="1" applyBorder="1" applyAlignment="1" applyProtection="1"/>
    <xf numFmtId="0" fontId="30" fillId="7" borderId="0" xfId="0" applyFont="1" applyFill="1" applyAlignment="1" applyProtection="1">
      <alignment horizontal="center"/>
    </xf>
    <xf numFmtId="9" fontId="7" fillId="10" borderId="65" xfId="3" applyFont="1" applyFill="1" applyBorder="1" applyAlignment="1" applyProtection="1">
      <alignment horizontal="center" vertical="center"/>
    </xf>
    <xf numFmtId="1" fontId="43" fillId="0" borderId="0" xfId="0" applyNumberFormat="1" applyFont="1" applyFill="1" applyBorder="1" applyAlignment="1" applyProtection="1"/>
    <xf numFmtId="0" fontId="43" fillId="0" borderId="0" xfId="0" applyFont="1" applyFill="1" applyBorder="1" applyAlignment="1" applyProtection="1">
      <protection hidden="1"/>
    </xf>
    <xf numFmtId="0" fontId="43" fillId="7" borderId="0" xfId="0" applyFont="1" applyFill="1" applyBorder="1" applyProtection="1"/>
    <xf numFmtId="0" fontId="43" fillId="7" borderId="0" xfId="0" applyFont="1" applyFill="1" applyBorder="1" applyAlignment="1" applyProtection="1">
      <protection hidden="1"/>
    </xf>
    <xf numFmtId="0" fontId="43" fillId="7" borderId="0" xfId="0" applyFont="1" applyFill="1" applyBorder="1" applyProtection="1">
      <protection hidden="1"/>
    </xf>
    <xf numFmtId="0" fontId="74" fillId="7" borderId="0" xfId="0" applyFont="1" applyFill="1" applyBorder="1" applyProtection="1">
      <protection hidden="1"/>
    </xf>
    <xf numFmtId="0" fontId="74" fillId="7" borderId="0" xfId="0" applyFont="1" applyFill="1" applyBorder="1" applyAlignment="1" applyProtection="1">
      <protection hidden="1"/>
    </xf>
    <xf numFmtId="0" fontId="9" fillId="0" borderId="0" xfId="0" applyFont="1" applyFill="1" applyBorder="1" applyAlignment="1" applyProtection="1">
      <alignment horizontal="center" vertical="top"/>
    </xf>
    <xf numFmtId="0" fontId="22" fillId="0" borderId="0" xfId="0" applyFont="1" applyBorder="1" applyAlignment="1">
      <alignment horizontal="center"/>
    </xf>
    <xf numFmtId="0" fontId="38" fillId="0" borderId="0" xfId="0" applyFont="1" applyFill="1" applyBorder="1" applyAlignment="1" applyProtection="1">
      <alignment horizontal="center" vertical="top"/>
    </xf>
    <xf numFmtId="9" fontId="33" fillId="7" borderId="0" xfId="3" applyFont="1" applyFill="1" applyProtection="1"/>
    <xf numFmtId="0" fontId="33" fillId="7" borderId="0" xfId="0" applyFont="1" applyFill="1"/>
    <xf numFmtId="0" fontId="33" fillId="7" borderId="0" xfId="0" applyFont="1" applyFill="1" applyAlignment="1" applyProtection="1">
      <alignment horizontal="left"/>
    </xf>
    <xf numFmtId="0" fontId="33" fillId="7" borderId="0" xfId="0" applyFont="1" applyFill="1" applyAlignment="1" applyProtection="1">
      <alignment horizontal="right"/>
    </xf>
    <xf numFmtId="0" fontId="41" fillId="7" borderId="0" xfId="0" applyFont="1" applyFill="1" applyAlignment="1" applyProtection="1">
      <alignment horizontal="center"/>
    </xf>
    <xf numFmtId="0" fontId="33" fillId="7" borderId="0" xfId="0" applyFont="1" applyFill="1" applyAlignment="1">
      <alignment horizontal="right"/>
    </xf>
    <xf numFmtId="0" fontId="2" fillId="0" borderId="0" xfId="0" applyFont="1" applyAlignment="1">
      <alignment vertical="center" wrapText="1"/>
    </xf>
    <xf numFmtId="0" fontId="43" fillId="0" borderId="0" xfId="0" applyFont="1" applyFill="1" applyProtection="1">
      <protection hidden="1"/>
    </xf>
    <xf numFmtId="0" fontId="43" fillId="6" borderId="12" xfId="0" applyFont="1" applyFill="1" applyBorder="1" applyProtection="1">
      <protection hidden="1"/>
    </xf>
    <xf numFmtId="0" fontId="43" fillId="0" borderId="91" xfId="0" applyFont="1" applyFill="1" applyBorder="1" applyAlignment="1" applyProtection="1">
      <alignment horizontal="right"/>
      <protection hidden="1"/>
    </xf>
    <xf numFmtId="0" fontId="74" fillId="0" borderId="109" xfId="0" applyFont="1" applyFill="1" applyBorder="1" applyAlignment="1" applyProtection="1">
      <alignment horizontal="center"/>
      <protection hidden="1"/>
    </xf>
    <xf numFmtId="0" fontId="43" fillId="0" borderId="107" xfId="0" applyFont="1" applyFill="1" applyBorder="1" applyAlignment="1" applyProtection="1">
      <alignment horizontal="center"/>
      <protection hidden="1"/>
    </xf>
    <xf numFmtId="0" fontId="74" fillId="0" borderId="91" xfId="0" applyFont="1" applyFill="1" applyBorder="1" applyAlignment="1" applyProtection="1">
      <alignment horizontal="center"/>
      <protection hidden="1"/>
    </xf>
    <xf numFmtId="0" fontId="74" fillId="0" borderId="62" xfId="0" applyFont="1" applyFill="1" applyBorder="1" applyAlignment="1" applyProtection="1">
      <alignment horizontal="center"/>
      <protection hidden="1"/>
    </xf>
    <xf numFmtId="0" fontId="43" fillId="0" borderId="91" xfId="0" applyFont="1" applyFill="1" applyBorder="1" applyAlignment="1" applyProtection="1">
      <alignment horizontal="center"/>
      <protection hidden="1"/>
    </xf>
    <xf numFmtId="0" fontId="74" fillId="0" borderId="107" xfId="0" applyFont="1" applyFill="1" applyBorder="1" applyAlignment="1" applyProtection="1">
      <alignment horizontal="center"/>
      <protection hidden="1"/>
    </xf>
    <xf numFmtId="0" fontId="43" fillId="0" borderId="62" xfId="0" applyFont="1" applyFill="1" applyBorder="1" applyAlignment="1" applyProtection="1">
      <alignment horizontal="center"/>
      <protection hidden="1"/>
    </xf>
    <xf numFmtId="0" fontId="43" fillId="0" borderId="108" xfId="0" applyFont="1" applyFill="1" applyBorder="1" applyAlignment="1" applyProtection="1">
      <alignment horizontal="center"/>
      <protection hidden="1"/>
    </xf>
    <xf numFmtId="0" fontId="43" fillId="0" borderId="92" xfId="0" applyFont="1" applyFill="1" applyBorder="1" applyAlignment="1" applyProtection="1">
      <alignment horizontal="right"/>
      <protection hidden="1"/>
    </xf>
    <xf numFmtId="0" fontId="43" fillId="3" borderId="25" xfId="0" applyNumberFormat="1" applyFont="1" applyFill="1" applyBorder="1" applyAlignment="1" applyProtection="1">
      <alignment horizontal="center" vertical="center"/>
      <protection hidden="1"/>
    </xf>
    <xf numFmtId="0" fontId="43" fillId="3" borderId="21" xfId="0" applyNumberFormat="1" applyFont="1" applyFill="1" applyBorder="1" applyAlignment="1" applyProtection="1">
      <alignment horizontal="center" vertical="center"/>
      <protection hidden="1"/>
    </xf>
    <xf numFmtId="0" fontId="43" fillId="3" borderId="18" xfId="0" applyNumberFormat="1" applyFont="1" applyFill="1" applyBorder="1" applyAlignment="1" applyProtection="1">
      <alignment horizontal="center" vertical="center"/>
      <protection hidden="1"/>
    </xf>
    <xf numFmtId="0" fontId="43" fillId="3" borderId="7" xfId="0" applyNumberFormat="1" applyFont="1" applyFill="1" applyBorder="1" applyAlignment="1" applyProtection="1">
      <alignment horizontal="center" vertical="center"/>
      <protection hidden="1"/>
    </xf>
    <xf numFmtId="0" fontId="43" fillId="3" borderId="33" xfId="0" applyNumberFormat="1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right"/>
      <protection hidden="1"/>
    </xf>
    <xf numFmtId="167" fontId="74" fillId="0" borderId="26" xfId="0" applyNumberFormat="1" applyFont="1" applyFill="1" applyBorder="1" applyProtection="1">
      <protection hidden="1"/>
    </xf>
    <xf numFmtId="167" fontId="74" fillId="0" borderId="22" xfId="0" applyNumberFormat="1" applyFont="1" applyFill="1" applyBorder="1" applyProtection="1">
      <protection hidden="1"/>
    </xf>
    <xf numFmtId="167" fontId="74" fillId="0" borderId="19" xfId="0" applyNumberFormat="1" applyFont="1" applyFill="1" applyBorder="1" applyProtection="1">
      <protection hidden="1"/>
    </xf>
    <xf numFmtId="167" fontId="74" fillId="0" borderId="23" xfId="0" applyNumberFormat="1" applyFont="1" applyFill="1" applyBorder="1" applyProtection="1">
      <protection hidden="1"/>
    </xf>
    <xf numFmtId="167" fontId="74" fillId="0" borderId="3" xfId="0" applyNumberFormat="1" applyFont="1" applyFill="1" applyBorder="1" applyProtection="1">
      <protection hidden="1"/>
    </xf>
    <xf numFmtId="167" fontId="74" fillId="0" borderId="35" xfId="0" applyNumberFormat="1" applyFont="1" applyFill="1" applyBorder="1" applyProtection="1">
      <protection hidden="1"/>
    </xf>
    <xf numFmtId="167" fontId="43" fillId="0" borderId="26" xfId="0" applyNumberFormat="1" applyFont="1" applyFill="1" applyBorder="1" applyProtection="1">
      <protection hidden="1"/>
    </xf>
    <xf numFmtId="167" fontId="43" fillId="0" borderId="22" xfId="0" applyNumberFormat="1" applyFont="1" applyFill="1" applyBorder="1" applyProtection="1">
      <protection hidden="1"/>
    </xf>
    <xf numFmtId="167" fontId="43" fillId="0" borderId="19" xfId="0" applyNumberFormat="1" applyFont="1" applyFill="1" applyBorder="1" applyProtection="1">
      <protection hidden="1"/>
    </xf>
    <xf numFmtId="167" fontId="43" fillId="0" borderId="1" xfId="0" applyNumberFormat="1" applyFont="1" applyFill="1" applyBorder="1" applyProtection="1">
      <protection hidden="1"/>
    </xf>
    <xf numFmtId="167" fontId="43" fillId="0" borderId="34" xfId="0" applyNumberFormat="1" applyFont="1" applyFill="1" applyBorder="1" applyProtection="1">
      <protection hidden="1"/>
    </xf>
    <xf numFmtId="0" fontId="43" fillId="0" borderId="93" xfId="0" applyFont="1" applyFill="1" applyBorder="1" applyProtection="1">
      <protection hidden="1"/>
    </xf>
    <xf numFmtId="167" fontId="43" fillId="0" borderId="94" xfId="0" applyNumberFormat="1" applyFont="1" applyFill="1" applyBorder="1" applyProtection="1">
      <protection hidden="1"/>
    </xf>
    <xf numFmtId="167" fontId="43" fillId="0" borderId="16" xfId="0" applyNumberFormat="1" applyFont="1" applyFill="1" applyBorder="1" applyProtection="1">
      <protection hidden="1"/>
    </xf>
    <xf numFmtId="167" fontId="43" fillId="0" borderId="95" xfId="0" applyNumberFormat="1" applyFont="1" applyFill="1" applyBorder="1" applyProtection="1">
      <protection hidden="1"/>
    </xf>
    <xf numFmtId="167" fontId="43" fillId="0" borderId="27" xfId="0" applyNumberFormat="1" applyFont="1" applyFill="1" applyBorder="1" applyAlignment="1" applyProtection="1">
      <alignment horizontal="right"/>
      <protection hidden="1"/>
    </xf>
    <xf numFmtId="168" fontId="43" fillId="0" borderId="89" xfId="0" applyNumberFormat="1" applyFont="1" applyFill="1" applyBorder="1" applyAlignment="1" applyProtection="1">
      <alignment horizontal="right"/>
      <protection hidden="1"/>
    </xf>
    <xf numFmtId="168" fontId="43" fillId="0" borderId="90" xfId="0" applyNumberFormat="1" applyFont="1" applyFill="1" applyBorder="1" applyAlignment="1" applyProtection="1">
      <alignment horizontal="right"/>
      <protection hidden="1"/>
    </xf>
    <xf numFmtId="167" fontId="43" fillId="0" borderId="89" xfId="0" applyNumberFormat="1" applyFont="1" applyFill="1" applyBorder="1" applyAlignment="1" applyProtection="1">
      <alignment horizontal="right"/>
      <protection hidden="1"/>
    </xf>
    <xf numFmtId="167" fontId="43" fillId="0" borderId="43" xfId="0" applyNumberFormat="1" applyFont="1" applyFill="1" applyBorder="1" applyAlignment="1" applyProtection="1">
      <alignment horizontal="right"/>
      <protection hidden="1"/>
    </xf>
    <xf numFmtId="167" fontId="43" fillId="0" borderId="9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horizontal="right"/>
      <protection hidden="1"/>
    </xf>
    <xf numFmtId="167" fontId="43" fillId="0" borderId="28" xfId="0" applyNumberFormat="1" applyFont="1" applyFill="1" applyBorder="1" applyAlignment="1" applyProtection="1">
      <alignment horizontal="right"/>
      <protection hidden="1"/>
    </xf>
    <xf numFmtId="167" fontId="43" fillId="0" borderId="24" xfId="0" applyNumberFormat="1" applyFont="1" applyFill="1" applyBorder="1" applyAlignment="1" applyProtection="1">
      <alignment horizontal="right"/>
      <protection hidden="1"/>
    </xf>
    <xf numFmtId="167" fontId="43" fillId="0" borderId="20" xfId="0" applyNumberFormat="1" applyFont="1" applyFill="1" applyBorder="1" applyAlignment="1" applyProtection="1">
      <alignment horizontal="right"/>
      <protection hidden="1"/>
    </xf>
    <xf numFmtId="167" fontId="43" fillId="0" borderId="9" xfId="0" applyNumberFormat="1" applyFont="1" applyFill="1" applyBorder="1" applyAlignment="1" applyProtection="1">
      <alignment horizontal="right"/>
      <protection hidden="1"/>
    </xf>
    <xf numFmtId="0" fontId="74" fillId="0" borderId="0" xfId="0" applyFont="1" applyFill="1" applyProtection="1">
      <protection hidden="1"/>
    </xf>
    <xf numFmtId="167" fontId="43" fillId="0" borderId="0" xfId="0" applyNumberFormat="1" applyFont="1" applyFill="1" applyBorder="1" applyAlignment="1" applyProtection="1">
      <alignment horizontal="right"/>
      <protection hidden="1"/>
    </xf>
    <xf numFmtId="0" fontId="43" fillId="0" borderId="0" xfId="0" applyFont="1" applyFill="1" applyAlignment="1" applyProtection="1">
      <alignment vertical="center"/>
      <protection hidden="1"/>
    </xf>
    <xf numFmtId="0" fontId="43" fillId="0" borderId="0" xfId="0" applyFont="1" applyAlignment="1" applyProtection="1">
      <alignment vertical="center"/>
      <protection hidden="1"/>
    </xf>
    <xf numFmtId="0" fontId="43" fillId="6" borderId="11" xfId="0" applyFont="1" applyFill="1" applyBorder="1" applyAlignment="1" applyProtection="1">
      <alignment horizontal="center" vertical="center"/>
      <protection hidden="1"/>
    </xf>
    <xf numFmtId="167" fontId="43" fillId="0" borderId="11" xfId="0" applyNumberFormat="1" applyFont="1" applyBorder="1" applyAlignment="1" applyProtection="1">
      <alignment vertical="center"/>
      <protection hidden="1"/>
    </xf>
    <xf numFmtId="3" fontId="43" fillId="0" borderId="11" xfId="0" applyNumberFormat="1" applyFont="1" applyFill="1" applyBorder="1" applyProtection="1">
      <protection hidden="1"/>
    </xf>
    <xf numFmtId="3" fontId="43" fillId="6" borderId="11" xfId="0" applyNumberFormat="1" applyFont="1" applyFill="1" applyBorder="1" applyAlignment="1" applyProtection="1">
      <alignment horizontal="right" vertical="center"/>
      <protection hidden="1"/>
    </xf>
    <xf numFmtId="167" fontId="43" fillId="0" borderId="0" xfId="0" applyNumberFormat="1" applyFont="1" applyAlignment="1" applyProtection="1">
      <alignment vertical="center"/>
      <protection hidden="1"/>
    </xf>
    <xf numFmtId="0" fontId="43" fillId="0" borderId="53" xfId="0" applyFont="1" applyFill="1" applyBorder="1" applyProtection="1">
      <protection hidden="1"/>
    </xf>
    <xf numFmtId="0" fontId="43" fillId="6" borderId="0" xfId="0" applyFont="1" applyFill="1" applyAlignment="1" applyProtection="1">
      <alignment horizontal="center"/>
      <protection hidden="1"/>
    </xf>
    <xf numFmtId="167" fontId="43" fillId="0" borderId="0" xfId="0" applyNumberFormat="1" applyFont="1" applyFill="1" applyProtection="1">
      <protection hidden="1"/>
    </xf>
    <xf numFmtId="167" fontId="43" fillId="0" borderId="11" xfId="0" applyNumberFormat="1" applyFont="1" applyFill="1" applyBorder="1" applyProtection="1">
      <protection hidden="1"/>
    </xf>
    <xf numFmtId="0" fontId="43" fillId="0" borderId="11" xfId="0" applyFont="1" applyFill="1" applyBorder="1" applyProtection="1">
      <protection hidden="1"/>
    </xf>
    <xf numFmtId="0" fontId="74" fillId="7" borderId="0" xfId="0" applyFont="1" applyFill="1" applyProtection="1">
      <protection hidden="1"/>
    </xf>
    <xf numFmtId="0" fontId="41" fillId="9" borderId="53" xfId="0" applyNumberFormat="1" applyFont="1" applyFill="1" applyBorder="1" applyAlignment="1" applyProtection="1">
      <alignment horizontal="center" vertical="center" wrapText="1"/>
      <protection hidden="1"/>
    </xf>
    <xf numFmtId="0" fontId="31" fillId="7" borderId="0" xfId="0" applyFont="1" applyFill="1" applyAlignment="1" applyProtection="1">
      <alignment vertical="center"/>
    </xf>
    <xf numFmtId="0" fontId="7" fillId="0" borderId="0" xfId="0" applyNumberFormat="1" applyFont="1" applyFill="1" applyBorder="1" applyAlignment="1" applyProtection="1">
      <alignment horizontal="left" vertical="center" wrapText="1" indent="1"/>
    </xf>
    <xf numFmtId="3" fontId="7" fillId="7" borderId="0" xfId="0" applyNumberFormat="1" applyFont="1" applyFill="1" applyBorder="1" applyAlignment="1" applyProtection="1">
      <alignment horizontal="right" vertical="center" indent="1"/>
    </xf>
    <xf numFmtId="0" fontId="7" fillId="7" borderId="0" xfId="0" applyFont="1" applyFill="1" applyBorder="1" applyProtection="1"/>
    <xf numFmtId="0" fontId="7" fillId="7" borderId="0" xfId="0" applyFont="1" applyFill="1" applyAlignment="1" applyProtection="1">
      <alignment vertical="center"/>
    </xf>
    <xf numFmtId="0" fontId="7" fillId="7" borderId="0" xfId="0" applyFont="1" applyFill="1" applyAlignment="1" applyProtection="1">
      <alignment horizontal="left" vertical="center"/>
    </xf>
    <xf numFmtId="0" fontId="22" fillId="0" borderId="1" xfId="0" applyNumberFormat="1" applyFont="1" applyFill="1" applyBorder="1" applyAlignment="1" applyProtection="1">
      <alignment vertical="top"/>
      <protection locked="0"/>
    </xf>
    <xf numFmtId="3" fontId="34" fillId="7" borderId="0" xfId="0" quotePrefix="1" applyNumberFormat="1" applyFont="1" applyFill="1" applyBorder="1" applyProtection="1">
      <protection hidden="1"/>
    </xf>
    <xf numFmtId="0" fontId="59" fillId="7" borderId="0" xfId="0" applyFont="1" applyFill="1" applyAlignment="1" applyProtection="1">
      <alignment horizontal="center" vertical="center"/>
    </xf>
    <xf numFmtId="0" fontId="38" fillId="9" borderId="112" xfId="0" applyFont="1" applyFill="1" applyBorder="1" applyAlignment="1" applyProtection="1">
      <alignment horizontal="center"/>
    </xf>
    <xf numFmtId="3" fontId="22" fillId="10" borderId="52" xfId="0" applyNumberFormat="1" applyFont="1" applyFill="1" applyBorder="1" applyAlignment="1" applyProtection="1">
      <alignment horizontal="right" indent="1"/>
      <protection locked="0"/>
    </xf>
    <xf numFmtId="3" fontId="22" fillId="10" borderId="156" xfId="0" applyNumberFormat="1" applyFont="1" applyFill="1" applyBorder="1" applyAlignment="1" applyProtection="1">
      <alignment horizontal="right" indent="1"/>
      <protection locked="0"/>
    </xf>
    <xf numFmtId="9" fontId="33" fillId="10" borderId="162" xfId="3" applyFont="1" applyFill="1" applyBorder="1" applyAlignment="1" applyProtection="1">
      <alignment horizontal="center"/>
      <protection locked="0"/>
    </xf>
    <xf numFmtId="9" fontId="33" fillId="10" borderId="163" xfId="3" applyFont="1" applyFill="1" applyBorder="1" applyAlignment="1" applyProtection="1">
      <alignment horizontal="center"/>
      <protection locked="0"/>
    </xf>
    <xf numFmtId="3" fontId="22" fillId="10" borderId="164" xfId="0" applyNumberFormat="1" applyFont="1" applyFill="1" applyBorder="1" applyAlignment="1" applyProtection="1">
      <alignment horizontal="right" indent="1"/>
      <protection locked="0"/>
    </xf>
    <xf numFmtId="3" fontId="22" fillId="10" borderId="164" xfId="0" applyNumberFormat="1" applyFont="1" applyFill="1" applyBorder="1" applyAlignment="1" applyProtection="1">
      <protection locked="0"/>
    </xf>
    <xf numFmtId="170" fontId="33" fillId="19" borderId="128" xfId="0" applyNumberFormat="1" applyFont="1" applyFill="1" applyBorder="1" applyAlignment="1" applyProtection="1"/>
    <xf numFmtId="0" fontId="4" fillId="0" borderId="128" xfId="0" applyNumberFormat="1" applyFont="1" applyFill="1" applyBorder="1" applyAlignment="1" applyProtection="1">
      <alignment textRotation="90" wrapText="1"/>
    </xf>
    <xf numFmtId="3" fontId="22" fillId="10" borderId="166" xfId="0" applyNumberFormat="1" applyFont="1" applyFill="1" applyBorder="1" applyAlignment="1" applyProtection="1">
      <protection locked="0"/>
    </xf>
    <xf numFmtId="0" fontId="33" fillId="0" borderId="128" xfId="0" applyNumberFormat="1" applyFont="1" applyFill="1" applyBorder="1" applyAlignment="1" applyProtection="1">
      <alignment horizontal="right"/>
    </xf>
    <xf numFmtId="9" fontId="33" fillId="7" borderId="128" xfId="3" applyFont="1" applyFill="1" applyBorder="1" applyAlignment="1" applyProtection="1">
      <alignment horizontal="center"/>
    </xf>
    <xf numFmtId="3" fontId="33" fillId="7" borderId="128" xfId="0" applyNumberFormat="1" applyFont="1" applyFill="1" applyBorder="1" applyAlignment="1" applyProtection="1"/>
    <xf numFmtId="1" fontId="22" fillId="0" borderId="128" xfId="0" applyNumberFormat="1" applyFont="1" applyFill="1" applyBorder="1" applyAlignment="1" applyProtection="1">
      <alignment horizontal="left"/>
      <protection hidden="1"/>
    </xf>
    <xf numFmtId="0" fontId="22" fillId="7" borderId="128" xfId="0" applyFont="1" applyFill="1" applyBorder="1" applyAlignment="1" applyProtection="1">
      <alignment horizontal="center"/>
      <protection hidden="1"/>
    </xf>
    <xf numFmtId="3" fontId="22" fillId="0" borderId="164" xfId="0" applyNumberFormat="1" applyFont="1" applyFill="1" applyBorder="1" applyAlignment="1" applyProtection="1"/>
    <xf numFmtId="3" fontId="22" fillId="0" borderId="164" xfId="0" applyNumberFormat="1" applyFont="1" applyFill="1" applyBorder="1" applyAlignment="1" applyProtection="1">
      <alignment horizontal="right" indent="1"/>
      <protection hidden="1"/>
    </xf>
    <xf numFmtId="3" fontId="22" fillId="0" borderId="165" xfId="0" applyNumberFormat="1" applyFont="1" applyFill="1" applyBorder="1" applyAlignment="1" applyProtection="1">
      <alignment horizontal="right" indent="1"/>
      <protection hidden="1"/>
    </xf>
    <xf numFmtId="167" fontId="22" fillId="10" borderId="169" xfId="0" applyNumberFormat="1" applyFont="1" applyFill="1" applyBorder="1" applyAlignment="1" applyProtection="1">
      <alignment vertical="center"/>
      <protection locked="0"/>
    </xf>
    <xf numFmtId="1" fontId="22" fillId="10" borderId="170" xfId="2" applyNumberFormat="1" applyFont="1" applyFill="1" applyBorder="1" applyAlignment="1" applyProtection="1">
      <alignment horizontal="center" vertical="center"/>
      <protection locked="0"/>
    </xf>
    <xf numFmtId="167" fontId="22" fillId="10" borderId="173" xfId="0" applyNumberFormat="1" applyFont="1" applyFill="1" applyBorder="1" applyAlignment="1" applyProtection="1">
      <alignment vertical="center"/>
      <protection locked="0"/>
    </xf>
    <xf numFmtId="1" fontId="22" fillId="10" borderId="166" xfId="2" applyNumberFormat="1" applyFont="1" applyFill="1" applyBorder="1" applyAlignment="1" applyProtection="1">
      <alignment horizontal="center" vertical="center"/>
      <protection locked="0"/>
    </xf>
    <xf numFmtId="167" fontId="22" fillId="10" borderId="176" xfId="0" applyNumberFormat="1" applyFont="1" applyFill="1" applyBorder="1" applyAlignment="1" applyProtection="1">
      <alignment vertical="center"/>
      <protection locked="0"/>
    </xf>
    <xf numFmtId="1" fontId="22" fillId="10" borderId="147" xfId="2" applyNumberFormat="1" applyFont="1" applyFill="1" applyBorder="1" applyAlignment="1" applyProtection="1">
      <alignment horizontal="center" vertical="center"/>
      <protection locked="0"/>
    </xf>
    <xf numFmtId="167" fontId="22" fillId="10" borderId="177" xfId="0" applyNumberFormat="1" applyFont="1" applyFill="1" applyBorder="1" applyAlignment="1" applyProtection="1">
      <alignment vertical="center"/>
      <protection locked="0"/>
    </xf>
    <xf numFmtId="167" fontId="22" fillId="10" borderId="178" xfId="0" applyNumberFormat="1" applyFont="1" applyFill="1" applyBorder="1" applyAlignment="1" applyProtection="1">
      <alignment vertical="center"/>
      <protection locked="0"/>
    </xf>
    <xf numFmtId="167" fontId="22" fillId="10" borderId="181" xfId="0" applyNumberFormat="1" applyFont="1" applyFill="1" applyBorder="1" applyAlignment="1" applyProtection="1">
      <alignment vertical="center"/>
      <protection locked="0"/>
    </xf>
    <xf numFmtId="3" fontId="22" fillId="0" borderId="166" xfId="0" applyNumberFormat="1" applyFont="1" applyFill="1" applyBorder="1" applyAlignment="1" applyProtection="1"/>
    <xf numFmtId="3" fontId="22" fillId="0" borderId="182" xfId="0" applyNumberFormat="1" applyFont="1" applyFill="1" applyBorder="1" applyAlignment="1" applyProtection="1">
      <alignment horizontal="right" vertical="center" indent="1"/>
    </xf>
    <xf numFmtId="3" fontId="22" fillId="0" borderId="170" xfId="0" applyNumberFormat="1" applyFont="1" applyFill="1" applyBorder="1" applyAlignment="1" applyProtection="1">
      <alignment horizontal="right" vertical="center" indent="1"/>
    </xf>
    <xf numFmtId="3" fontId="22" fillId="0" borderId="164" xfId="0" applyNumberFormat="1" applyFont="1" applyFill="1" applyBorder="1" applyAlignment="1" applyProtection="1">
      <alignment horizontal="right" vertical="center" indent="1"/>
    </xf>
    <xf numFmtId="3" fontId="22" fillId="0" borderId="166" xfId="0" applyNumberFormat="1" applyFont="1" applyFill="1" applyBorder="1" applyAlignment="1" applyProtection="1">
      <alignment horizontal="right" vertical="center" indent="1"/>
    </xf>
    <xf numFmtId="3" fontId="22" fillId="1" borderId="164" xfId="0" applyNumberFormat="1" applyFont="1" applyFill="1" applyBorder="1" applyAlignment="1" applyProtection="1">
      <alignment horizontal="right" vertical="center" indent="1"/>
    </xf>
    <xf numFmtId="3" fontId="22" fillId="1" borderId="183" xfId="0" applyNumberFormat="1" applyFont="1" applyFill="1" applyBorder="1" applyAlignment="1" applyProtection="1">
      <alignment horizontal="right" vertical="center" indent="1"/>
    </xf>
    <xf numFmtId="3" fontId="22" fillId="1" borderId="184" xfId="0" applyNumberFormat="1" applyFont="1" applyFill="1" applyBorder="1" applyAlignment="1" applyProtection="1">
      <alignment horizontal="right" vertical="center" indent="1"/>
    </xf>
    <xf numFmtId="167" fontId="22" fillId="21" borderId="185" xfId="0" applyNumberFormat="1" applyFont="1" applyFill="1" applyBorder="1" applyAlignment="1" applyProtection="1">
      <alignment vertical="center"/>
      <protection locked="0"/>
    </xf>
    <xf numFmtId="1" fontId="22" fillId="21" borderId="185" xfId="2" applyNumberFormat="1" applyFont="1" applyFill="1" applyBorder="1" applyAlignment="1" applyProtection="1">
      <alignment horizontal="center" vertical="center"/>
      <protection locked="0"/>
    </xf>
    <xf numFmtId="167" fontId="22" fillId="21" borderId="186" xfId="0" applyNumberFormat="1" applyFont="1" applyFill="1" applyBorder="1" applyAlignment="1" applyProtection="1">
      <alignment vertical="center"/>
      <protection locked="0"/>
    </xf>
    <xf numFmtId="0" fontId="22" fillId="0" borderId="187" xfId="0" applyFont="1" applyFill="1" applyBorder="1" applyAlignment="1" applyProtection="1">
      <alignment vertical="center"/>
    </xf>
    <xf numFmtId="0" fontId="22" fillId="0" borderId="188" xfId="0" applyFont="1" applyFill="1" applyBorder="1" applyAlignment="1" applyProtection="1">
      <alignment vertical="center"/>
    </xf>
    <xf numFmtId="9" fontId="4" fillId="10" borderId="65" xfId="3" applyFont="1" applyFill="1" applyBorder="1" applyAlignment="1" applyProtection="1">
      <alignment horizontal="center" vertical="center"/>
      <protection locked="0"/>
    </xf>
    <xf numFmtId="0" fontId="22" fillId="0" borderId="164" xfId="0" applyNumberFormat="1" applyFont="1" applyFill="1" applyBorder="1" applyAlignment="1" applyProtection="1">
      <alignment vertical="top"/>
    </xf>
    <xf numFmtId="3" fontId="22" fillId="10" borderId="164" xfId="0" applyNumberFormat="1" applyFont="1" applyFill="1" applyBorder="1" applyAlignment="1" applyProtection="1">
      <alignment horizontal="right"/>
      <protection locked="0"/>
    </xf>
    <xf numFmtId="3" fontId="22" fillId="0" borderId="166" xfId="0" applyNumberFormat="1" applyFont="1" applyFill="1" applyBorder="1" applyAlignment="1" applyProtection="1">
      <alignment horizontal="right" vertical="top"/>
    </xf>
    <xf numFmtId="0" fontId="22" fillId="10" borderId="165" xfId="0" applyNumberFormat="1" applyFont="1" applyFill="1" applyBorder="1" applyAlignment="1" applyProtection="1">
      <alignment vertical="top"/>
      <protection locked="0" hidden="1"/>
    </xf>
    <xf numFmtId="3" fontId="22" fillId="10" borderId="165" xfId="0" applyNumberFormat="1" applyFont="1" applyFill="1" applyBorder="1" applyAlignment="1" applyProtection="1">
      <alignment horizontal="right"/>
      <protection locked="0"/>
    </xf>
    <xf numFmtId="3" fontId="22" fillId="0" borderId="189" xfId="0" applyNumberFormat="1" applyFont="1" applyFill="1" applyBorder="1" applyAlignment="1" applyProtection="1">
      <alignment horizontal="right" vertical="top"/>
    </xf>
    <xf numFmtId="3" fontId="22" fillId="0" borderId="164" xfId="0" applyNumberFormat="1" applyFont="1" applyFill="1" applyBorder="1" applyAlignment="1" applyProtection="1">
      <alignment horizontal="right" vertical="top"/>
    </xf>
    <xf numFmtId="3" fontId="22" fillId="7" borderId="166" xfId="0" applyNumberFormat="1" applyFont="1" applyFill="1" applyBorder="1" applyAlignment="1" applyProtection="1">
      <alignment horizontal="right" vertical="top"/>
    </xf>
    <xf numFmtId="0" fontId="22" fillId="0" borderId="164" xfId="0" applyNumberFormat="1" applyFont="1" applyFill="1" applyBorder="1" applyAlignment="1" applyProtection="1">
      <alignment vertical="top"/>
      <protection hidden="1"/>
    </xf>
    <xf numFmtId="3" fontId="22" fillId="0" borderId="164" xfId="0" applyNumberFormat="1" applyFont="1" applyFill="1" applyBorder="1" applyAlignment="1" applyProtection="1">
      <alignment horizontal="right"/>
    </xf>
    <xf numFmtId="3" fontId="22" fillId="10" borderId="166" xfId="0" applyNumberFormat="1" applyFont="1" applyFill="1" applyBorder="1" applyAlignment="1" applyProtection="1">
      <alignment horizontal="right"/>
      <protection locked="0"/>
    </xf>
    <xf numFmtId="0" fontId="22" fillId="0" borderId="165" xfId="0" applyNumberFormat="1" applyFont="1" applyFill="1" applyBorder="1" applyAlignment="1" applyProtection="1">
      <alignment vertical="top"/>
      <protection hidden="1"/>
    </xf>
    <xf numFmtId="3" fontId="22" fillId="0" borderId="165" xfId="0" applyNumberFormat="1" applyFont="1" applyFill="1" applyBorder="1" applyAlignment="1" applyProtection="1">
      <alignment horizontal="right"/>
    </xf>
    <xf numFmtId="3" fontId="22" fillId="10" borderId="189" xfId="0" applyNumberFormat="1" applyFont="1" applyFill="1" applyBorder="1" applyAlignment="1" applyProtection="1">
      <alignment horizontal="right"/>
      <protection locked="0"/>
    </xf>
    <xf numFmtId="0" fontId="22" fillId="0" borderId="84" xfId="0" applyNumberFormat="1" applyFont="1" applyFill="1" applyBorder="1" applyAlignment="1" applyProtection="1">
      <alignment vertical="top"/>
      <protection hidden="1"/>
    </xf>
    <xf numFmtId="170" fontId="22" fillId="0" borderId="164" xfId="0" applyNumberFormat="1" applyFont="1" applyFill="1" applyBorder="1" applyAlignment="1" applyProtection="1">
      <alignment horizontal="left" vertical="top"/>
      <protection hidden="1"/>
    </xf>
    <xf numFmtId="49" fontId="22" fillId="0" borderId="38" xfId="0" applyNumberFormat="1" applyFont="1" applyFill="1" applyBorder="1" applyAlignment="1" applyProtection="1">
      <alignment horizontal="center" vertical="center"/>
    </xf>
    <xf numFmtId="0" fontId="22" fillId="0" borderId="190" xfId="0" applyFont="1" applyFill="1" applyBorder="1" applyAlignment="1" applyProtection="1">
      <alignment vertical="center"/>
    </xf>
    <xf numFmtId="3" fontId="22" fillId="10" borderId="164" xfId="0" applyNumberFormat="1" applyFont="1" applyFill="1" applyBorder="1" applyAlignment="1" applyProtection="1">
      <alignment vertical="center"/>
      <protection locked="0"/>
    </xf>
    <xf numFmtId="3" fontId="22" fillId="0" borderId="166" xfId="0" applyNumberFormat="1" applyFont="1" applyFill="1" applyBorder="1" applyAlignment="1" applyProtection="1">
      <alignment vertical="center"/>
    </xf>
    <xf numFmtId="0" fontId="22" fillId="10" borderId="191" xfId="0" applyFont="1" applyFill="1" applyBorder="1" applyAlignment="1" applyProtection="1">
      <alignment vertical="center"/>
      <protection locked="0"/>
    </xf>
    <xf numFmtId="3" fontId="22" fillId="10" borderId="146" xfId="0" applyNumberFormat="1" applyFont="1" applyFill="1" applyBorder="1" applyAlignment="1" applyProtection="1">
      <alignment vertical="center"/>
      <protection locked="0"/>
    </xf>
    <xf numFmtId="3" fontId="22" fillId="0" borderId="147" xfId="0" applyNumberFormat="1" applyFont="1" applyFill="1" applyBorder="1" applyAlignment="1" applyProtection="1">
      <alignment vertical="center"/>
    </xf>
    <xf numFmtId="0" fontId="22" fillId="10" borderId="174" xfId="0" applyFont="1" applyFill="1" applyBorder="1" applyAlignment="1" applyProtection="1">
      <alignment vertical="center"/>
      <protection locked="0"/>
    </xf>
    <xf numFmtId="0" fontId="22" fillId="0" borderId="171" xfId="0" applyFont="1" applyFill="1" applyBorder="1" applyAlignment="1" applyProtection="1">
      <alignment vertical="center"/>
    </xf>
    <xf numFmtId="3" fontId="22" fillId="0" borderId="164" xfId="0" applyNumberFormat="1" applyFont="1" applyFill="1" applyBorder="1" applyAlignment="1" applyProtection="1">
      <alignment vertical="center"/>
    </xf>
    <xf numFmtId="3" fontId="22" fillId="10" borderId="166" xfId="0" applyNumberFormat="1" applyFont="1" applyFill="1" applyBorder="1" applyAlignment="1" applyProtection="1">
      <alignment vertical="center"/>
      <protection locked="0"/>
    </xf>
    <xf numFmtId="3" fontId="22" fillId="0" borderId="146" xfId="0" applyNumberFormat="1" applyFont="1" applyFill="1" applyBorder="1" applyAlignment="1" applyProtection="1">
      <alignment vertical="center"/>
    </xf>
    <xf numFmtId="3" fontId="22" fillId="10" borderId="147" xfId="0" applyNumberFormat="1" applyFont="1" applyFill="1" applyBorder="1" applyAlignment="1" applyProtection="1">
      <alignment vertical="center"/>
      <protection locked="0"/>
    </xf>
    <xf numFmtId="0" fontId="22" fillId="0" borderId="166" xfId="0" applyFont="1" applyFill="1" applyBorder="1" applyAlignment="1" applyProtection="1">
      <alignment horizontal="left" indent="1"/>
    </xf>
    <xf numFmtId="167" fontId="22" fillId="11" borderId="173" xfId="0" applyNumberFormat="1" applyFont="1" applyFill="1" applyBorder="1" applyAlignment="1" applyProtection="1">
      <alignment vertical="center"/>
      <protection locked="0"/>
    </xf>
    <xf numFmtId="1" fontId="22" fillId="11" borderId="166" xfId="2" applyNumberFormat="1" applyFont="1" applyFill="1" applyBorder="1" applyAlignment="1" applyProtection="1">
      <alignment horizontal="center" vertical="center"/>
      <protection locked="0"/>
    </xf>
    <xf numFmtId="10" fontId="22" fillId="11" borderId="164" xfId="3" applyNumberFormat="1" applyFont="1" applyFill="1" applyBorder="1" applyAlignment="1" applyProtection="1">
      <alignment horizontal="center"/>
      <protection locked="0"/>
    </xf>
    <xf numFmtId="1" fontId="22" fillId="11" borderId="164" xfId="3" applyNumberFormat="1" applyFont="1" applyFill="1" applyBorder="1" applyAlignment="1" applyProtection="1">
      <alignment horizontal="center"/>
      <protection locked="0"/>
    </xf>
    <xf numFmtId="1" fontId="22" fillId="11" borderId="166" xfId="3" applyNumberFormat="1" applyFont="1" applyFill="1" applyBorder="1" applyAlignment="1" applyProtection="1">
      <alignment horizontal="center"/>
      <protection locked="0"/>
    </xf>
    <xf numFmtId="3" fontId="54" fillId="7" borderId="128" xfId="0" applyNumberFormat="1" applyFont="1" applyFill="1" applyBorder="1" applyAlignment="1" applyProtection="1"/>
    <xf numFmtId="0" fontId="45" fillId="7" borderId="0" xfId="1" applyFont="1" applyFill="1" applyBorder="1" applyAlignment="1" applyProtection="1">
      <alignment horizontal="left"/>
    </xf>
    <xf numFmtId="0" fontId="89" fillId="0" borderId="0" xfId="0" applyFont="1"/>
    <xf numFmtId="0" fontId="90" fillId="0" borderId="0" xfId="0" applyFont="1"/>
    <xf numFmtId="167" fontId="22" fillId="10" borderId="178" xfId="0" applyNumberFormat="1" applyFont="1" applyFill="1" applyBorder="1" applyAlignment="1" applyProtection="1">
      <protection locked="0"/>
    </xf>
    <xf numFmtId="0" fontId="92" fillId="7" borderId="0" xfId="0" applyFont="1" applyFill="1" applyAlignment="1" applyProtection="1"/>
    <xf numFmtId="0" fontId="3" fillId="7" borderId="0" xfId="1" applyFill="1" applyBorder="1" applyAlignment="1" applyProtection="1">
      <alignment horizontal="left"/>
    </xf>
    <xf numFmtId="0" fontId="0" fillId="2" borderId="0" xfId="0" applyFill="1" applyBorder="1"/>
    <xf numFmtId="0" fontId="13" fillId="2" borderId="0" xfId="0" applyFont="1" applyFill="1" applyBorder="1"/>
    <xf numFmtId="0" fontId="0" fillId="0" borderId="0" xfId="0" applyBorder="1"/>
    <xf numFmtId="0" fontId="2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2" fillId="2" borderId="0" xfId="0" applyFont="1" applyFill="1" applyBorder="1"/>
    <xf numFmtId="0" fontId="84" fillId="9" borderId="0" xfId="0" applyFont="1" applyFill="1" applyBorder="1" applyAlignment="1" applyProtection="1">
      <alignment horizontal="center" vertical="center"/>
      <protection locked="0"/>
    </xf>
    <xf numFmtId="0" fontId="19" fillId="0" borderId="0" xfId="0" applyFont="1" applyBorder="1" applyAlignment="1">
      <alignment horizontal="center" vertical="center"/>
    </xf>
    <xf numFmtId="0" fontId="14" fillId="2" borderId="0" xfId="0" applyFont="1" applyFill="1" applyBorder="1"/>
    <xf numFmtId="0" fontId="14" fillId="2" borderId="0" xfId="0" quotePrefix="1" applyFont="1" applyFill="1" applyBorder="1"/>
    <xf numFmtId="0" fontId="0" fillId="2" borderId="0" xfId="0" quotePrefix="1" applyFill="1" applyBorder="1"/>
    <xf numFmtId="0" fontId="93" fillId="0" borderId="0" xfId="0" applyFont="1" applyBorder="1"/>
    <xf numFmtId="0" fontId="94" fillId="0" borderId="0" xfId="0" applyFont="1" applyBorder="1"/>
    <xf numFmtId="0" fontId="21" fillId="2" borderId="0" xfId="0" applyFont="1" applyFill="1" applyBorder="1"/>
    <xf numFmtId="0" fontId="28" fillId="0" borderId="0" xfId="0" applyFont="1" applyBorder="1"/>
    <xf numFmtId="0" fontId="24" fillId="0" borderId="0" xfId="0" applyFont="1" applyBorder="1"/>
    <xf numFmtId="0" fontId="4" fillId="7" borderId="0" xfId="0" applyFont="1" applyFill="1" applyAlignment="1" applyProtection="1">
      <alignment vertical="center"/>
    </xf>
    <xf numFmtId="0" fontId="4" fillId="0" borderId="0" xfId="0" applyNumberFormat="1" applyFont="1" applyFill="1" applyBorder="1" applyAlignment="1" applyProtection="1">
      <alignment horizontal="left"/>
    </xf>
    <xf numFmtId="0" fontId="4" fillId="0" borderId="0" xfId="0" applyNumberFormat="1" applyFont="1" applyFill="1" applyBorder="1" applyAlignment="1" applyProtection="1">
      <alignment vertical="center" wrapText="1"/>
    </xf>
    <xf numFmtId="0" fontId="95" fillId="0" borderId="0" xfId="0" applyFont="1" applyFill="1" applyBorder="1" applyAlignment="1" applyProtection="1">
      <alignment vertical="center"/>
    </xf>
    <xf numFmtId="1" fontId="33" fillId="7" borderId="192" xfId="0" applyNumberFormat="1" applyFont="1" applyFill="1" applyBorder="1" applyAlignment="1" applyProtection="1">
      <alignment horizontal="center" vertical="top"/>
    </xf>
    <xf numFmtId="0" fontId="22" fillId="0" borderId="150" xfId="0" applyNumberFormat="1" applyFont="1" applyFill="1" applyBorder="1" applyAlignment="1" applyProtection="1">
      <alignment vertical="top"/>
    </xf>
    <xf numFmtId="3" fontId="22" fillId="0" borderId="150" xfId="0" applyNumberFormat="1" applyFont="1" applyFill="1" applyBorder="1" applyAlignment="1" applyProtection="1">
      <alignment horizontal="right"/>
    </xf>
    <xf numFmtId="3" fontId="22" fillId="0" borderId="151" xfId="0" applyNumberFormat="1" applyFont="1" applyFill="1" applyBorder="1" applyAlignment="1" applyProtection="1">
      <alignment horizontal="right" vertical="top"/>
    </xf>
    <xf numFmtId="0" fontId="22" fillId="0" borderId="150" xfId="0" applyNumberFormat="1" applyFont="1" applyFill="1" applyBorder="1" applyAlignment="1" applyProtection="1">
      <alignment vertical="top"/>
      <protection hidden="1"/>
    </xf>
    <xf numFmtId="3" fontId="22" fillId="0" borderId="151" xfId="0" applyNumberFormat="1" applyFont="1" applyFill="1" applyBorder="1" applyAlignment="1" applyProtection="1">
      <alignment horizontal="right"/>
    </xf>
    <xf numFmtId="3" fontId="22" fillId="10" borderId="87" xfId="0" applyNumberFormat="1" applyFont="1" applyFill="1" applyBorder="1" applyAlignment="1" applyProtection="1">
      <alignment horizontal="left" indent="1"/>
      <protection locked="0"/>
    </xf>
    <xf numFmtId="9" fontId="33" fillId="10" borderId="193" xfId="3" applyFont="1" applyFill="1" applyBorder="1" applyAlignment="1" applyProtection="1">
      <alignment horizontal="center"/>
      <protection locked="0"/>
    </xf>
    <xf numFmtId="49" fontId="33" fillId="7" borderId="68" xfId="0" applyNumberFormat="1" applyFont="1" applyFill="1" applyBorder="1" applyAlignment="1" applyProtection="1">
      <alignment horizontal="center"/>
    </xf>
    <xf numFmtId="1" fontId="22" fillId="7" borderId="194" xfId="0" applyNumberFormat="1" applyFont="1" applyFill="1" applyBorder="1" applyAlignment="1" applyProtection="1">
      <alignment horizontal="left"/>
    </xf>
    <xf numFmtId="0" fontId="22" fillId="7" borderId="194" xfId="0" applyFont="1" applyFill="1" applyBorder="1" applyAlignment="1" applyProtection="1">
      <alignment horizontal="center"/>
      <protection hidden="1"/>
    </xf>
    <xf numFmtId="3" fontId="22" fillId="0" borderId="194" xfId="0" applyNumberFormat="1" applyFont="1" applyFill="1" applyBorder="1" applyAlignment="1" applyProtection="1"/>
    <xf numFmtId="3" fontId="22" fillId="0" borderId="195" xfId="0" applyNumberFormat="1" applyFont="1" applyFill="1" applyBorder="1" applyAlignment="1" applyProtection="1"/>
    <xf numFmtId="0" fontId="38" fillId="7" borderId="41" xfId="0" applyNumberFormat="1" applyFont="1" applyFill="1" applyBorder="1" applyAlignment="1" applyProtection="1">
      <alignment horizontal="center"/>
    </xf>
    <xf numFmtId="1" fontId="22" fillId="0" borderId="194" xfId="0" applyNumberFormat="1" applyFont="1" applyFill="1" applyBorder="1" applyAlignment="1" applyProtection="1">
      <alignment horizontal="left"/>
    </xf>
    <xf numFmtId="3" fontId="22" fillId="7" borderId="194" xfId="0" applyNumberFormat="1" applyFont="1" applyFill="1" applyBorder="1" applyAlignment="1" applyProtection="1"/>
    <xf numFmtId="9" fontId="33" fillId="0" borderId="162" xfId="0" applyNumberFormat="1" applyFont="1" applyFill="1" applyBorder="1" applyAlignment="1" applyProtection="1">
      <alignment horizontal="center"/>
    </xf>
    <xf numFmtId="3" fontId="22" fillId="0" borderId="128" xfId="0" applyNumberFormat="1" applyFont="1" applyFill="1" applyBorder="1" applyAlignment="1" applyProtection="1">
      <alignment horizontal="right" indent="1"/>
      <protection hidden="1"/>
    </xf>
    <xf numFmtId="1" fontId="22" fillId="0" borderId="196" xfId="0" applyNumberFormat="1" applyFont="1" applyFill="1" applyBorder="1" applyAlignment="1" applyProtection="1">
      <alignment horizontal="left"/>
      <protection hidden="1"/>
    </xf>
    <xf numFmtId="0" fontId="22" fillId="7" borderId="0" xfId="0" applyFont="1" applyFill="1" applyAlignment="1" applyProtection="1">
      <alignment horizontal="right" vertical="center"/>
    </xf>
    <xf numFmtId="0" fontId="72" fillId="7" borderId="0" xfId="0" applyFont="1" applyFill="1" applyAlignment="1" applyProtection="1">
      <alignment horizontal="center" vertical="top"/>
    </xf>
    <xf numFmtId="3" fontId="43" fillId="7" borderId="0" xfId="0" applyNumberFormat="1" applyFont="1" applyFill="1" applyBorder="1" applyAlignment="1" applyProtection="1">
      <alignment vertical="center"/>
      <protection hidden="1"/>
    </xf>
    <xf numFmtId="49" fontId="22" fillId="0" borderId="0" xfId="0" applyNumberFormat="1" applyFont="1" applyFill="1" applyBorder="1" applyAlignment="1" applyProtection="1">
      <alignment wrapText="1"/>
    </xf>
    <xf numFmtId="0" fontId="22" fillId="7" borderId="71" xfId="0" applyFont="1" applyFill="1" applyBorder="1" applyAlignment="1" applyProtection="1">
      <alignment horizontal="center"/>
    </xf>
    <xf numFmtId="0" fontId="22" fillId="7" borderId="64" xfId="0" applyFont="1" applyFill="1" applyBorder="1" applyAlignment="1" applyProtection="1">
      <alignment horizontal="center"/>
    </xf>
    <xf numFmtId="0" fontId="22" fillId="7" borderId="63" xfId="0" applyFont="1" applyFill="1" applyBorder="1" applyAlignment="1" applyProtection="1">
      <alignment horizontal="center"/>
    </xf>
    <xf numFmtId="177" fontId="22" fillId="7" borderId="0" xfId="4" applyNumberFormat="1" applyFont="1" applyFill="1" applyBorder="1" applyAlignment="1" applyProtection="1"/>
    <xf numFmtId="177" fontId="4" fillId="7" borderId="170" xfId="4" applyNumberFormat="1" applyFont="1" applyFill="1" applyBorder="1" applyAlignment="1" applyProtection="1"/>
    <xf numFmtId="177" fontId="4" fillId="7" borderId="164" xfId="4" applyNumberFormat="1" applyFont="1" applyFill="1" applyBorder="1" applyAlignment="1" applyProtection="1"/>
    <xf numFmtId="177" fontId="4" fillId="7" borderId="166" xfId="4" applyNumberFormat="1" applyFont="1" applyFill="1" applyBorder="1" applyAlignment="1" applyProtection="1"/>
    <xf numFmtId="0" fontId="38" fillId="9" borderId="71" xfId="0" applyNumberFormat="1" applyFont="1" applyFill="1" applyBorder="1" applyAlignment="1" applyProtection="1">
      <alignment horizontal="center" vertical="center" wrapText="1"/>
    </xf>
    <xf numFmtId="0" fontId="38" fillId="9" borderId="63" xfId="0" applyNumberFormat="1" applyFont="1" applyFill="1" applyBorder="1" applyAlignment="1" applyProtection="1">
      <alignment horizontal="center" vertical="center" wrapText="1"/>
    </xf>
    <xf numFmtId="0" fontId="76" fillId="9" borderId="63" xfId="0" applyNumberFormat="1" applyFont="1" applyFill="1" applyBorder="1" applyAlignment="1" applyProtection="1">
      <alignment horizontal="center" vertical="center" wrapText="1"/>
    </xf>
    <xf numFmtId="1" fontId="4" fillId="0" borderId="170" xfId="2" applyNumberFormat="1" applyFont="1" applyFill="1" applyBorder="1" applyAlignment="1" applyProtection="1">
      <alignment horizontal="center" vertical="center"/>
    </xf>
    <xf numFmtId="1" fontId="4" fillId="0" borderId="166" xfId="2" applyNumberFormat="1" applyFont="1" applyFill="1" applyBorder="1" applyAlignment="1" applyProtection="1">
      <alignment horizontal="center" vertical="center"/>
    </xf>
    <xf numFmtId="1" fontId="4" fillId="0" borderId="147" xfId="2" applyNumberFormat="1" applyFont="1" applyFill="1" applyBorder="1" applyAlignment="1" applyProtection="1">
      <alignment horizontal="center" vertical="center"/>
    </xf>
    <xf numFmtId="167" fontId="4" fillId="0" borderId="47" xfId="0" applyNumberFormat="1" applyFont="1" applyFill="1" applyBorder="1" applyAlignment="1" applyProtection="1">
      <alignment horizontal="left" vertical="center"/>
    </xf>
    <xf numFmtId="3" fontId="43" fillId="7" borderId="0" xfId="0" applyNumberFormat="1" applyFont="1" applyFill="1" applyBorder="1" applyAlignment="1" applyProtection="1">
      <alignment vertical="center"/>
    </xf>
    <xf numFmtId="177" fontId="4" fillId="7" borderId="197" xfId="4" applyNumberFormat="1" applyFont="1" applyFill="1" applyBorder="1" applyAlignment="1" applyProtection="1"/>
    <xf numFmtId="177" fontId="22" fillId="7" borderId="74" xfId="4" applyNumberFormat="1" applyFont="1" applyFill="1" applyBorder="1" applyAlignment="1" applyProtection="1"/>
    <xf numFmtId="177" fontId="22" fillId="7" borderId="48" xfId="0" applyNumberFormat="1" applyFont="1" applyFill="1" applyBorder="1" applyProtection="1">
      <protection hidden="1"/>
    </xf>
    <xf numFmtId="177" fontId="4" fillId="7" borderId="200" xfId="4" applyNumberFormat="1" applyFont="1" applyFill="1" applyBorder="1" applyAlignment="1" applyProtection="1"/>
    <xf numFmtId="177" fontId="4" fillId="7" borderId="199" xfId="4" applyNumberFormat="1" applyFont="1" applyFill="1" applyBorder="1" applyAlignment="1" applyProtection="1"/>
    <xf numFmtId="167" fontId="4" fillId="0" borderId="183" xfId="0" applyNumberFormat="1" applyFont="1" applyFill="1" applyBorder="1" applyAlignment="1" applyProtection="1">
      <alignment horizontal="left" vertical="center"/>
    </xf>
    <xf numFmtId="167" fontId="4" fillId="0" borderId="186" xfId="0" applyNumberFormat="1" applyFont="1" applyFill="1" applyBorder="1" applyAlignment="1" applyProtection="1">
      <alignment horizontal="left" vertical="center"/>
    </xf>
    <xf numFmtId="177" fontId="4" fillId="7" borderId="201" xfId="4" applyNumberFormat="1" applyFont="1" applyFill="1" applyBorder="1" applyAlignment="1" applyProtection="1"/>
    <xf numFmtId="177" fontId="4" fillId="7" borderId="185" xfId="4" applyNumberFormat="1" applyFont="1" applyFill="1" applyBorder="1" applyAlignment="1" applyProtection="1"/>
    <xf numFmtId="177" fontId="4" fillId="7" borderId="186" xfId="4" applyNumberFormat="1" applyFont="1" applyFill="1" applyBorder="1" applyAlignment="1" applyProtection="1"/>
    <xf numFmtId="1" fontId="4" fillId="22" borderId="76" xfId="2" applyNumberFormat="1" applyFont="1" applyFill="1" applyBorder="1" applyAlignment="1" applyProtection="1">
      <alignment horizontal="center" vertical="center"/>
    </xf>
    <xf numFmtId="167" fontId="4" fillId="0" borderId="103" xfId="0" applyNumberFormat="1" applyFont="1" applyFill="1" applyBorder="1" applyAlignment="1" applyProtection="1">
      <alignment horizontal="right" vertical="center"/>
    </xf>
    <xf numFmtId="3" fontId="22" fillId="7" borderId="103" xfId="0" applyNumberFormat="1" applyFont="1" applyFill="1" applyBorder="1" applyAlignment="1" applyProtection="1">
      <alignment horizontal="center"/>
    </xf>
    <xf numFmtId="3" fontId="4" fillId="0" borderId="182" xfId="2" applyNumberFormat="1" applyFont="1" applyFill="1" applyBorder="1" applyAlignment="1" applyProtection="1">
      <alignment horizontal="center" vertical="center"/>
    </xf>
    <xf numFmtId="1" fontId="4" fillId="0" borderId="182" xfId="2" applyNumberFormat="1" applyFont="1" applyFill="1" applyBorder="1" applyAlignment="1" applyProtection="1">
      <alignment horizontal="center" vertical="center"/>
    </xf>
    <xf numFmtId="3" fontId="4" fillId="0" borderId="164" xfId="2" applyNumberFormat="1" applyFont="1" applyFill="1" applyBorder="1" applyAlignment="1" applyProtection="1">
      <alignment horizontal="center" vertical="center"/>
    </xf>
    <xf numFmtId="1" fontId="4" fillId="0" borderId="164" xfId="2" applyNumberFormat="1" applyFont="1" applyFill="1" applyBorder="1" applyAlignment="1" applyProtection="1">
      <alignment horizontal="center" vertical="center"/>
    </xf>
    <xf numFmtId="3" fontId="4" fillId="0" borderId="146" xfId="2" applyNumberFormat="1" applyFont="1" applyFill="1" applyBorder="1" applyAlignment="1" applyProtection="1">
      <alignment horizontal="center" vertical="center"/>
    </xf>
    <xf numFmtId="1" fontId="4" fillId="0" borderId="146" xfId="2" applyNumberFormat="1" applyFont="1" applyFill="1" applyBorder="1" applyAlignment="1" applyProtection="1">
      <alignment horizontal="center" vertical="center"/>
    </xf>
    <xf numFmtId="1" fontId="4" fillId="22" borderId="11" xfId="2" applyNumberFormat="1" applyFont="1" applyFill="1" applyBorder="1" applyAlignment="1" applyProtection="1">
      <alignment horizontal="center" vertical="center"/>
    </xf>
    <xf numFmtId="1" fontId="4" fillId="22" borderId="46" xfId="2" applyNumberFormat="1" applyFont="1" applyFill="1" applyBorder="1" applyAlignment="1" applyProtection="1">
      <alignment horizontal="center" vertical="center"/>
    </xf>
    <xf numFmtId="1" fontId="4" fillId="0" borderId="9" xfId="2" applyNumberFormat="1" applyFont="1" applyFill="1" applyBorder="1" applyAlignment="1" applyProtection="1">
      <alignment horizontal="center" vertical="center"/>
    </xf>
    <xf numFmtId="1" fontId="4" fillId="22" borderId="9" xfId="2" applyNumberFormat="1" applyFont="1" applyFill="1" applyBorder="1" applyAlignment="1" applyProtection="1">
      <alignment horizontal="center" vertical="center"/>
    </xf>
    <xf numFmtId="1" fontId="4" fillId="1" borderId="11" xfId="2" applyNumberFormat="1" applyFont="1" applyFill="1" applyBorder="1" applyAlignment="1" applyProtection="1">
      <alignment horizontal="center" vertical="center"/>
    </xf>
    <xf numFmtId="1" fontId="4" fillId="1" borderId="9" xfId="2" applyNumberFormat="1" applyFont="1" applyFill="1" applyBorder="1" applyAlignment="1" applyProtection="1">
      <alignment horizontal="center" vertical="center"/>
    </xf>
    <xf numFmtId="173" fontId="22" fillId="0" borderId="12" xfId="4" applyNumberFormat="1" applyFont="1" applyFill="1" applyBorder="1" applyAlignment="1" applyProtection="1">
      <alignment vertical="center"/>
    </xf>
    <xf numFmtId="173" fontId="22" fillId="0" borderId="12" xfId="4" applyNumberFormat="1" applyFont="1" applyFill="1" applyBorder="1" applyAlignment="1" applyProtection="1">
      <alignment horizontal="right" vertical="center"/>
    </xf>
    <xf numFmtId="0" fontId="22" fillId="10" borderId="177" xfId="0" applyNumberFormat="1" applyFont="1" applyFill="1" applyBorder="1" applyAlignment="1" applyProtection="1">
      <alignment horizontal="center" vertical="center"/>
      <protection locked="0"/>
    </xf>
    <xf numFmtId="0" fontId="22" fillId="10" borderId="178" xfId="0" applyNumberFormat="1" applyFont="1" applyFill="1" applyBorder="1" applyAlignment="1" applyProtection="1">
      <alignment horizontal="center" vertical="center"/>
      <protection locked="0"/>
    </xf>
    <xf numFmtId="0" fontId="22" fillId="0" borderId="102" xfId="0" applyNumberFormat="1" applyFont="1" applyFill="1" applyBorder="1" applyAlignment="1" applyProtection="1">
      <alignment horizontal="center" vertical="center"/>
      <protection hidden="1"/>
    </xf>
    <xf numFmtId="0" fontId="39" fillId="11" borderId="84" xfId="7" applyFont="1" applyFill="1" applyBorder="1" applyAlignment="1" applyProtection="1">
      <alignment vertical="center"/>
      <protection locked="0"/>
    </xf>
    <xf numFmtId="0" fontId="39" fillId="11" borderId="11" xfId="7" applyFont="1" applyFill="1" applyBorder="1" applyAlignment="1" applyProtection="1">
      <alignment vertical="center"/>
      <protection locked="0"/>
    </xf>
    <xf numFmtId="170" fontId="22" fillId="10" borderId="1" xfId="0" applyNumberFormat="1" applyFont="1" applyFill="1" applyBorder="1" applyAlignment="1" applyProtection="1">
      <alignment horizontal="left"/>
      <protection locked="0"/>
    </xf>
    <xf numFmtId="0" fontId="39" fillId="11" borderId="202" xfId="7" applyFont="1" applyFill="1" applyBorder="1" applyAlignment="1" applyProtection="1">
      <alignment vertical="center"/>
      <protection locked="0"/>
    </xf>
    <xf numFmtId="0" fontId="22" fillId="7" borderId="0" xfId="0" applyNumberFormat="1" applyFont="1" applyFill="1" applyBorder="1" applyAlignment="1" applyProtection="1">
      <alignment horizontal="center"/>
    </xf>
    <xf numFmtId="3" fontId="22" fillId="0" borderId="0" xfId="0" applyNumberFormat="1" applyFont="1" applyFill="1" applyBorder="1" applyAlignment="1" applyProtection="1"/>
    <xf numFmtId="3" fontId="22" fillId="1" borderId="0" xfId="0" applyNumberFormat="1" applyFont="1" applyFill="1" applyBorder="1" applyAlignment="1" applyProtection="1"/>
    <xf numFmtId="170" fontId="22" fillId="0" borderId="19" xfId="0" applyNumberFormat="1" applyFont="1" applyFill="1" applyBorder="1" applyAlignment="1" applyProtection="1">
      <alignment horizontal="right"/>
    </xf>
    <xf numFmtId="170" fontId="22" fillId="10" borderId="0" xfId="0" applyNumberFormat="1" applyFont="1" applyFill="1" applyBorder="1" applyAlignment="1" applyProtection="1">
      <alignment horizontal="right"/>
      <protection locked="0"/>
    </xf>
    <xf numFmtId="170" fontId="22" fillId="0" borderId="156" xfId="0" applyNumberFormat="1" applyFont="1" applyFill="1" applyBorder="1" applyAlignment="1" applyProtection="1">
      <alignment horizontal="right"/>
    </xf>
    <xf numFmtId="170" fontId="22" fillId="0" borderId="20" xfId="0" applyNumberFormat="1" applyFont="1" applyFill="1" applyBorder="1" applyAlignment="1" applyProtection="1">
      <alignment horizontal="right" vertical="center"/>
    </xf>
    <xf numFmtId="0" fontId="38" fillId="9" borderId="64" xfId="0" applyNumberFormat="1" applyFont="1" applyFill="1" applyBorder="1" applyAlignment="1" applyProtection="1">
      <alignment horizontal="left"/>
    </xf>
    <xf numFmtId="0" fontId="22" fillId="0" borderId="96" xfId="0" applyFont="1" applyFill="1" applyBorder="1" applyProtection="1"/>
    <xf numFmtId="0" fontId="22" fillId="0" borderId="40" xfId="0" applyFont="1" applyFill="1" applyBorder="1" applyProtection="1"/>
    <xf numFmtId="0" fontId="22" fillId="0" borderId="122" xfId="0" applyFont="1" applyFill="1" applyBorder="1" applyProtection="1"/>
    <xf numFmtId="0" fontId="49" fillId="7" borderId="0" xfId="0" applyFont="1" applyFill="1" applyAlignment="1" applyProtection="1">
      <alignment vertical="center"/>
    </xf>
    <xf numFmtId="0" fontId="49" fillId="7" borderId="0" xfId="0" applyFont="1" applyFill="1" applyAlignment="1" applyProtection="1">
      <alignment vertical="center"/>
      <protection hidden="1"/>
    </xf>
    <xf numFmtId="167" fontId="34" fillId="7" borderId="0" xfId="0" applyNumberFormat="1" applyFont="1" applyFill="1" applyBorder="1" applyAlignment="1" applyProtection="1">
      <alignment horizontal="right"/>
    </xf>
    <xf numFmtId="0" fontId="49" fillId="7" borderId="0" xfId="0" applyFont="1" applyFill="1" applyProtection="1"/>
    <xf numFmtId="0" fontId="49" fillId="7" borderId="0" xfId="0" applyFont="1" applyFill="1" applyAlignment="1" applyProtection="1"/>
    <xf numFmtId="0" fontId="12" fillId="2" borderId="0" xfId="0" applyFont="1" applyFill="1" applyBorder="1" applyAlignment="1">
      <alignment horizontal="left" wrapText="1"/>
    </xf>
    <xf numFmtId="0" fontId="0" fillId="0" borderId="0" xfId="0" applyBorder="1" applyAlignment="1">
      <alignment wrapText="1"/>
    </xf>
    <xf numFmtId="0" fontId="2" fillId="2" borderId="0" xfId="0" applyFont="1" applyFill="1" applyBorder="1" applyAlignment="1">
      <alignment horizontal="center"/>
    </xf>
    <xf numFmtId="0" fontId="4" fillId="10" borderId="0" xfId="0" applyFont="1" applyFill="1" applyBorder="1" applyAlignment="1" applyProtection="1">
      <alignment horizontal="left" indent="1"/>
      <protection locked="0"/>
    </xf>
    <xf numFmtId="14" fontId="28" fillId="10" borderId="0" xfId="0" applyNumberFormat="1" applyFont="1" applyFill="1" applyBorder="1" applyAlignment="1" applyProtection="1">
      <alignment horizontal="left" indent="1"/>
      <protection locked="0"/>
    </xf>
    <xf numFmtId="0" fontId="28" fillId="13" borderId="0" xfId="0" applyFont="1" applyFill="1" applyBorder="1" applyAlignment="1" applyProtection="1">
      <alignment horizontal="left" indent="1"/>
      <protection locked="0"/>
    </xf>
    <xf numFmtId="0" fontId="28" fillId="10" borderId="0" xfId="0" applyFont="1" applyFill="1" applyBorder="1" applyAlignment="1" applyProtection="1">
      <alignment horizontal="left" indent="1"/>
      <protection locked="0"/>
    </xf>
    <xf numFmtId="0" fontId="28" fillId="11" borderId="0" xfId="0" applyFont="1" applyFill="1" applyBorder="1" applyAlignment="1" applyProtection="1">
      <alignment horizontal="left" indent="1"/>
      <protection locked="0"/>
    </xf>
    <xf numFmtId="0" fontId="28" fillId="10" borderId="0" xfId="0" applyFont="1" applyFill="1" applyBorder="1" applyAlignment="1" applyProtection="1">
      <alignment horizontal="left" vertical="center" indent="1"/>
      <protection locked="0"/>
    </xf>
    <xf numFmtId="0" fontId="4" fillId="10" borderId="0" xfId="0" applyFont="1" applyFill="1" applyBorder="1" applyAlignment="1" applyProtection="1">
      <alignment horizontal="left" vertical="center" indent="1"/>
      <protection locked="0"/>
    </xf>
    <xf numFmtId="0" fontId="20" fillId="7" borderId="0" xfId="0" applyFont="1" applyFill="1" applyAlignment="1" applyProtection="1">
      <alignment horizontal="center"/>
    </xf>
    <xf numFmtId="0" fontId="22" fillId="0" borderId="0" xfId="0" applyFont="1" applyFill="1" applyBorder="1" applyAlignment="1" applyProtection="1">
      <protection locked="0"/>
    </xf>
    <xf numFmtId="0" fontId="69" fillId="7" borderId="0" xfId="0" applyFont="1" applyFill="1" applyBorder="1" applyAlignment="1" applyProtection="1">
      <alignment horizontal="center" vertical="center"/>
    </xf>
    <xf numFmtId="0" fontId="69" fillId="7" borderId="0" xfId="0" applyFont="1" applyFill="1" applyAlignment="1" applyProtection="1">
      <alignment horizontal="center" vertical="center"/>
    </xf>
    <xf numFmtId="0" fontId="4" fillId="0" borderId="171" xfId="0" applyFont="1" applyFill="1" applyBorder="1" applyAlignment="1" applyProtection="1">
      <alignment horizontal="left" vertical="center"/>
    </xf>
    <xf numFmtId="0" fontId="4" fillId="0" borderId="172" xfId="0" applyFont="1" applyFill="1" applyBorder="1" applyAlignment="1" applyProtection="1">
      <alignment horizontal="left" vertical="center"/>
    </xf>
    <xf numFmtId="0" fontId="4" fillId="0" borderId="187" xfId="0" applyFont="1" applyFill="1" applyBorder="1" applyAlignment="1" applyProtection="1">
      <alignment horizontal="left" vertical="center"/>
    </xf>
    <xf numFmtId="0" fontId="4" fillId="0" borderId="188" xfId="0" applyFont="1" applyFill="1" applyBorder="1" applyAlignment="1" applyProtection="1">
      <alignment horizontal="left" vertical="center"/>
    </xf>
    <xf numFmtId="167" fontId="4" fillId="0" borderId="198" xfId="0" applyNumberFormat="1" applyFont="1" applyFill="1" applyBorder="1" applyAlignment="1" applyProtection="1">
      <alignment horizontal="left" vertical="center"/>
    </xf>
    <xf numFmtId="167" fontId="4" fillId="0" borderId="199" xfId="0" applyNumberFormat="1" applyFont="1" applyFill="1" applyBorder="1" applyAlignment="1" applyProtection="1">
      <alignment horizontal="left" vertical="center"/>
    </xf>
    <xf numFmtId="0" fontId="38" fillId="9" borderId="67" xfId="0" applyNumberFormat="1" applyFont="1" applyFill="1" applyBorder="1" applyAlignment="1" applyProtection="1">
      <alignment horizontal="center" vertical="center" wrapText="1"/>
    </xf>
    <xf numFmtId="0" fontId="38" fillId="9" borderId="82" xfId="0" applyNumberFormat="1" applyFont="1" applyFill="1" applyBorder="1" applyAlignment="1" applyProtection="1">
      <alignment horizontal="center" vertical="center" wrapText="1"/>
    </xf>
    <xf numFmtId="0" fontId="4" fillId="0" borderId="173" xfId="0" applyFont="1" applyFill="1" applyBorder="1" applyAlignment="1" applyProtection="1">
      <alignment horizontal="left" vertical="center"/>
    </xf>
    <xf numFmtId="0" fontId="4" fillId="0" borderId="164" xfId="0" applyFont="1" applyFill="1" applyBorder="1" applyAlignment="1" applyProtection="1">
      <alignment horizontal="left" vertical="center"/>
    </xf>
    <xf numFmtId="167" fontId="4" fillId="0" borderId="106" xfId="0" applyNumberFormat="1" applyFont="1" applyFill="1" applyBorder="1" applyAlignment="1" applyProtection="1">
      <alignment horizontal="left" vertical="center"/>
    </xf>
    <xf numFmtId="167" fontId="4" fillId="0" borderId="11" xfId="0" applyNumberFormat="1" applyFont="1" applyFill="1" applyBorder="1" applyAlignment="1" applyProtection="1">
      <alignment horizontal="left" vertical="center"/>
    </xf>
    <xf numFmtId="167" fontId="33" fillId="0" borderId="47" xfId="0" applyNumberFormat="1" applyFont="1" applyFill="1" applyBorder="1" applyAlignment="1" applyProtection="1">
      <alignment horizontal="left" vertical="center"/>
    </xf>
    <xf numFmtId="167" fontId="33" fillId="0" borderId="48" xfId="0" applyNumberFormat="1" applyFont="1" applyFill="1" applyBorder="1" applyAlignment="1" applyProtection="1">
      <alignment horizontal="left" vertical="center"/>
    </xf>
    <xf numFmtId="0" fontId="22" fillId="10" borderId="171" xfId="0" applyFont="1" applyFill="1" applyBorder="1" applyAlignment="1" applyProtection="1">
      <alignment horizontal="left" vertical="center"/>
      <protection locked="0"/>
    </xf>
    <xf numFmtId="0" fontId="22" fillId="10" borderId="172" xfId="0" applyFont="1" applyFill="1" applyBorder="1" applyAlignment="1" applyProtection="1">
      <alignment horizontal="left" vertical="center"/>
      <protection locked="0"/>
    </xf>
    <xf numFmtId="0" fontId="22" fillId="10" borderId="179" xfId="0" applyFont="1" applyFill="1" applyBorder="1" applyAlignment="1" applyProtection="1">
      <alignment horizontal="left" vertical="center"/>
      <protection locked="0"/>
    </xf>
    <xf numFmtId="0" fontId="22" fillId="10" borderId="180" xfId="0" applyFont="1" applyFill="1" applyBorder="1" applyAlignment="1" applyProtection="1">
      <alignment horizontal="left" vertical="center"/>
      <protection locked="0"/>
    </xf>
    <xf numFmtId="0" fontId="22" fillId="10" borderId="167" xfId="0" applyFont="1" applyFill="1" applyBorder="1" applyAlignment="1" applyProtection="1">
      <alignment horizontal="left" vertical="center"/>
      <protection locked="0"/>
    </xf>
    <xf numFmtId="0" fontId="22" fillId="10" borderId="168" xfId="0" applyFont="1" applyFill="1" applyBorder="1" applyAlignment="1" applyProtection="1">
      <alignment horizontal="left" vertical="center"/>
      <protection locked="0"/>
    </xf>
    <xf numFmtId="0" fontId="38" fillId="9" borderId="67" xfId="0" applyFont="1" applyFill="1" applyBorder="1" applyAlignment="1" applyProtection="1">
      <alignment horizontal="left" vertical="center" indent="1"/>
    </xf>
    <xf numFmtId="0" fontId="38" fillId="9" borderId="54" xfId="0" applyFont="1" applyFill="1" applyBorder="1" applyAlignment="1" applyProtection="1">
      <alignment horizontal="left" vertical="center" indent="1"/>
    </xf>
    <xf numFmtId="0" fontId="38" fillId="9" borderId="82" xfId="0" applyFont="1" applyFill="1" applyBorder="1" applyAlignment="1" applyProtection="1">
      <alignment horizontal="left" vertical="center" indent="1"/>
    </xf>
    <xf numFmtId="0" fontId="22" fillId="0" borderId="67" xfId="0" applyFont="1" applyFill="1" applyBorder="1" applyAlignment="1" applyProtection="1">
      <alignment horizontal="left" vertical="center" indent="1"/>
    </xf>
    <xf numFmtId="0" fontId="22" fillId="0" borderId="54" xfId="0" applyFont="1" applyFill="1" applyBorder="1" applyAlignment="1" applyProtection="1">
      <alignment horizontal="left" vertical="center" indent="1"/>
    </xf>
    <xf numFmtId="0" fontId="22" fillId="0" borderId="82" xfId="0" applyFont="1" applyFill="1" applyBorder="1" applyAlignment="1" applyProtection="1">
      <alignment horizontal="left" vertical="center" indent="1"/>
    </xf>
    <xf numFmtId="0" fontId="38" fillId="9" borderId="67" xfId="0" applyNumberFormat="1" applyFont="1" applyFill="1" applyBorder="1" applyAlignment="1" applyProtection="1">
      <alignment horizontal="left" vertical="center" wrapText="1"/>
      <protection hidden="1"/>
    </xf>
    <xf numFmtId="0" fontId="38" fillId="9" borderId="82" xfId="0" applyNumberFormat="1" applyFont="1" applyFill="1" applyBorder="1" applyAlignment="1" applyProtection="1">
      <alignment horizontal="left" vertical="center" wrapText="1"/>
      <protection hidden="1"/>
    </xf>
    <xf numFmtId="0" fontId="38" fillId="9" borderId="67" xfId="0" applyNumberFormat="1" applyFont="1" applyFill="1" applyBorder="1" applyAlignment="1" applyProtection="1">
      <alignment horizontal="center" vertical="center" wrapText="1"/>
      <protection hidden="1"/>
    </xf>
    <xf numFmtId="0" fontId="38" fillId="9" borderId="82" xfId="0" applyNumberFormat="1" applyFont="1" applyFill="1" applyBorder="1" applyAlignment="1" applyProtection="1">
      <alignment horizontal="center" vertical="center" wrapText="1"/>
      <protection hidden="1"/>
    </xf>
    <xf numFmtId="0" fontId="22" fillId="10" borderId="174" xfId="0" applyFont="1" applyFill="1" applyBorder="1" applyAlignment="1" applyProtection="1">
      <alignment horizontal="left" vertical="center"/>
      <protection locked="0"/>
    </xf>
    <xf numFmtId="0" fontId="22" fillId="10" borderId="175" xfId="0" applyFont="1" applyFill="1" applyBorder="1" applyAlignment="1" applyProtection="1">
      <alignment horizontal="left" vertical="center"/>
      <protection locked="0"/>
    </xf>
    <xf numFmtId="167" fontId="22" fillId="0" borderId="157" xfId="0" applyNumberFormat="1" applyFont="1" applyFill="1" applyBorder="1" applyAlignment="1" applyProtection="1">
      <alignment horizontal="left" vertical="center"/>
      <protection hidden="1"/>
    </xf>
    <xf numFmtId="167" fontId="22" fillId="0" borderId="158" xfId="0" applyNumberFormat="1" applyFont="1" applyFill="1" applyBorder="1" applyAlignment="1" applyProtection="1">
      <alignment horizontal="left" vertical="center"/>
      <protection hidden="1"/>
    </xf>
    <xf numFmtId="0" fontId="43" fillId="0" borderId="19" xfId="0" applyFont="1" applyFill="1" applyBorder="1" applyAlignment="1" applyProtection="1">
      <alignment horizontal="left"/>
      <protection hidden="1"/>
    </xf>
    <xf numFmtId="0" fontId="43" fillId="0" borderId="72" xfId="0" applyFont="1" applyFill="1" applyBorder="1" applyAlignment="1" applyProtection="1">
      <protection hidden="1"/>
    </xf>
    <xf numFmtId="0" fontId="43" fillId="10" borderId="19" xfId="0" applyFont="1" applyFill="1" applyBorder="1" applyAlignment="1" applyProtection="1">
      <alignment horizontal="left"/>
      <protection hidden="1"/>
    </xf>
    <xf numFmtId="0" fontId="43" fillId="10" borderId="72" xfId="0" applyFont="1" applyFill="1" applyBorder="1" applyAlignment="1" applyProtection="1">
      <alignment horizontal="left"/>
      <protection hidden="1"/>
    </xf>
    <xf numFmtId="0" fontId="43" fillId="10" borderId="72" xfId="0" applyFont="1" applyFill="1" applyBorder="1" applyAlignment="1" applyProtection="1">
      <protection hidden="1"/>
    </xf>
    <xf numFmtId="0" fontId="43" fillId="0" borderId="72" xfId="0" applyFont="1" applyFill="1" applyBorder="1" applyAlignment="1" applyProtection="1">
      <alignment horizontal="left"/>
      <protection hidden="1"/>
    </xf>
    <xf numFmtId="0" fontId="22" fillId="6" borderId="39" xfId="0" applyFont="1" applyFill="1" applyBorder="1" applyAlignment="1" applyProtection="1">
      <alignment horizontal="center"/>
      <protection hidden="1"/>
    </xf>
    <xf numFmtId="0" fontId="22" fillId="6" borderId="13" xfId="0" applyFont="1" applyFill="1" applyBorder="1" applyAlignment="1" applyProtection="1">
      <alignment horizontal="center"/>
      <protection hidden="1"/>
    </xf>
    <xf numFmtId="0" fontId="22" fillId="6" borderId="70" xfId="0" applyFont="1" applyFill="1" applyBorder="1" applyAlignment="1" applyProtection="1">
      <alignment horizontal="center"/>
      <protection hidden="1"/>
    </xf>
    <xf numFmtId="0" fontId="43" fillId="6" borderId="39" xfId="0" applyFont="1" applyFill="1" applyBorder="1" applyAlignment="1" applyProtection="1">
      <alignment horizontal="center"/>
      <protection hidden="1"/>
    </xf>
    <xf numFmtId="0" fontId="43" fillId="6" borderId="13" xfId="0" applyFont="1" applyFill="1" applyBorder="1" applyAlignment="1" applyProtection="1">
      <alignment horizontal="center"/>
      <protection hidden="1"/>
    </xf>
    <xf numFmtId="0" fontId="43" fillId="6" borderId="70" xfId="0" applyFont="1" applyFill="1" applyBorder="1" applyAlignment="1" applyProtection="1">
      <alignment horizontal="center"/>
      <protection hidden="1"/>
    </xf>
    <xf numFmtId="0" fontId="43" fillId="3" borderId="77" xfId="0" applyNumberFormat="1" applyFont="1" applyFill="1" applyBorder="1" applyAlignment="1" applyProtection="1">
      <alignment horizontal="center" vertical="center"/>
      <protection hidden="1"/>
    </xf>
    <xf numFmtId="0" fontId="43" fillId="3" borderId="0" xfId="0" applyNumberFormat="1" applyFont="1" applyFill="1" applyBorder="1" applyAlignment="1" applyProtection="1">
      <alignment horizontal="center" vertical="center"/>
      <protection hidden="1"/>
    </xf>
    <xf numFmtId="0" fontId="38" fillId="9" borderId="111" xfId="0" applyFont="1" applyFill="1" applyBorder="1" applyAlignment="1" applyProtection="1">
      <alignment horizontal="left" vertical="center" indent="1"/>
    </xf>
    <xf numFmtId="0" fontId="38" fillId="9" borderId="105" xfId="0" applyFont="1" applyFill="1" applyBorder="1" applyAlignment="1" applyProtection="1">
      <alignment horizontal="left" vertical="center" indent="1"/>
    </xf>
    <xf numFmtId="0" fontId="38" fillId="9" borderId="104" xfId="0" applyFont="1" applyFill="1" applyBorder="1" applyAlignment="1" applyProtection="1">
      <alignment horizontal="left" vertical="center" indent="1"/>
    </xf>
    <xf numFmtId="0" fontId="22" fillId="0" borderId="171" xfId="0" applyFont="1" applyFill="1" applyBorder="1" applyAlignment="1" applyProtection="1">
      <alignment horizontal="left" vertical="center"/>
    </xf>
    <xf numFmtId="0" fontId="22" fillId="0" borderId="172" xfId="0" applyFont="1" applyFill="1" applyBorder="1" applyAlignment="1" applyProtection="1">
      <alignment horizontal="left" vertical="center"/>
    </xf>
    <xf numFmtId="0" fontId="22" fillId="0" borderId="167" xfId="0" applyFont="1" applyFill="1" applyBorder="1" applyAlignment="1" applyProtection="1">
      <alignment horizontal="left" vertical="center"/>
    </xf>
    <xf numFmtId="0" fontId="22" fillId="0" borderId="168" xfId="0" applyFont="1" applyFill="1" applyBorder="1" applyAlignment="1" applyProtection="1">
      <alignment horizontal="left" vertical="center"/>
    </xf>
    <xf numFmtId="0" fontId="3" fillId="7" borderId="0" xfId="1" applyFill="1" applyAlignment="1" applyProtection="1">
      <alignment horizontal="left"/>
    </xf>
    <xf numFmtId="0" fontId="4" fillId="0" borderId="169" xfId="0" applyFont="1" applyFill="1" applyBorder="1" applyAlignment="1" applyProtection="1">
      <alignment horizontal="left" vertical="center"/>
    </xf>
    <xf numFmtId="0" fontId="4" fillId="0" borderId="182" xfId="0" applyFont="1" applyFill="1" applyBorder="1" applyAlignment="1" applyProtection="1">
      <alignment horizontal="left" vertical="center"/>
    </xf>
    <xf numFmtId="167" fontId="33" fillId="0" borderId="111" xfId="0" applyNumberFormat="1" applyFont="1" applyFill="1" applyBorder="1" applyAlignment="1" applyProtection="1">
      <alignment horizontal="left" vertical="center"/>
    </xf>
    <xf numFmtId="167" fontId="33" fillId="0" borderId="104" xfId="0" applyNumberFormat="1" applyFont="1" applyFill="1" applyBorder="1" applyAlignment="1" applyProtection="1">
      <alignment horizontal="left" vertical="center"/>
    </xf>
    <xf numFmtId="167" fontId="4" fillId="1" borderId="106" xfId="0" applyNumberFormat="1" applyFont="1" applyFill="1" applyBorder="1" applyAlignment="1" applyProtection="1">
      <alignment horizontal="left" vertical="center"/>
    </xf>
    <xf numFmtId="167" fontId="4" fillId="1" borderId="11" xfId="0" applyNumberFormat="1" applyFont="1" applyFill="1" applyBorder="1" applyAlignment="1" applyProtection="1">
      <alignment horizontal="left" vertical="center"/>
    </xf>
    <xf numFmtId="0" fontId="9" fillId="7" borderId="0" xfId="0" applyFont="1" applyFill="1" applyBorder="1" applyAlignment="1" applyProtection="1">
      <alignment horizontal="center" textRotation="90" wrapText="1"/>
    </xf>
    <xf numFmtId="0" fontId="28" fillId="7" borderId="79" xfId="0" applyFont="1" applyFill="1" applyBorder="1" applyAlignment="1" applyProtection="1">
      <alignment vertical="top" wrapText="1"/>
      <protection locked="0"/>
    </xf>
    <xf numFmtId="0" fontId="28" fillId="0" borderId="80" xfId="0" applyFont="1" applyBorder="1" applyAlignment="1" applyProtection="1">
      <alignment vertical="top" wrapText="1"/>
      <protection locked="0"/>
    </xf>
    <xf numFmtId="0" fontId="28" fillId="0" borderId="81" xfId="0" applyFont="1" applyBorder="1" applyAlignment="1" applyProtection="1">
      <alignment vertical="top" wrapText="1"/>
      <protection locked="0"/>
    </xf>
    <xf numFmtId="0" fontId="28" fillId="0" borderId="38" xfId="0" applyFont="1" applyBorder="1" applyAlignment="1" applyProtection="1">
      <alignment vertical="top" wrapText="1"/>
      <protection locked="0"/>
    </xf>
    <xf numFmtId="0" fontId="28" fillId="0" borderId="0" xfId="0" applyFont="1" applyBorder="1" applyAlignment="1" applyProtection="1">
      <alignment vertical="top" wrapText="1"/>
      <protection locked="0"/>
    </xf>
    <xf numFmtId="0" fontId="28" fillId="0" borderId="72" xfId="0" applyFont="1" applyBorder="1" applyAlignment="1" applyProtection="1">
      <alignment vertical="top" wrapText="1"/>
      <protection locked="0"/>
    </xf>
    <xf numFmtId="0" fontId="28" fillId="0" borderId="39" xfId="0" applyFont="1" applyBorder="1" applyAlignment="1" applyProtection="1">
      <alignment vertical="top" wrapText="1"/>
      <protection locked="0"/>
    </xf>
    <xf numFmtId="0" fontId="28" fillId="0" borderId="13" xfId="0" applyFont="1" applyBorder="1" applyAlignment="1" applyProtection="1">
      <alignment vertical="top" wrapText="1"/>
      <protection locked="0"/>
    </xf>
    <xf numFmtId="0" fontId="28" fillId="0" borderId="70" xfId="0" applyFont="1" applyBorder="1" applyAlignment="1" applyProtection="1">
      <alignment vertical="top" wrapText="1"/>
      <protection locked="0"/>
    </xf>
    <xf numFmtId="3" fontId="36" fillId="0" borderId="0" xfId="0" applyNumberFormat="1" applyFont="1" applyFill="1" applyAlignment="1" applyProtection="1">
      <alignment horizontal="center" vertical="center"/>
    </xf>
    <xf numFmtId="0" fontId="22" fillId="0" borderId="0" xfId="0" applyFont="1" applyFill="1" applyBorder="1" applyAlignment="1" applyProtection="1">
      <alignment horizontal="center"/>
    </xf>
    <xf numFmtId="0" fontId="22" fillId="7" borderId="0" xfId="0" applyFont="1" applyFill="1" applyBorder="1" applyAlignment="1" applyProtection="1">
      <alignment horizontal="center"/>
    </xf>
    <xf numFmtId="1" fontId="38" fillId="9" borderId="59" xfId="0" applyNumberFormat="1" applyFont="1" applyFill="1" applyBorder="1" applyAlignment="1" applyProtection="1">
      <alignment horizontal="center" vertical="center"/>
    </xf>
    <xf numFmtId="1" fontId="38" fillId="9" borderId="68" xfId="0" applyNumberFormat="1" applyFont="1" applyFill="1" applyBorder="1" applyAlignment="1" applyProtection="1">
      <alignment horizontal="center" vertical="center"/>
    </xf>
    <xf numFmtId="0" fontId="38" fillId="9" borderId="60" xfId="0" applyFont="1" applyFill="1" applyBorder="1" applyAlignment="1" applyProtection="1">
      <alignment horizontal="left" vertical="center" indent="1"/>
    </xf>
    <xf numFmtId="0" fontId="38" fillId="9" borderId="56" xfId="0" applyFont="1" applyFill="1" applyBorder="1" applyAlignment="1" applyProtection="1">
      <alignment horizontal="left" vertical="center" indent="1"/>
    </xf>
    <xf numFmtId="0" fontId="22" fillId="0" borderId="111" xfId="0" applyFont="1" applyFill="1" applyBorder="1" applyAlignment="1" applyProtection="1">
      <alignment horizontal="left"/>
    </xf>
    <xf numFmtId="0" fontId="22" fillId="0" borderId="104" xfId="0" applyFont="1" applyFill="1" applyBorder="1" applyAlignment="1" applyProtection="1">
      <alignment horizontal="left"/>
    </xf>
    <xf numFmtId="1" fontId="38" fillId="9" borderId="67" xfId="0" applyNumberFormat="1" applyFont="1" applyFill="1" applyBorder="1" applyAlignment="1" applyProtection="1">
      <alignment horizontal="center" vertical="center"/>
    </xf>
    <xf numFmtId="1" fontId="38" fillId="9" borderId="54" xfId="0" applyNumberFormat="1" applyFont="1" applyFill="1" applyBorder="1" applyAlignment="1" applyProtection="1">
      <alignment horizontal="center" vertical="center"/>
    </xf>
    <xf numFmtId="1" fontId="38" fillId="9" borderId="82" xfId="0" applyNumberFormat="1" applyFont="1" applyFill="1" applyBorder="1" applyAlignment="1" applyProtection="1">
      <alignment horizontal="center" vertical="center"/>
    </xf>
  </cellXfs>
  <cellStyles count="11">
    <cellStyle name="20 % - Akzent3" xfId="7" builtinId="38"/>
    <cellStyle name="40 % - Akzent3" xfId="8" builtinId="39"/>
    <cellStyle name="60 % - Akzent3" xfId="9" builtinId="40"/>
    <cellStyle name="Komma" xfId="4" builtinId="3"/>
    <cellStyle name="Komma 2" xfId="6"/>
    <cellStyle name="Link" xfId="1" builtinId="8"/>
    <cellStyle name="Neutral" xfId="2" builtinId="28"/>
    <cellStyle name="Prozent" xfId="3" builtinId="5"/>
    <cellStyle name="Standard" xfId="0" builtinId="0"/>
    <cellStyle name="Standard 2" xfId="5"/>
    <cellStyle name="Standard 3" xfId="10"/>
  </cellStyles>
  <dxfs count="654"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>
          <bgColor rgb="FFFF7C80"/>
        </patternFill>
      </fill>
    </dxf>
    <dxf>
      <fill>
        <patternFill>
          <bgColor rgb="FFFF7C80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none">
          <bgColor auto="1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 patternType="solid"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  <vertical/>
        <horizontal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  <dxf>
      <fill>
        <patternFill patternType="solid">
          <bgColor theme="0" tint="-4.9989318521683403E-2"/>
        </patternFill>
      </fill>
      <border>
        <left/>
        <right/>
        <top/>
        <bottom/>
      </border>
    </dxf>
    <dxf>
      <fill>
        <patternFill>
          <bgColor theme="0" tint="-4.9989318521683403E-2"/>
        </patternFill>
      </fill>
      <border>
        <left/>
        <right/>
        <top/>
        <bottom/>
      </border>
    </dxf>
  </dxfs>
  <tableStyles count="0" defaultTableStyle="TableStyleMedium9" defaultPivotStyle="PivotStyleLight16"/>
  <colors>
    <mruColors>
      <color rgb="FFFF7C80"/>
      <color rgb="FFFF9999"/>
      <color rgb="FFDEDBD1"/>
      <color rgb="FFDADBD1"/>
      <color rgb="FFE3DFCB"/>
      <color rgb="FFE9E6D7"/>
      <color rgb="FFEFEFEE"/>
      <color rgb="FFEEEEE2"/>
      <color rgb="FFECF0E4"/>
      <color rgb="FFE7E4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276245603632897"/>
          <c:y val="4.4757532723249532E-2"/>
          <c:w val="0.92778640991153849"/>
          <c:h val="0.88803391821697053"/>
        </c:manualLayout>
      </c:layout>
      <c:barChart>
        <c:barDir val="col"/>
        <c:grouping val="stacked"/>
        <c:varyColors val="0"/>
        <c:ser>
          <c:idx val="0"/>
          <c:order val="0"/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'1 Pers.Ausgaben|Pers Expenses'!$D$97:$H$97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'1 Pers.Ausgaben|Pers Expenses'!$D$104:$H$104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0"/>
        <c:overlap val="100"/>
        <c:axId val="575877512"/>
        <c:axId val="575871632"/>
      </c:barChart>
      <c:catAx>
        <c:axId val="5758775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575871632"/>
        <c:crosses val="autoZero"/>
        <c:auto val="1"/>
        <c:lblAlgn val="ctr"/>
        <c:lblOffset val="100"/>
        <c:noMultiLvlLbl val="0"/>
      </c:catAx>
      <c:valAx>
        <c:axId val="5758716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575877512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515099070046514E-2"/>
          <c:y val="8.0508136482939627E-2"/>
          <c:w val="0.93331896352423838"/>
          <c:h val="0.7323092058163751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'6 Liquiditaet|Liquidity'!$C$203</c:f>
              <c:strCache>
                <c:ptCount val="1"/>
                <c:pt idx="0">
                  <c:v>Negativ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Liquiditaet|Liquidity'!$D$203:$O$203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0"/>
          <c:order val="1"/>
          <c:tx>
            <c:strRef>
              <c:f>'6 Liquiditaet|Liquidity'!$C$202</c:f>
              <c:strCache>
                <c:ptCount val="1"/>
                <c:pt idx="0">
                  <c:v>Liquiditätssaldo für das Jahr 2017 in EUR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'6 Liquiditaet|Liquidity'!$D$201:$O$201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'6 Liquiditaet|Liquidity'!$D$202:$O$202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100"/>
        <c:axId val="575886136"/>
        <c:axId val="575881432"/>
      </c:barChart>
      <c:catAx>
        <c:axId val="575886136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81432"/>
        <c:crosses val="autoZero"/>
        <c:auto val="1"/>
        <c:lblAlgn val="ctr"/>
        <c:lblOffset val="100"/>
        <c:noMultiLvlLbl val="0"/>
      </c:catAx>
      <c:valAx>
        <c:axId val="575881432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86136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6670654728614681E-2"/>
          <c:y val="0.18601563737803445"/>
          <c:w val="0.95332934527138535"/>
          <c:h val="0.6405391415844411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2017</c:v>
                </c:pt>
                <c:pt idx="2">
                  <c:v>2018</c:v>
                </c:pt>
                <c:pt idx="4">
                  <c:v>2019</c:v>
                </c:pt>
                <c:pt idx="6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0</c:v>
                </c:pt>
                <c:pt idx="2" formatCode="#,##0_ ;\-#,##0\ ">
                  <c:v>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75890056"/>
        <c:axId val="575890840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75882608"/>
        <c:axId val="575889272"/>
      </c:barChart>
      <c:catAx>
        <c:axId val="575890056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90840"/>
        <c:crosses val="autoZero"/>
        <c:auto val="1"/>
        <c:lblAlgn val="ctr"/>
        <c:lblOffset val="100"/>
        <c:tickMarkSkip val="2"/>
        <c:noMultiLvlLbl val="0"/>
      </c:catAx>
      <c:valAx>
        <c:axId val="57589084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65000"/>
                </a:schemeClr>
              </a:solidFill>
            </a:ln>
          </c:spPr>
        </c:majorGridlines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75890056"/>
        <c:crosses val="autoZero"/>
        <c:crossBetween val="between"/>
      </c:valAx>
      <c:valAx>
        <c:axId val="57588927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575882608"/>
        <c:crosses val="max"/>
        <c:crossBetween val="between"/>
      </c:valAx>
      <c:catAx>
        <c:axId val="575882608"/>
        <c:scaling>
          <c:orientation val="minMax"/>
        </c:scaling>
        <c:delete val="1"/>
        <c:axPos val="b"/>
        <c:majorTickMark val="out"/>
        <c:minorTickMark val="none"/>
        <c:tickLblPos val="none"/>
        <c:crossAx val="575889272"/>
        <c:crosses val="autoZero"/>
        <c:auto val="1"/>
        <c:lblAlgn val="ctr"/>
        <c:lblOffset val="100"/>
        <c:noMultiLvlLbl val="0"/>
      </c:catAx>
      <c:spPr>
        <a:ln>
          <a:noFill/>
        </a:ln>
      </c:spPr>
    </c:plotArea>
    <c:legend>
      <c:legendPos val="t"/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1684355806668616E-2"/>
          <c:y val="0.15762325259232368"/>
          <c:w val="0.97021715543973808"/>
          <c:h val="0.6664618001412597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'7 Finanzierung|Financing'!$D$112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1.2017</c:v>
                </c:pt>
                <c:pt idx="1">
                  <c:v>2.2017</c:v>
                </c:pt>
                <c:pt idx="2">
                  <c:v>3.2017</c:v>
                </c:pt>
                <c:pt idx="3">
                  <c:v>4.2017</c:v>
                </c:pt>
                <c:pt idx="4">
                  <c:v>5.2017</c:v>
                </c:pt>
                <c:pt idx="5">
                  <c:v>6.2017</c:v>
                </c:pt>
                <c:pt idx="6">
                  <c:v>7.2017</c:v>
                </c:pt>
                <c:pt idx="7">
                  <c:v>8.2017</c:v>
                </c:pt>
                <c:pt idx="8">
                  <c:v>9.2017</c:v>
                </c:pt>
                <c:pt idx="9">
                  <c:v>10.2017</c:v>
                </c:pt>
                <c:pt idx="10">
                  <c:v>11.2017</c:v>
                </c:pt>
                <c:pt idx="11">
                  <c:v>12.2017</c:v>
                </c:pt>
                <c:pt idx="12">
                  <c:v>1.2018</c:v>
                </c:pt>
                <c:pt idx="13">
                  <c:v>2.2018</c:v>
                </c:pt>
                <c:pt idx="14">
                  <c:v>3.2018</c:v>
                </c:pt>
                <c:pt idx="15">
                  <c:v>4.2018</c:v>
                </c:pt>
                <c:pt idx="16">
                  <c:v>5.2018</c:v>
                </c:pt>
                <c:pt idx="17">
                  <c:v>6.2018</c:v>
                </c:pt>
                <c:pt idx="18">
                  <c:v>7.2018</c:v>
                </c:pt>
                <c:pt idx="19">
                  <c:v>8.2018</c:v>
                </c:pt>
                <c:pt idx="20">
                  <c:v>9.2018</c:v>
                </c:pt>
                <c:pt idx="21">
                  <c:v>10.2018</c:v>
                </c:pt>
                <c:pt idx="22">
                  <c:v>11.2018</c:v>
                </c:pt>
                <c:pt idx="23">
                  <c:v>12.2018</c:v>
                </c:pt>
              </c:strCache>
            </c:strRef>
          </c:cat>
          <c:val>
            <c:numRef>
              <c:f>'7 Finanzierung|Financing'!$C$103:$Z$103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ser>
          <c:idx val="1"/>
          <c:order val="1"/>
          <c:tx>
            <c:strRef>
              <c:f>'7 Finanzierung|Financing'!$D$113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'7 Finanzierung|Financing'!$C$102:$Z$102</c:f>
              <c:strCache>
                <c:ptCount val="24"/>
                <c:pt idx="0">
                  <c:v>1.2017</c:v>
                </c:pt>
                <c:pt idx="1">
                  <c:v>2.2017</c:v>
                </c:pt>
                <c:pt idx="2">
                  <c:v>3.2017</c:v>
                </c:pt>
                <c:pt idx="3">
                  <c:v>4.2017</c:v>
                </c:pt>
                <c:pt idx="4">
                  <c:v>5.2017</c:v>
                </c:pt>
                <c:pt idx="5">
                  <c:v>6.2017</c:v>
                </c:pt>
                <c:pt idx="6">
                  <c:v>7.2017</c:v>
                </c:pt>
                <c:pt idx="7">
                  <c:v>8.2017</c:v>
                </c:pt>
                <c:pt idx="8">
                  <c:v>9.2017</c:v>
                </c:pt>
                <c:pt idx="9">
                  <c:v>10.2017</c:v>
                </c:pt>
                <c:pt idx="10">
                  <c:v>11.2017</c:v>
                </c:pt>
                <c:pt idx="11">
                  <c:v>12.2017</c:v>
                </c:pt>
                <c:pt idx="12">
                  <c:v>1.2018</c:v>
                </c:pt>
                <c:pt idx="13">
                  <c:v>2.2018</c:v>
                </c:pt>
                <c:pt idx="14">
                  <c:v>3.2018</c:v>
                </c:pt>
                <c:pt idx="15">
                  <c:v>4.2018</c:v>
                </c:pt>
                <c:pt idx="16">
                  <c:v>5.2018</c:v>
                </c:pt>
                <c:pt idx="17">
                  <c:v>6.2018</c:v>
                </c:pt>
                <c:pt idx="18">
                  <c:v>7.2018</c:v>
                </c:pt>
                <c:pt idx="19">
                  <c:v>8.2018</c:v>
                </c:pt>
                <c:pt idx="20">
                  <c:v>9.2018</c:v>
                </c:pt>
                <c:pt idx="21">
                  <c:v>10.2018</c:v>
                </c:pt>
                <c:pt idx="22">
                  <c:v>11.2018</c:v>
                </c:pt>
                <c:pt idx="23">
                  <c:v>12.2018</c:v>
                </c:pt>
              </c:strCache>
            </c:strRef>
          </c:cat>
          <c:val>
            <c:numRef>
              <c:f>'7 Finanzierung|Financing'!$C$104:$Z$104</c:f>
              <c:numCache>
                <c:formatCode>0</c:formatCode>
                <c:ptCount val="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75891232"/>
        <c:axId val="575888096"/>
      </c:barChart>
      <c:catAx>
        <c:axId val="57589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19050"/>
        </c:spPr>
        <c:txPr>
          <a:bodyPr/>
          <a:lstStyle/>
          <a:p>
            <a:pPr>
              <a:defRPr sz="1400"/>
            </a:pPr>
            <a:endParaRPr lang="de-DE"/>
          </a:p>
        </c:txPr>
        <c:crossAx val="575888096"/>
        <c:crosses val="autoZero"/>
        <c:auto val="1"/>
        <c:lblAlgn val="ctr"/>
        <c:lblOffset val="100"/>
        <c:noMultiLvlLbl val="0"/>
      </c:catAx>
      <c:valAx>
        <c:axId val="5758880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91232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0.41475579993396738"/>
          <c:y val="1.4932509204065933E-2"/>
          <c:w val="0.25462039166570882"/>
          <c:h val="0.14464730782925297"/>
        </c:manualLayout>
      </c:layout>
      <c:overlay val="0"/>
      <c:txPr>
        <a:bodyPr/>
        <a:lstStyle/>
        <a:p>
          <a:pPr>
            <a:defRPr sz="16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98154929059073E-2"/>
          <c:y val="0.16013221157029475"/>
          <c:w val="0.90456085063460379"/>
          <c:h val="0.7236273449349295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Umsatz|Sales'!$C$40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'2 Umsatz|Sales'!$E$47:$I$47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Umsatz|Sales'!$C$48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'2 Umsatz|Sales'!$E$55:$I$55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Umsatz|Sales'!$C$56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'2 Umsatz|Sales'!$E$60:$I$60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Umsatz|Sales'!$C$61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'2 Umsatz|Sales'!$E$65:$I$65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5891624"/>
        <c:axId val="575890448"/>
      </c:barChart>
      <c:catAx>
        <c:axId val="57589162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600" baseline="0"/>
            </a:pPr>
            <a:endParaRPr lang="de-DE"/>
          </a:p>
        </c:txPr>
        <c:crossAx val="575890448"/>
        <c:crosses val="autoZero"/>
        <c:auto val="1"/>
        <c:lblAlgn val="ctr"/>
        <c:lblOffset val="100"/>
        <c:noMultiLvlLbl val="0"/>
      </c:catAx>
      <c:valAx>
        <c:axId val="575890448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75891624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4.7479030045438797E-2"/>
          <c:y val="3.0135616496914017E-2"/>
          <c:w val="0.9"/>
          <c:h val="0.10169045803777868"/>
        </c:manualLayout>
      </c:layout>
      <c:overlay val="0"/>
      <c:txPr>
        <a:bodyPr/>
        <a:lstStyle/>
        <a:p>
          <a:pPr>
            <a:defRPr sz="1000" baseline="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170183639418922E-2"/>
          <c:y val="0.1234669739156088"/>
          <c:w val="0.88948818315850731"/>
          <c:h val="0.777197450248449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'7 Finanzierung|Financing'!$D$106</c:f>
              <c:strCache>
                <c:ptCount val="1"/>
                <c:pt idx="0">
                  <c:v>aufgenommenes Kapital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'7 Finanzierung|Financing'!$E$105:$N$105</c:f>
              <c:numCache>
                <c:formatCode>0</c:formatCode>
                <c:ptCount val="10"/>
                <c:pt idx="0">
                  <c:v>2017</c:v>
                </c:pt>
                <c:pt idx="2">
                  <c:v>2018</c:v>
                </c:pt>
                <c:pt idx="4">
                  <c:v>2019</c:v>
                </c:pt>
                <c:pt idx="6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'7 Finanzierung|Financing'!$E$106:$N$106</c:f>
              <c:numCache>
                <c:formatCode>0</c:formatCode>
                <c:ptCount val="10"/>
                <c:pt idx="0" formatCode="#,##0_ ;\-#,##0\ ">
                  <c:v>0</c:v>
                </c:pt>
                <c:pt idx="2" formatCode="#,##0_ ;\-#,##0\ ">
                  <c:v>0</c:v>
                </c:pt>
                <c:pt idx="4" formatCode="#,##0_ ;\-#,##0\ ">
                  <c:v>0</c:v>
                </c:pt>
                <c:pt idx="6" formatCode="#,##0_ ;\-#,##0\ ">
                  <c:v>0</c:v>
                </c:pt>
                <c:pt idx="8" formatCode="#,##0_ ;\-#,##0\ 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75883784"/>
        <c:axId val="575884176"/>
      </c:barChart>
      <c:barChart>
        <c:barDir val="col"/>
        <c:grouping val="stacked"/>
        <c:varyColors val="0"/>
        <c:ser>
          <c:idx val="0"/>
          <c:order val="1"/>
          <c:tx>
            <c:strRef>
              <c:f>'7 Finanzierung|Financing'!$D$107</c:f>
              <c:strCache>
                <c:ptCount val="1"/>
                <c:pt idx="0">
                  <c:v>Zins</c:v>
                </c:pt>
              </c:strCache>
            </c:strRef>
          </c:tx>
          <c:spPr>
            <a:solidFill>
              <a:schemeClr val="accent2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'7 Finanzierung|Financing'!$E$107:$N$107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2"/>
          <c:order val="2"/>
          <c:tx>
            <c:strRef>
              <c:f>'7 Finanzierung|Financing'!$D$108</c:f>
              <c:strCache>
                <c:ptCount val="1"/>
                <c:pt idx="0">
                  <c:v>Tilgung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'7 Finanzierung|Financing'!$E$108:$N$108</c:f>
              <c:numCache>
                <c:formatCode>#,##0_ ;\-#,##0\ 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575885744"/>
        <c:axId val="575885352"/>
      </c:barChart>
      <c:catAx>
        <c:axId val="575883784"/>
        <c:scaling>
          <c:orientation val="minMax"/>
        </c:scaling>
        <c:delete val="0"/>
        <c:axPos val="b"/>
        <c:numFmt formatCode="0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84176"/>
        <c:crosses val="autoZero"/>
        <c:auto val="1"/>
        <c:lblAlgn val="ctr"/>
        <c:lblOffset val="100"/>
        <c:tickMarkSkip val="2"/>
        <c:noMultiLvlLbl val="0"/>
      </c:catAx>
      <c:valAx>
        <c:axId val="575884176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75883784"/>
        <c:crosses val="autoZero"/>
        <c:crossBetween val="between"/>
      </c:valAx>
      <c:valAx>
        <c:axId val="575885352"/>
        <c:scaling>
          <c:orientation val="minMax"/>
        </c:scaling>
        <c:delete val="1"/>
        <c:axPos val="r"/>
        <c:numFmt formatCode="0" sourceLinked="1"/>
        <c:majorTickMark val="out"/>
        <c:minorTickMark val="none"/>
        <c:tickLblPos val="none"/>
        <c:crossAx val="575885744"/>
        <c:crosses val="max"/>
        <c:crossBetween val="between"/>
      </c:valAx>
      <c:catAx>
        <c:axId val="575885744"/>
        <c:scaling>
          <c:orientation val="minMax"/>
        </c:scaling>
        <c:delete val="1"/>
        <c:axPos val="b"/>
        <c:majorTickMark val="out"/>
        <c:minorTickMark val="none"/>
        <c:tickLblPos val="none"/>
        <c:crossAx val="575885352"/>
        <c:crosses val="autoZero"/>
        <c:auto val="1"/>
        <c:lblAlgn val="ctr"/>
        <c:lblOffset val="100"/>
        <c:noMultiLvlLbl val="0"/>
      </c:catAx>
      <c:spPr>
        <a:noFill/>
      </c:spPr>
    </c:plotArea>
    <c:legend>
      <c:legendPos val="t"/>
      <c:layout>
        <c:manualLayout>
          <c:xMode val="edge"/>
          <c:yMode val="edge"/>
          <c:x val="0.17540499453405994"/>
          <c:y val="2.3009812370147396E-2"/>
          <c:w val="0.64891683357453556"/>
          <c:h val="6.0513927417682051E-2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069262820831905E-2"/>
          <c:y val="0.13665686818496378"/>
          <c:w val="0.90456329120217949"/>
          <c:h val="0.764007516671966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Liquiditaet|Liquidity'!$B$40</c:f>
              <c:strCache>
                <c:ptCount val="1"/>
                <c:pt idx="0">
                  <c:v>Liquiditätssaldo für die Jahre 2017 - 2021 (EUR)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 Liquiditaet|Liquidity'!$D$207:$H$207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'6 Liquiditaet|Liquidity'!$B$40</c:f>
              <c:strCache>
                <c:ptCount val="1"/>
                <c:pt idx="0">
                  <c:v>Liquiditätssaldo für die Jahre 2017 - 2021 (EUR)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 Liquiditaet|Liquidity'!$D$206:$H$206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5886920"/>
        <c:axId val="575888488"/>
      </c:barChart>
      <c:catAx>
        <c:axId val="575886920"/>
        <c:scaling>
          <c:orientation val="minMax"/>
        </c:scaling>
        <c:delete val="0"/>
        <c:axPos val="b"/>
        <c:numFmt formatCode="0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 b="0"/>
            </a:pPr>
            <a:endParaRPr lang="de-DE"/>
          </a:p>
        </c:txPr>
        <c:crossAx val="575888488"/>
        <c:crosses val="autoZero"/>
        <c:auto val="1"/>
        <c:lblAlgn val="ctr"/>
        <c:lblOffset val="100"/>
        <c:noMultiLvlLbl val="0"/>
      </c:catAx>
      <c:valAx>
        <c:axId val="575888488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1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75886920"/>
        <c:crosses val="autoZero"/>
        <c:crossBetween val="between"/>
      </c:valAx>
      <c:spPr>
        <a:noFill/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7593978399180313E-2"/>
          <c:y val="0.15867170132589578"/>
          <c:w val="0.90456519487047637"/>
          <c:h val="0.73204614062179763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Ex'!$J$78</c:f>
              <c:strCache>
                <c:ptCount val="1"/>
                <c:pt idx="0">
                  <c:v>Operation Expense II  for Years 2017 - 2021 (w/o VAT)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 Betriebskosten|Operation Ex'!$D$81:$H$81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 Betriebskosten|Operation Ex'!$D$145:$H$145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5893976"/>
        <c:axId val="575897112"/>
      </c:barChart>
      <c:catAx>
        <c:axId val="5758939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97112"/>
        <c:crosses val="autoZero"/>
        <c:auto val="1"/>
        <c:lblAlgn val="ctr"/>
        <c:lblOffset val="100"/>
        <c:noMultiLvlLbl val="0"/>
      </c:catAx>
      <c:valAx>
        <c:axId val="575897112"/>
        <c:scaling>
          <c:orientation val="minMax"/>
          <c:min val="0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/>
            </a:pPr>
            <a:endParaRPr lang="de-DE"/>
          </a:p>
        </c:txPr>
        <c:crossAx val="57589397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608651685482441"/>
          <c:y val="0.13796689728233702"/>
          <c:w val="0.91719269284698535"/>
          <c:h val="0.775992235171962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Rentabilitaet|Profit'!$C$43</c:f>
              <c:strCache>
                <c:ptCount val="1"/>
                <c:pt idx="0">
                  <c:v>Jahreswerte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/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 Rentabilitaet|Profit'!$D$33:$H$33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Rentabilitaet|Profit'!$D$42:$H$42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'5 Rentabilitaet|Profit'!$C$41</c:f>
              <c:strCache>
                <c:ptCount val="1"/>
              </c:strCache>
            </c:strRef>
          </c:tx>
          <c:spPr>
            <a:solidFill>
              <a:srgbClr val="FF7C8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 Rentabilitaet|Profit'!$D$41:$H$41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5896720"/>
        <c:axId val="575892800"/>
      </c:barChart>
      <c:lineChart>
        <c:grouping val="stacked"/>
        <c:varyColors val="0"/>
        <c:ser>
          <c:idx val="2"/>
          <c:order val="2"/>
          <c:tx>
            <c:strRef>
              <c:f>'5 Rentabilitaet|Profit'!$C$42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5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 Rentabilitaet|Profit'!$D$40:$H$40</c:f>
              <c:numCache>
                <c:formatCode>#,##0_ ;[Red]\-#,##0\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896720"/>
        <c:axId val="575892800"/>
      </c:lineChart>
      <c:catAx>
        <c:axId val="57589672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92800"/>
        <c:crosses val="autoZero"/>
        <c:auto val="1"/>
        <c:lblAlgn val="ctr"/>
        <c:lblOffset val="100"/>
        <c:noMultiLvlLbl val="0"/>
      </c:catAx>
      <c:valAx>
        <c:axId val="575892800"/>
        <c:scaling>
          <c:orientation val="minMax"/>
        </c:scaling>
        <c:delete val="0"/>
        <c:axPos val="l"/>
        <c:majorGridlines>
          <c:spPr>
            <a:ln>
              <a:prstDash val="sysDot"/>
            </a:ln>
          </c:spPr>
        </c:majorGridlines>
        <c:numFmt formatCode="#,##0" sourceLinked="0"/>
        <c:majorTickMark val="none"/>
        <c:minorTickMark val="none"/>
        <c:tickLblPos val="nextTo"/>
        <c:spPr>
          <a:ln w="9525">
            <a:noFill/>
          </a:ln>
        </c:spPr>
        <c:txPr>
          <a:bodyPr/>
          <a:lstStyle/>
          <a:p>
            <a:pPr>
              <a:defRPr sz="1200">
                <a:solidFill>
                  <a:sysClr val="windowText" lastClr="000000"/>
                </a:solidFill>
              </a:defRPr>
            </a:pPr>
            <a:endParaRPr lang="de-DE"/>
          </a:p>
        </c:txPr>
        <c:crossAx val="575896720"/>
        <c:crosses val="autoZero"/>
        <c:crossBetween val="between"/>
      </c:valAx>
      <c:spPr>
        <a:noFill/>
      </c:spPr>
    </c:plotArea>
    <c:legend>
      <c:legendPos val="t"/>
      <c:layout>
        <c:manualLayout>
          <c:xMode val="edge"/>
          <c:yMode val="edge"/>
          <c:x val="7.9201879275816831E-2"/>
          <c:y val="2.8507938601587617E-2"/>
          <c:w val="0.80235119820105139"/>
          <c:h val="5.1586516468136313E-2"/>
        </c:manualLayout>
      </c:layout>
      <c:overlay val="0"/>
      <c:txPr>
        <a:bodyPr/>
        <a:lstStyle/>
        <a:p>
          <a:pPr>
            <a:defRPr sz="11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432E-2"/>
          <c:y val="0.24748379099439763"/>
          <c:w val="0.93332523067120965"/>
          <c:h val="0.60801965617387088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2017</c:v>
                </c:pt>
                <c:pt idx="2">
                  <c:v>2018</c:v>
                </c:pt>
                <c:pt idx="4">
                  <c:v>2019</c:v>
                </c:pt>
                <c:pt idx="6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0</c:v>
                </c:pt>
                <c:pt idx="2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2017</c:v>
                </c:pt>
                <c:pt idx="2">
                  <c:v>2018</c:v>
                </c:pt>
                <c:pt idx="4">
                  <c:v>2019</c:v>
                </c:pt>
                <c:pt idx="6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2017</c:v>
                </c:pt>
                <c:pt idx="2">
                  <c:v>2018</c:v>
                </c:pt>
                <c:pt idx="4">
                  <c:v>2019</c:v>
                </c:pt>
                <c:pt idx="6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75892016"/>
        <c:axId val="575893192"/>
      </c:barChart>
      <c:valAx>
        <c:axId val="57589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2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5892016"/>
        <c:crosses val="autoZero"/>
        <c:crossBetween val="between"/>
      </c:valAx>
      <c:catAx>
        <c:axId val="57589201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25400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5893192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2163205145004025"/>
          <c:y val="0.11589826505048972"/>
          <c:w val="0.7939649164874526"/>
          <c:h val="9.1595503411651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1874168504117"/>
          <c:y val="0.16551849552858341"/>
          <c:w val="0.8607507911504636"/>
          <c:h val="0.74120414412127611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Umsatz|Sales'!$C$40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'2 Umsatz|Sales'!$E$47:$I$47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Umsatz|Sales'!$C$48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'2 Umsatz|Sales'!$E$55:$I$55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Umsatz|Sales'!$C$56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'2 Umsatz|Sales'!$E$60:$I$60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Umsatz|Sales'!$C$61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'2 Umsatz|Sales'!$E$39:$I$39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'2 Umsatz|Sales'!$E$65:$I$65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5875160"/>
        <c:axId val="575872416"/>
      </c:barChart>
      <c:catAx>
        <c:axId val="575875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 baseline="0"/>
            </a:pPr>
            <a:endParaRPr lang="de-DE"/>
          </a:p>
        </c:txPr>
        <c:crossAx val="575872416"/>
        <c:crosses val="autoZero"/>
        <c:auto val="1"/>
        <c:lblAlgn val="ctr"/>
        <c:lblOffset val="100"/>
        <c:noMultiLvlLbl val="0"/>
      </c:catAx>
      <c:valAx>
        <c:axId val="57587241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1.8335649615001962E-2"/>
              <c:y val="4.4041865048638294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75160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legend>
      <c:legendPos val="t"/>
      <c:layout>
        <c:manualLayout>
          <c:xMode val="edge"/>
          <c:yMode val="edge"/>
          <c:x val="7.6862881991570514E-2"/>
          <c:y val="1.2822864412512722E-2"/>
          <c:w val="0.82118672299520057"/>
          <c:h val="9.4756592752895774E-2"/>
        </c:manualLayout>
      </c:layout>
      <c:overlay val="0"/>
      <c:txPr>
        <a:bodyPr/>
        <a:lstStyle/>
        <a:p>
          <a:pPr>
            <a:defRPr sz="1400" baseline="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4045648246204521E-3"/>
          <c:y val="0.12233937464925992"/>
          <c:w val="0.98454978692917505"/>
          <c:h val="0.71099456471456168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'2 Umsatz|Sales'!$C$6</c:f>
              <c:strCache>
                <c:ptCount val="1"/>
                <c:pt idx="0">
                  <c:v>Umsatz Produktgruppe 1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Umsatz|Sales'!$E$13:$P$13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2"/>
          <c:order val="1"/>
          <c:tx>
            <c:strRef>
              <c:f>'2 Umsatz|Sales'!$C$14</c:f>
              <c:strCache>
                <c:ptCount val="1"/>
                <c:pt idx="0">
                  <c:v>Umsatz Produktgruppe 2</c:v>
                </c:pt>
              </c:strCache>
            </c:strRef>
          </c:tx>
          <c:spPr>
            <a:solidFill>
              <a:schemeClr val="tx2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Umsatz|Sales'!$E$21:$P$21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3"/>
          <c:order val="2"/>
          <c:tx>
            <c:strRef>
              <c:f>'2 Umsatz|Sales'!$C$22</c:f>
              <c:strCache>
                <c:ptCount val="1"/>
                <c:pt idx="0">
                  <c:v>Honorareinnahmen</c:v>
                </c:pt>
              </c:strCache>
            </c:strRef>
          </c:tx>
          <c:spPr>
            <a:solidFill>
              <a:schemeClr val="accent1">
                <a:lumMod val="40000"/>
                <a:lumOff val="6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Umsatz|Sales'!$E$26:$P$26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4"/>
          <c:order val="3"/>
          <c:tx>
            <c:strRef>
              <c:f>'2 Umsatz|Sales'!$C$27</c:f>
              <c:strCache>
                <c:ptCount val="1"/>
                <c:pt idx="0">
                  <c:v>Sonstige Einnahmen</c:v>
                </c:pt>
              </c:strCache>
            </c:strRef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'2 Umsatz|Sales'!$E$5:$P$5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'2 Umsatz|Sales'!$E$31:$P$31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75867712"/>
        <c:axId val="575874768"/>
      </c:barChart>
      <c:catAx>
        <c:axId val="575867712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74768"/>
        <c:crosses val="autoZero"/>
        <c:auto val="1"/>
        <c:lblAlgn val="ctr"/>
        <c:lblOffset val="100"/>
        <c:noMultiLvlLbl val="0"/>
      </c:catAx>
      <c:valAx>
        <c:axId val="57587476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75867712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legend>
      <c:legendPos val="t"/>
      <c:layout>
        <c:manualLayout>
          <c:xMode val="edge"/>
          <c:yMode val="edge"/>
          <c:x val="0.21023634427772309"/>
          <c:y val="1.9193653424900861E-3"/>
          <c:w val="0.53481139265754363"/>
          <c:h val="9.6300570359812765E-2"/>
        </c:manualLayout>
      </c:layout>
      <c:overlay val="0"/>
      <c:txPr>
        <a:bodyPr/>
        <a:lstStyle/>
        <a:p>
          <a:pPr>
            <a:defRPr sz="14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80936398893432E-2"/>
          <c:y val="0.18887332880155397"/>
          <c:w val="0.93332523067120965"/>
          <c:h val="0.66662998482629565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'3 Anschaffungen|Investment'!$C$202</c:f>
              <c:strCache>
                <c:ptCount val="1"/>
                <c:pt idx="0">
                  <c:v> Investitionen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2017</c:v>
                </c:pt>
                <c:pt idx="2">
                  <c:v>2018</c:v>
                </c:pt>
                <c:pt idx="4">
                  <c:v>2019</c:v>
                </c:pt>
                <c:pt idx="6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'3 Anschaffungen|Investment'!$D$202:$M$202</c:f>
              <c:numCache>
                <c:formatCode>General</c:formatCode>
                <c:ptCount val="10"/>
                <c:pt idx="0" formatCode="_(* #,##0_);_(* \(#,##0\);_(* &quot;-&quot;??_);_(@_)">
                  <c:v>0</c:v>
                </c:pt>
                <c:pt idx="2" formatCode="_(* #,##0_);_(* \(#,##0\);_(* &quot;-&quot;??_);_(@_)">
                  <c:v>0</c:v>
                </c:pt>
                <c:pt idx="4" formatCode="_(* #,##0_);_(* \(#,##0\);_(* &quot;-&quot;??_);_(@_)">
                  <c:v>0</c:v>
                </c:pt>
                <c:pt idx="6" formatCode="_(* #,##0_);_(* \(#,##0\);_(* &quot;-&quot;??_);_(@_)">
                  <c:v>0</c:v>
                </c:pt>
                <c:pt idx="8" formatCode="_(* #,##0_);_(* \(#,##0\);_(* &quot;-&quot;??_);_(@_)">
                  <c:v>0</c:v>
                </c:pt>
              </c:numCache>
            </c:numRef>
          </c:val>
        </c:ser>
        <c:ser>
          <c:idx val="3"/>
          <c:order val="1"/>
          <c:tx>
            <c:strRef>
              <c:f>'3 Anschaffungen|Investment'!$C$203</c:f>
              <c:strCache>
                <c:ptCount val="1"/>
                <c:pt idx="0">
                  <c:v> Abschreibungen 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2017</c:v>
                </c:pt>
                <c:pt idx="2">
                  <c:v>2018</c:v>
                </c:pt>
                <c:pt idx="4">
                  <c:v>2019</c:v>
                </c:pt>
                <c:pt idx="6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'3 Anschaffungen|Investment'!$D$203:$M$203</c:f>
              <c:numCache>
                <c:formatCode>_(* #,##0_);_(* \(#,##0\);_(* "-"??_);_(@_)</c:formatCode>
                <c:ptCount val="10"/>
                <c:pt idx="1">
                  <c:v>0</c:v>
                </c:pt>
                <c:pt idx="3">
                  <c:v>0</c:v>
                </c:pt>
                <c:pt idx="5">
                  <c:v>0</c:v>
                </c:pt>
                <c:pt idx="7">
                  <c:v>0</c:v>
                </c:pt>
                <c:pt idx="9">
                  <c:v>0</c:v>
                </c:pt>
              </c:numCache>
            </c:numRef>
          </c:val>
        </c:ser>
        <c:ser>
          <c:idx val="1"/>
          <c:order val="2"/>
          <c:tx>
            <c:strRef>
              <c:f>'3 Anschaffungen|Investment'!$C$201</c:f>
              <c:strCache>
                <c:ptCount val="1"/>
                <c:pt idx="0">
                  <c:v> Lageraufbau 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de-DE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'3 Anschaffungen|Investment'!$D$200:$M$200</c:f>
              <c:numCache>
                <c:formatCode>_(* #,##0_);_(* \(#,##0\);_(* "-"??_);_(@_)</c:formatCode>
                <c:ptCount val="10"/>
                <c:pt idx="0">
                  <c:v>2017</c:v>
                </c:pt>
                <c:pt idx="2">
                  <c:v>2018</c:v>
                </c:pt>
                <c:pt idx="4">
                  <c:v>2019</c:v>
                </c:pt>
                <c:pt idx="6">
                  <c:v>2020</c:v>
                </c:pt>
                <c:pt idx="8">
                  <c:v>2021</c:v>
                </c:pt>
              </c:numCache>
            </c:numRef>
          </c:cat>
          <c:val>
            <c:numRef>
              <c:f>'3 Anschaffungen|Investment'!$D$201:$M$201</c:f>
              <c:numCache>
                <c:formatCode>_(* #,##0_);_(* \(#,##0\);_(* "-"??_);_(@_)</c:formatCode>
                <c:ptCount val="10"/>
                <c:pt idx="0">
                  <c:v>0</c:v>
                </c:pt>
                <c:pt idx="2">
                  <c:v>0</c:v>
                </c:pt>
                <c:pt idx="4">
                  <c:v>0</c:v>
                </c:pt>
                <c:pt idx="6">
                  <c:v>0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575877120"/>
        <c:axId val="575876336"/>
      </c:barChart>
      <c:valAx>
        <c:axId val="575876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5877120"/>
        <c:crosses val="autoZero"/>
        <c:crossBetween val="between"/>
      </c:valAx>
      <c:catAx>
        <c:axId val="575877120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15875" cap="flat" cmpd="sng" algn="ctr">
            <a:solidFill>
              <a:schemeClr val="bg1">
                <a:lumMod val="5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6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75876336"/>
        <c:crossesAt val="0"/>
        <c:auto val="1"/>
        <c:lblAlgn val="ctr"/>
        <c:lblOffset val="100"/>
        <c:tickMarkSkip val="2"/>
        <c:noMultiLvlLbl val="0"/>
      </c:cat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0005188939127455"/>
          <c:y val="0.1079052812539045"/>
          <c:w val="0.79693407984554998"/>
          <c:h val="9.159550341165120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1"/>
      <c:txPr>
        <a:bodyPr/>
        <a:lstStyle/>
        <a:p>
          <a:pPr>
            <a:defRPr sz="20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2.0304370802867091E-2"/>
          <c:y val="9.4595755608773868E-2"/>
          <c:w val="0.95939125839426664"/>
          <c:h val="0.796700736913252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Ex'!$J$76</c:f>
              <c:strCache>
                <c:ptCount val="1"/>
                <c:pt idx="0">
                  <c:v>Betriebskosten II für die Jahre 2017 - 2021 (ohne MwSt)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>
                    <a:solidFill>
                      <a:sysClr val="windowText" lastClr="000000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'4 Betriebskosten|Operation Ex'!$D$81:$H$81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'4 Betriebskosten|Operation Ex'!$D$145:$H$145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"/>
        <c:overlap val="100"/>
        <c:axId val="575870064"/>
        <c:axId val="575870848"/>
      </c:barChart>
      <c:catAx>
        <c:axId val="575870064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800"/>
            </a:pPr>
            <a:endParaRPr lang="de-DE"/>
          </a:p>
        </c:txPr>
        <c:crossAx val="575870848"/>
        <c:crosses val="autoZero"/>
        <c:auto val="1"/>
        <c:lblAlgn val="ctr"/>
        <c:lblOffset val="100"/>
        <c:noMultiLvlLbl val="0"/>
      </c:catAx>
      <c:valAx>
        <c:axId val="575870848"/>
        <c:scaling>
          <c:orientation val="minMax"/>
          <c:min val="0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70064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1520940103191902"/>
          <c:y val="2.4258966003685545E-2"/>
        </c:manualLayout>
      </c:layout>
      <c:overlay val="1"/>
      <c:txPr>
        <a:bodyPr/>
        <a:lstStyle/>
        <a:p>
          <a:pPr>
            <a:defRPr sz="2000"/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5.5366280836398767E-2"/>
          <c:y val="0.12563417104499042"/>
          <c:w val="0.94463371916360195"/>
          <c:h val="0.78137060395718161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'4 Betriebskosten|Operation Ex'!$G$76</c:f>
              <c:strCache>
                <c:ptCount val="1"/>
                <c:pt idx="0">
                  <c:v>Betriebskosten II für das Jahr 2017 (ohne MwSt)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'4 Betriebskosten|Operation Ex'!$D$5:$O$5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'4 Betriebskosten|Operation Ex'!$D$69:$O$69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5"/>
        <c:overlap val="100"/>
        <c:axId val="575878688"/>
        <c:axId val="575868888"/>
      </c:barChart>
      <c:catAx>
        <c:axId val="575878688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68888"/>
        <c:crosses val="autoZero"/>
        <c:auto val="1"/>
        <c:lblAlgn val="ctr"/>
        <c:lblOffset val="100"/>
        <c:noMultiLvlLbl val="0"/>
      </c:catAx>
      <c:valAx>
        <c:axId val="575868888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6.8276642439658837E-3"/>
              <c:y val="4.0561254434983873E-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78688"/>
        <c:crosses val="autoZero"/>
        <c:crossBetween val="between"/>
      </c:valAx>
      <c:spPr>
        <a:solidFill>
          <a:schemeClr val="bg1"/>
        </a:solidFill>
        <a:ln>
          <a:solidFill>
            <a:schemeClr val="bg1"/>
          </a:solidFill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6729578980535851E-2"/>
          <c:y val="0.17217000964380327"/>
          <c:w val="0.971087352922124"/>
          <c:h val="0.6375140608775332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'5 Rentabilitaet|Profit'!$C$17</c:f>
              <c:strCache>
                <c:ptCount val="1"/>
                <c:pt idx="0">
                  <c:v> 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'5 Rentabilitaet|Profit'!$D$6:$O$6</c:f>
              <c:strCache>
                <c:ptCount val="12"/>
                <c:pt idx="0">
                  <c:v>Jan.</c:v>
                </c:pt>
                <c:pt idx="1">
                  <c:v>Febr.</c:v>
                </c:pt>
                <c:pt idx="2">
                  <c:v>März</c:v>
                </c:pt>
                <c:pt idx="3">
                  <c:v>April</c:v>
                </c:pt>
                <c:pt idx="4">
                  <c:v>Mai</c:v>
                </c:pt>
                <c:pt idx="5">
                  <c:v>Juni</c:v>
                </c:pt>
                <c:pt idx="6">
                  <c:v>Juli</c:v>
                </c:pt>
                <c:pt idx="7">
                  <c:v>Aug.</c:v>
                </c:pt>
                <c:pt idx="8">
                  <c:v>Sept.</c:v>
                </c:pt>
                <c:pt idx="9">
                  <c:v>Okt.</c:v>
                </c:pt>
                <c:pt idx="10">
                  <c:v>Nov.</c:v>
                </c:pt>
                <c:pt idx="11">
                  <c:v>Dez.</c:v>
                </c:pt>
              </c:strCache>
            </c:strRef>
          </c:cat>
          <c:val>
            <c:numRef>
              <c:f>'5 Rentabilitaet|Profit'!$D$15:$O$15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ser>
          <c:idx val="1"/>
          <c:order val="1"/>
          <c:tx>
            <c:strRef>
              <c:f>'5 Rentabilitaet|Profit'!$C$15</c:f>
              <c:strCache>
                <c:ptCount val="1"/>
                <c:pt idx="0">
                  <c:v>Monatswerte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 Rentabilitaet|Profit'!$D$14:$O$14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5866928"/>
        <c:axId val="575867320"/>
      </c:barChart>
      <c:lineChart>
        <c:grouping val="stacked"/>
        <c:varyColors val="0"/>
        <c:ser>
          <c:idx val="2"/>
          <c:order val="2"/>
          <c:tx>
            <c:strRef>
              <c:f>'5 Rentabilitaet|Profit'!$C$16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 Rentabilitaet|Profit'!$D$13:$O$13</c:f>
              <c:numCache>
                <c:formatCode>#,##0_ ;[Red]\-#,##0\ 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866928"/>
        <c:axId val="575867320"/>
      </c:lineChart>
      <c:catAx>
        <c:axId val="575866928"/>
        <c:scaling>
          <c:orientation val="minMax"/>
        </c:scaling>
        <c:delete val="0"/>
        <c:axPos val="b"/>
        <c:numFmt formatCode="General" sourceLinked="0"/>
        <c:majorTickMark val="cross"/>
        <c:minorTickMark val="none"/>
        <c:tickLblPos val="nextTo"/>
        <c:spPr>
          <a:ln w="25400">
            <a:solidFill>
              <a:schemeClr val="tx1">
                <a:lumMod val="65000"/>
                <a:lumOff val="35000"/>
              </a:schemeClr>
            </a:solidFill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67320"/>
        <c:crosses val="autoZero"/>
        <c:auto val="1"/>
        <c:lblAlgn val="ctr"/>
        <c:lblOffset val="100"/>
        <c:noMultiLvlLbl val="0"/>
      </c:catAx>
      <c:valAx>
        <c:axId val="575867320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85000"/>
                </a:schemeClr>
              </a:solidFill>
            </a:ln>
          </c:spPr>
        </c:majorGridlines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75866928"/>
        <c:crosses val="autoZero"/>
        <c:crossBetween val="between"/>
      </c:valAx>
      <c:spPr>
        <a:solidFill>
          <a:schemeClr val="bg1"/>
        </a:solidFill>
        <a:ln w="25400">
          <a:solidFill>
            <a:schemeClr val="bg1"/>
          </a:solidFill>
        </a:ln>
      </c:spPr>
    </c:plotArea>
    <c:legend>
      <c:legendPos val="t"/>
      <c:overlay val="0"/>
    </c:legend>
    <c:plotVisOnly val="1"/>
    <c:dispBlanksAs val="gap"/>
    <c:showDLblsOverMax val="0"/>
  </c:chart>
  <c:spPr>
    <a:solidFill>
      <a:schemeClr val="bg1"/>
    </a:solidFill>
    <a:ln>
      <a:noFill/>
    </a:ln>
  </c:spPr>
  <c:printSettings>
    <c:headerFooter/>
    <c:pageMargins b="0.78740157499999996" l="0.70000000000000062" r="0.70000000000000062" t="0.78740157499999996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6530199446009195E-2"/>
          <c:y val="0.16485913151355516"/>
          <c:w val="0.90193899320420001"/>
          <c:h val="0.75262760205571599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'5 Rentabilitaet|Profit'!$C$43</c:f>
              <c:strCache>
                <c:ptCount val="1"/>
                <c:pt idx="0">
                  <c:v>Jahreswerte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'5 Rentabilitaet|Profit'!$D$33:$H$33</c:f>
              <c:numCache>
                <c:formatCode>General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'5 Rentabilitaet|Profit'!$D$42:$H$42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0"/>
          <c:order val="1"/>
          <c:tx>
            <c:strRef>
              <c:f>'5 Rentabilitaet|Profit'!$C$41</c:f>
              <c:strCache>
                <c:ptCount val="1"/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 Rentabilitaet|Profit'!$D$41:$H$41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100"/>
        <c:axId val="575870456"/>
        <c:axId val="575884960"/>
      </c:barChart>
      <c:lineChart>
        <c:grouping val="stacked"/>
        <c:varyColors val="0"/>
        <c:ser>
          <c:idx val="2"/>
          <c:order val="2"/>
          <c:tx>
            <c:strRef>
              <c:f>'5 Rentabilitaet|Profit'!$C$42</c:f>
              <c:strCache>
                <c:ptCount val="1"/>
                <c:pt idx="0">
                  <c:v>akkumuliert</c:v>
                </c:pt>
              </c:strCache>
            </c:strRef>
          </c:tx>
          <c:spPr>
            <a:ln w="31750">
              <a:solidFill>
                <a:schemeClr val="accent1"/>
              </a:solidFill>
            </a:ln>
          </c:spPr>
          <c:marker>
            <c:symbol val="square"/>
            <c:size val="5"/>
            <c:spPr>
              <a:solidFill>
                <a:schemeClr val="accent1"/>
              </a:solidFill>
              <a:ln>
                <a:solidFill>
                  <a:schemeClr val="accent1"/>
                </a:solidFill>
              </a:ln>
            </c:spPr>
          </c:marker>
          <c:dLbls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tx2"/>
                    </a:solidFill>
                  </a:defRPr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'5 Rentabilitaet|Profit'!$D$40:$H$40</c:f>
              <c:numCache>
                <c:formatCode>#,##0_ ;[Red]\-#,##0\ 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5870456"/>
        <c:axId val="575884960"/>
      </c:lineChart>
      <c:catAx>
        <c:axId val="57587045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84960"/>
        <c:crosses val="autoZero"/>
        <c:auto val="1"/>
        <c:lblAlgn val="ctr"/>
        <c:lblOffset val="100"/>
        <c:noMultiLvlLbl val="0"/>
      </c:catAx>
      <c:valAx>
        <c:axId val="575884960"/>
        <c:scaling>
          <c:orientation val="minMax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800" b="0"/>
                </a:pPr>
                <a:r>
                  <a:rPr lang="en-US" sz="1800" b="0"/>
                  <a:t>EUR</a:t>
                </a:r>
              </a:p>
            </c:rich>
          </c:tx>
          <c:layout>
            <c:manualLayout>
              <c:xMode val="edge"/>
              <c:yMode val="edge"/>
              <c:x val="1.2536894996100728E-2"/>
              <c:y val="2.0922902929816807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400"/>
            </a:pPr>
            <a:endParaRPr lang="de-DE"/>
          </a:p>
        </c:txPr>
        <c:crossAx val="575870456"/>
        <c:crosses val="autoZero"/>
        <c:crossBetween val="between"/>
      </c:valAx>
    </c:plotArea>
    <c:legend>
      <c:legendPos val="t"/>
      <c:overlay val="0"/>
      <c:txPr>
        <a:bodyPr/>
        <a:lstStyle/>
        <a:p>
          <a:pPr>
            <a:defRPr sz="1200"/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8746841673692386E-2"/>
          <c:y val="5.3885915975582843E-2"/>
          <c:w val="0.93108203151114088"/>
          <c:h val="0.7860460659350184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'6 Liquiditaet|Liquidity'!$C$206</c:f>
              <c:strCache>
                <c:ptCount val="1"/>
                <c:pt idx="0">
                  <c:v>negativ</c:v>
                </c:pt>
              </c:strCache>
            </c:strRef>
          </c:tx>
          <c:spPr>
            <a:solidFill>
              <a:srgbClr val="FF7171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 Liquiditaet|Liquidity'!$D$206:$H$206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ser>
          <c:idx val="1"/>
          <c:order val="1"/>
          <c:tx>
            <c:strRef>
              <c:f>'6 Liquiditaet|Liquidity'!$C$207</c:f>
              <c:strCache>
                <c:ptCount val="1"/>
                <c:pt idx="0">
                  <c:v>positiv</c:v>
                </c:pt>
              </c:strCache>
            </c:strRef>
          </c:tx>
          <c:spPr>
            <a:solidFill>
              <a:schemeClr val="accent3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/>
                </a:pPr>
                <a:endParaRPr lang="de-DE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'6 Liquiditaet|Liquidity'!$D$205:$H$205</c:f>
              <c:numCache>
                <c:formatCode>#,##0</c:formatCode>
                <c:ptCount val="5"/>
                <c:pt idx="0">
                  <c:v>2017</c:v>
                </c:pt>
                <c:pt idx="1">
                  <c:v>2018</c:v>
                </c:pt>
                <c:pt idx="2">
                  <c:v>2019</c:v>
                </c:pt>
                <c:pt idx="3">
                  <c:v>2020</c:v>
                </c:pt>
                <c:pt idx="4">
                  <c:v>2021</c:v>
                </c:pt>
              </c:numCache>
            </c:numRef>
          </c:cat>
          <c:val>
            <c:numRef>
              <c:f>'6 Liquiditaet|Liquidity'!$D$207:$H$207</c:f>
              <c:numCache>
                <c:formatCode>#,##0</c:formatCode>
                <c:ptCount val="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575880648"/>
        <c:axId val="575882216"/>
      </c:barChart>
      <c:catAx>
        <c:axId val="575880648"/>
        <c:scaling>
          <c:orientation val="minMax"/>
        </c:scaling>
        <c:delete val="0"/>
        <c:axPos val="b"/>
        <c:numFmt formatCode="0" sourceLinked="0"/>
        <c:majorTickMark val="cross"/>
        <c:minorTickMark val="none"/>
        <c:tickLblPos val="nextTo"/>
        <c:spPr>
          <a:ln w="25400"/>
        </c:spPr>
        <c:txPr>
          <a:bodyPr/>
          <a:lstStyle/>
          <a:p>
            <a:pPr>
              <a:defRPr sz="1800"/>
            </a:pPr>
            <a:endParaRPr lang="de-DE"/>
          </a:p>
        </c:txPr>
        <c:crossAx val="575882216"/>
        <c:crosses val="autoZero"/>
        <c:auto val="1"/>
        <c:lblAlgn val="ctr"/>
        <c:lblOffset val="100"/>
        <c:noMultiLvlLbl val="0"/>
      </c:catAx>
      <c:valAx>
        <c:axId val="575882216"/>
        <c:scaling>
          <c:orientation val="minMax"/>
        </c:scaling>
        <c:delete val="0"/>
        <c:axPos val="l"/>
        <c:majorGridlines/>
        <c:numFmt formatCode="#,##0" sourceLinked="1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600"/>
            </a:pPr>
            <a:endParaRPr lang="de-DE"/>
          </a:p>
        </c:txPr>
        <c:crossAx val="575880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>
      <a:solidFill>
        <a:schemeClr val="bg1"/>
      </a:solidFill>
    </a:ln>
  </c:spPr>
  <c:txPr>
    <a:bodyPr/>
    <a:lstStyle/>
    <a:p>
      <a:pPr>
        <a:defRPr sz="1200"/>
      </a:pPr>
      <a:endParaRPr lang="de-DE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5" Type="http://schemas.openxmlformats.org/officeDocument/2006/relationships/image" Target="../media/image5.png"/><Relationship Id="rId4" Type="http://schemas.openxmlformats.org/officeDocument/2006/relationships/image" Target="../media/image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3" Type="http://schemas.openxmlformats.org/officeDocument/2006/relationships/chart" Target="../charts/chart15.xml"/><Relationship Id="rId7" Type="http://schemas.openxmlformats.org/officeDocument/2006/relationships/image" Target="../media/image7.jpeg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image" Target="../media/image6.jpeg"/><Relationship Id="rId5" Type="http://schemas.openxmlformats.org/officeDocument/2006/relationships/chart" Target="../charts/chart17.xml"/><Relationship Id="rId4" Type="http://schemas.openxmlformats.org/officeDocument/2006/relationships/chart" Target="../charts/chart16.xml"/><Relationship Id="rId9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7.jpeg"/><Relationship Id="rId1" Type="http://schemas.openxmlformats.org/officeDocument/2006/relationships/image" Target="../media/image8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image" Target="../media/image6.jpeg"/><Relationship Id="rId1" Type="http://schemas.openxmlformats.org/officeDocument/2006/relationships/chart" Target="../charts/chart1.xml"/><Relationship Id="rId4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image" Target="../media/image11.jpeg"/><Relationship Id="rId1" Type="http://schemas.openxmlformats.org/officeDocument/2006/relationships/chart" Target="../charts/chart4.xml"/><Relationship Id="rId4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5" Type="http://schemas.openxmlformats.org/officeDocument/2006/relationships/image" Target="../media/image5.png"/><Relationship Id="rId4" Type="http://schemas.openxmlformats.org/officeDocument/2006/relationships/image" Target="../media/image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jpeg"/><Relationship Id="rId2" Type="http://schemas.openxmlformats.org/officeDocument/2006/relationships/chart" Target="../charts/chart10.xml"/><Relationship Id="rId1" Type="http://schemas.openxmlformats.org/officeDocument/2006/relationships/chart" Target="../charts/chart9.xml"/><Relationship Id="rId5" Type="http://schemas.openxmlformats.org/officeDocument/2006/relationships/image" Target="../media/image5.png"/><Relationship Id="rId4" Type="http://schemas.openxmlformats.org/officeDocument/2006/relationships/image" Target="../media/image10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14007</xdr:colOff>
      <xdr:row>2</xdr:row>
      <xdr:rowOff>161124</xdr:rowOff>
    </xdr:from>
    <xdr:to>
      <xdr:col>10</xdr:col>
      <xdr:colOff>1954308</xdr:colOff>
      <xdr:row>23</xdr:row>
      <xdr:rowOff>79154</xdr:rowOff>
    </xdr:to>
    <xdr:grpSp>
      <xdr:nvGrpSpPr>
        <xdr:cNvPr id="30" name="Gruppieren 29"/>
        <xdr:cNvGrpSpPr/>
      </xdr:nvGrpSpPr>
      <xdr:grpSpPr>
        <a:xfrm>
          <a:off x="14007" y="1532724"/>
          <a:ext cx="9245976" cy="4004255"/>
          <a:chOff x="73230" y="4377329"/>
          <a:chExt cx="9171905" cy="3508841"/>
        </a:xfrm>
      </xdr:grpSpPr>
      <xdr:pic>
        <xdr:nvPicPr>
          <xdr:cNvPr id="13" name="Grafik 12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3230" y="4377329"/>
            <a:ext cx="9171905" cy="3508841"/>
          </a:xfrm>
          <a:prstGeom prst="rect">
            <a:avLst/>
          </a:prstGeom>
        </xdr:spPr>
      </xdr:pic>
      <xdr:sp macro="" textlink="C6">
        <xdr:nvSpPr>
          <xdr:cNvPr id="4" name="Textfeld 3"/>
          <xdr:cNvSpPr txBox="1"/>
        </xdr:nvSpPr>
        <xdr:spPr>
          <a:xfrm>
            <a:off x="224118" y="4629429"/>
            <a:ext cx="5658971" cy="46227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D3CC7DDB-CEC0-4FB1-B308-688521039BED}" type="TxLink">
              <a:rPr lang="en-US" sz="120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NEU MIT GRAPHISCHER DARSTELLUNG DER ERGEBNISSE</a:t>
            </a:fld>
            <a:endParaRPr lang="de-DE" sz="12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9">
        <xdr:nvSpPr>
          <xdr:cNvPr id="5" name="Textfeld 4"/>
          <xdr:cNvSpPr txBox="1"/>
        </xdr:nvSpPr>
        <xdr:spPr>
          <a:xfrm>
            <a:off x="224118" y="5203763"/>
            <a:ext cx="6128219" cy="29412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482DFA5-6A56-4D44-8824-5EEAD96F1D8D}" type="TxLink">
              <a:rPr lang="en-US" sz="1200" b="1" i="0" u="none" strike="noStrike" baseline="0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Finanzplanung für GründerInnen leicht gemacht</a:t>
            </a:fld>
            <a:endParaRPr lang="de-DE" sz="1200" b="1" baseline="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4">
        <xdr:nvSpPr>
          <xdr:cNvPr id="6" name="Textfeld 5"/>
          <xdr:cNvSpPr txBox="1"/>
        </xdr:nvSpPr>
        <xdr:spPr>
          <a:xfrm>
            <a:off x="875460" y="6387384"/>
            <a:ext cx="2808474" cy="27311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CA1940BE-BEF1-4F59-8278-4B492C6E565D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von der Umsatzprognose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9">
        <xdr:nvSpPr>
          <xdr:cNvPr id="10" name="Textfeld 9"/>
          <xdr:cNvSpPr txBox="1"/>
        </xdr:nvSpPr>
        <xdr:spPr>
          <a:xfrm>
            <a:off x="224118" y="7199810"/>
            <a:ext cx="5245754" cy="385202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ctr" anchorCtr="0"/>
          <a:lstStyle/>
          <a:p>
            <a:fld id="{891923F5-4125-4A65-83E6-E12542162DF7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Vielfach bewährt für Tragfähigkeitsbescheinigungen</a:t>
            </a:fld>
            <a:endParaRPr lang="de-DE" sz="1100">
              <a:solidFill>
                <a:sysClr val="windowText" lastClr="000000"/>
              </a:solidFill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0">
        <xdr:nvSpPr>
          <xdr:cNvPr id="19" name="Textfeld 18"/>
          <xdr:cNvSpPr txBox="1"/>
        </xdr:nvSpPr>
        <xdr:spPr>
          <a:xfrm>
            <a:off x="224118" y="5497920"/>
            <a:ext cx="6128219" cy="294123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77F398BF-F42A-4374-8A86-9130FE1D15AE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Für Freiberufler, Einzelunternehmen, Einzelhandel, Personen-und Kapitalgesellschaften</a:t>
            </a:fld>
            <a:endParaRPr lang="de-DE" sz="100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3">
        <xdr:nvSpPr>
          <xdr:cNvPr id="20" name="Textfeld 19"/>
          <xdr:cNvSpPr txBox="1"/>
        </xdr:nvSpPr>
        <xdr:spPr>
          <a:xfrm>
            <a:off x="224118" y="6086188"/>
            <a:ext cx="6128219" cy="22411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252000" rtlCol="0" anchor="t"/>
          <a:lstStyle/>
          <a:p>
            <a:fld id="{AB25B037-A9C7-4F0A-B3C0-EC3D77E5802B}" type="TxLink">
              <a:rPr lang="en-US" sz="1050" b="1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In Tabellen-Schritten</a:t>
            </a:fld>
            <a:endParaRPr lang="de-DE" sz="1050" b="1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6">
        <xdr:nvSpPr>
          <xdr:cNvPr id="21" name="Textfeld 20"/>
          <xdr:cNvSpPr txBox="1"/>
        </xdr:nvSpPr>
        <xdr:spPr>
          <a:xfrm>
            <a:off x="875460" y="6625493"/>
            <a:ext cx="2808474" cy="280148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3A7DEBAC-C5E5-4FC6-81F6-94E99BE417B6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zum Liquiditätsplan</a:t>
            </a:fld>
            <a:endParaRPr lang="de-DE" sz="50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  <xdr:sp macro="" textlink="C17">
        <xdr:nvSpPr>
          <xdr:cNvPr id="22" name="Textfeld 21"/>
          <xdr:cNvSpPr txBox="1"/>
        </xdr:nvSpPr>
        <xdr:spPr>
          <a:xfrm>
            <a:off x="875460" y="6870638"/>
            <a:ext cx="2808474" cy="259105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t"/>
          <a:lstStyle/>
          <a:p>
            <a:fld id="{2AC214E6-E58D-408D-B18E-48056B7E7A0A}" type="TxLink">
              <a:rPr lang="en-US" sz="1000" b="0" i="0" u="none" strike="noStrike">
                <a:solidFill>
                  <a:srgbClr val="000000"/>
                </a:solidFill>
                <a:latin typeface="Verdana"/>
                <a:ea typeface="Verdana"/>
                <a:cs typeface="Verdana"/>
              </a:rPr>
              <a:pPr/>
              <a:t>bis zur Finanzierung</a:t>
            </a:fld>
            <a:endParaRPr lang="de-DE" sz="1050">
              <a:latin typeface="Verdana" panose="020B0604030504040204" pitchFamily="34" charset="0"/>
              <a:ea typeface="Verdana" panose="020B0604030504040204" pitchFamily="34" charset="0"/>
              <a:cs typeface="Verdana" panose="020B0604030504040204" pitchFamily="34" charset="0"/>
            </a:endParaRPr>
          </a:p>
        </xdr:txBody>
      </xdr:sp>
    </xdr:grpSp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10891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7202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0</xdr:row>
      <xdr:rowOff>160868</xdr:rowOff>
    </xdr:from>
    <xdr:to>
      <xdr:col>0</xdr:col>
      <xdr:colOff>931333</xdr:colOff>
      <xdr:row>1</xdr:row>
      <xdr:rowOff>689865</xdr:rowOff>
    </xdr:to>
    <xdr:pic>
      <xdr:nvPicPr>
        <xdr:cNvPr id="7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0" y="160868"/>
          <a:ext cx="740833" cy="696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77036</xdr:colOff>
      <xdr:row>0</xdr:row>
      <xdr:rowOff>0</xdr:rowOff>
    </xdr:from>
    <xdr:to>
      <xdr:col>10</xdr:col>
      <xdr:colOff>1947022</xdr:colOff>
      <xdr:row>1</xdr:row>
      <xdr:rowOff>985277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036" y="0"/>
          <a:ext cx="9181824" cy="1148603"/>
        </a:xfrm>
        <a:prstGeom prst="rect">
          <a:avLst/>
        </a:prstGeom>
      </xdr:spPr>
    </xdr:pic>
    <xdr:clientData/>
  </xdr:twoCellAnchor>
  <xdr:twoCellAnchor editAs="oneCell">
    <xdr:from>
      <xdr:col>0</xdr:col>
      <xdr:colOff>176492</xdr:colOff>
      <xdr:row>1</xdr:row>
      <xdr:rowOff>14007</xdr:rowOff>
    </xdr:from>
    <xdr:to>
      <xdr:col>1</xdr:col>
      <xdr:colOff>78774</xdr:colOff>
      <xdr:row>1</xdr:row>
      <xdr:rowOff>841444</xdr:rowOff>
    </xdr:to>
    <xdr:pic>
      <xdr:nvPicPr>
        <xdr:cNvPr id="9" name="Picture 1" descr="Kopie von peter_logo_alt_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6492" y="14007"/>
          <a:ext cx="889800" cy="82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1044132</xdr:colOff>
      <xdr:row>1</xdr:row>
      <xdr:rowOff>21012</xdr:rowOff>
    </xdr:from>
    <xdr:to>
      <xdr:col>10</xdr:col>
      <xdr:colOff>1941907</xdr:colOff>
      <xdr:row>1</xdr:row>
      <xdr:rowOff>859538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55970" y="21012"/>
          <a:ext cx="897775" cy="840767"/>
        </a:xfrm>
        <a:prstGeom prst="rect">
          <a:avLst/>
        </a:prstGeom>
      </xdr:spPr>
    </xdr:pic>
    <xdr:clientData/>
  </xdr:twoCellAnchor>
  <xdr:twoCellAnchor>
    <xdr:from>
      <xdr:col>7</xdr:col>
      <xdr:colOff>532277</xdr:colOff>
      <xdr:row>3</xdr:row>
      <xdr:rowOff>154082</xdr:rowOff>
    </xdr:from>
    <xdr:to>
      <xdr:col>8</xdr:col>
      <xdr:colOff>182093</xdr:colOff>
      <xdr:row>7</xdr:row>
      <xdr:rowOff>84045</xdr:rowOff>
    </xdr:to>
    <xdr:sp macro="" textlink="">
      <xdr:nvSpPr>
        <xdr:cNvPr id="15" name="Rechtwinkliges Dreieck 14"/>
        <xdr:cNvSpPr/>
      </xdr:nvSpPr>
      <xdr:spPr>
        <a:xfrm flipH="1">
          <a:off x="5553913" y="1309689"/>
          <a:ext cx="413217" cy="602316"/>
        </a:xfrm>
        <a:prstGeom prst="rtTriangle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de-DE" sz="1100"/>
        </a:p>
      </xdr:txBody>
    </xdr:sp>
    <xdr:clientData/>
  </xdr:twoCellAnchor>
  <xdr:twoCellAnchor editAs="oneCell">
    <xdr:from>
      <xdr:col>4</xdr:col>
      <xdr:colOff>400050</xdr:colOff>
      <xdr:row>0</xdr:row>
      <xdr:rowOff>85725</xdr:rowOff>
    </xdr:from>
    <xdr:to>
      <xdr:col>8</xdr:col>
      <xdr:colOff>645114</xdr:colOff>
      <xdr:row>1</xdr:row>
      <xdr:rowOff>748200</xdr:rowOff>
    </xdr:to>
    <xdr:pic>
      <xdr:nvPicPr>
        <xdr:cNvPr id="23" name="Grafik 22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105150" y="85725"/>
          <a:ext cx="3321639" cy="8244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49</xdr:row>
      <xdr:rowOff>88194</xdr:rowOff>
    </xdr:from>
    <xdr:to>
      <xdr:col>15</xdr:col>
      <xdr:colOff>989203</xdr:colOff>
      <xdr:row>60</xdr:row>
      <xdr:rowOff>85479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163521</xdr:colOff>
      <xdr:row>62</xdr:row>
      <xdr:rowOff>105834</xdr:rowOff>
    </xdr:from>
    <xdr:to>
      <xdr:col>15</xdr:col>
      <xdr:colOff>1023056</xdr:colOff>
      <xdr:row>76</xdr:row>
      <xdr:rowOff>17639</xdr:rowOff>
    </xdr:to>
    <xdr:graphicFrame macro="">
      <xdr:nvGraphicFramePr>
        <xdr:cNvPr id="7" name="Diagramm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176389</xdr:colOff>
      <xdr:row>0</xdr:row>
      <xdr:rowOff>17640</xdr:rowOff>
    </xdr:from>
    <xdr:to>
      <xdr:col>16</xdr:col>
      <xdr:colOff>2039</xdr:colOff>
      <xdr:row>1</xdr:row>
      <xdr:rowOff>8602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651111" y="1764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35277</xdr:colOff>
      <xdr:row>0</xdr:row>
      <xdr:rowOff>0</xdr:rowOff>
    </xdr:from>
    <xdr:to>
      <xdr:col>2</xdr:col>
      <xdr:colOff>162800</xdr:colOff>
      <xdr:row>0</xdr:row>
      <xdr:rowOff>824400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29305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0</xdr:row>
      <xdr:rowOff>0</xdr:rowOff>
    </xdr:from>
    <xdr:to>
      <xdr:col>10</xdr:col>
      <xdr:colOff>43919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32059" y="0"/>
          <a:ext cx="3321639" cy="82440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1586</xdr:colOff>
      <xdr:row>5</xdr:row>
      <xdr:rowOff>62460</xdr:rowOff>
    </xdr:from>
    <xdr:to>
      <xdr:col>8</xdr:col>
      <xdr:colOff>0</xdr:colOff>
      <xdr:row>29</xdr:row>
      <xdr:rowOff>11077</xdr:rowOff>
    </xdr:to>
    <xdr:graphicFrame macro="">
      <xdr:nvGraphicFramePr>
        <xdr:cNvPr id="11" name="Diagram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0</xdr:colOff>
      <xdr:row>33</xdr:row>
      <xdr:rowOff>0</xdr:rowOff>
    </xdr:from>
    <xdr:to>
      <xdr:col>22</xdr:col>
      <xdr:colOff>0</xdr:colOff>
      <xdr:row>56</xdr:row>
      <xdr:rowOff>2</xdr:rowOff>
    </xdr:to>
    <xdr:graphicFrame macro="">
      <xdr:nvGraphicFramePr>
        <xdr:cNvPr id="19" name="Diagramm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32</xdr:row>
      <xdr:rowOff>140532</xdr:rowOff>
    </xdr:from>
    <xdr:to>
      <xdr:col>15</xdr:col>
      <xdr:colOff>0</xdr:colOff>
      <xdr:row>56</xdr:row>
      <xdr:rowOff>0</xdr:rowOff>
    </xdr:to>
    <xdr:graphicFrame macro="">
      <xdr:nvGraphicFramePr>
        <xdr:cNvPr id="21" name="Diagramm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15</xdr:col>
      <xdr:colOff>0</xdr:colOff>
      <xdr:row>5</xdr:row>
      <xdr:rowOff>31230</xdr:rowOff>
    </xdr:from>
    <xdr:to>
      <xdr:col>22</xdr:col>
      <xdr:colOff>1210</xdr:colOff>
      <xdr:row>29</xdr:row>
      <xdr:rowOff>11077</xdr:rowOff>
    </xdr:to>
    <xdr:graphicFrame macro="">
      <xdr:nvGraphicFramePr>
        <xdr:cNvPr id="9" name="Diagram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</xdr:colOff>
      <xdr:row>33</xdr:row>
      <xdr:rowOff>0</xdr:rowOff>
    </xdr:from>
    <xdr:to>
      <xdr:col>8</xdr:col>
      <xdr:colOff>0</xdr:colOff>
      <xdr:row>56</xdr:row>
      <xdr:rowOff>1</xdr:rowOff>
    </xdr:to>
    <xdr:graphicFrame macro="">
      <xdr:nvGraphicFramePr>
        <xdr:cNvPr id="8" name="Diagram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26691</xdr:colOff>
      <xdr:row>0</xdr:row>
      <xdr:rowOff>0</xdr:rowOff>
    </xdr:from>
    <xdr:to>
      <xdr:col>2</xdr:col>
      <xdr:colOff>123852</xdr:colOff>
      <xdr:row>1</xdr:row>
      <xdr:rowOff>1158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296" y="0"/>
          <a:ext cx="817073" cy="832706"/>
        </a:xfrm>
        <a:prstGeom prst="rect">
          <a:avLst/>
        </a:prstGeom>
      </xdr:spPr>
    </xdr:pic>
    <xdr:clientData/>
  </xdr:twoCellAnchor>
  <xdr:twoCellAnchor editAs="oneCell">
    <xdr:from>
      <xdr:col>20</xdr:col>
      <xdr:colOff>504211</xdr:colOff>
      <xdr:row>0</xdr:row>
      <xdr:rowOff>0</xdr:rowOff>
    </xdr:from>
    <xdr:to>
      <xdr:col>21</xdr:col>
      <xdr:colOff>687346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71159" y="0"/>
          <a:ext cx="903047" cy="824400"/>
        </a:xfrm>
        <a:prstGeom prst="rect">
          <a:avLst/>
        </a:prstGeom>
      </xdr:spPr>
    </xdr:pic>
    <xdr:clientData/>
  </xdr:twoCellAnchor>
  <xdr:twoCellAnchor>
    <xdr:from>
      <xdr:col>7</xdr:col>
      <xdr:colOff>709353</xdr:colOff>
      <xdr:row>3</xdr:row>
      <xdr:rowOff>11084</xdr:rowOff>
    </xdr:from>
    <xdr:to>
      <xdr:col>14</xdr:col>
      <xdr:colOff>642852</xdr:colOff>
      <xdr:row>30</xdr:row>
      <xdr:rowOff>22168</xdr:rowOff>
    </xdr:to>
    <xdr:graphicFrame macro="">
      <xdr:nvGraphicFramePr>
        <xdr:cNvPr id="14" name="Diagramm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495300</xdr:colOff>
      <xdr:row>0</xdr:row>
      <xdr:rowOff>0</xdr:rowOff>
    </xdr:from>
    <xdr:to>
      <xdr:col>14</xdr:col>
      <xdr:colOff>260939</xdr:colOff>
      <xdr:row>0</xdr:row>
      <xdr:rowOff>824400</xdr:rowOff>
    </xdr:to>
    <xdr:pic>
      <xdr:nvPicPr>
        <xdr:cNvPr id="13" name="Grafik 12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6273800" y="0"/>
          <a:ext cx="3321639" cy="824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11616</xdr:colOff>
      <xdr:row>0</xdr:row>
      <xdr:rowOff>11616</xdr:rowOff>
    </xdr:from>
    <xdr:to>
      <xdr:col>2</xdr:col>
      <xdr:colOff>60408</xdr:colOff>
      <xdr:row>1</xdr:row>
      <xdr:rowOff>1109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8262" y="11616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14</xdr:col>
      <xdr:colOff>627256</xdr:colOff>
      <xdr:row>0</xdr:row>
      <xdr:rowOff>11616</xdr:rowOff>
    </xdr:from>
    <xdr:to>
      <xdr:col>15</xdr:col>
      <xdr:colOff>762024</xdr:colOff>
      <xdr:row>1</xdr:row>
      <xdr:rowOff>1109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360305" y="1161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297656</xdr:colOff>
      <xdr:row>0</xdr:row>
      <xdr:rowOff>0</xdr:rowOff>
    </xdr:from>
    <xdr:to>
      <xdr:col>10</xdr:col>
      <xdr:colOff>523670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941094" y="0"/>
          <a:ext cx="3321639" cy="8244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35541</xdr:colOff>
      <xdr:row>4</xdr:row>
      <xdr:rowOff>14216</xdr:rowOff>
    </xdr:from>
    <xdr:to>
      <xdr:col>0</xdr:col>
      <xdr:colOff>850980</xdr:colOff>
      <xdr:row>4</xdr:row>
      <xdr:rowOff>840507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41" y="547332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8</xdr:col>
      <xdr:colOff>2094622</xdr:colOff>
      <xdr:row>4</xdr:row>
      <xdr:rowOff>24590</xdr:rowOff>
    </xdr:from>
    <xdr:to>
      <xdr:col>11</xdr:col>
      <xdr:colOff>16941</xdr:colOff>
      <xdr:row>4</xdr:row>
      <xdr:rowOff>855643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74916" y="718522"/>
          <a:ext cx="900444" cy="831053"/>
        </a:xfrm>
        <a:prstGeom prst="rect">
          <a:avLst/>
        </a:prstGeom>
      </xdr:spPr>
    </xdr:pic>
    <xdr:clientData/>
  </xdr:twoCellAnchor>
  <xdr:twoCellAnchor editAs="oneCell">
    <xdr:from>
      <xdr:col>4</xdr:col>
      <xdr:colOff>370416</xdr:colOff>
      <xdr:row>0</xdr:row>
      <xdr:rowOff>0</xdr:rowOff>
    </xdr:from>
    <xdr:to>
      <xdr:col>8</xdr:col>
      <xdr:colOff>19638</xdr:colOff>
      <xdr:row>4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492499" y="0"/>
          <a:ext cx="3321639" cy="8244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850446</xdr:colOff>
      <xdr:row>49</xdr:row>
      <xdr:rowOff>96456</xdr:rowOff>
    </xdr:from>
    <xdr:to>
      <xdr:col>15</xdr:col>
      <xdr:colOff>554491</xdr:colOff>
      <xdr:row>90</xdr:row>
      <xdr:rowOff>96456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</xdr:col>
      <xdr:colOff>17009</xdr:colOff>
      <xdr:row>0</xdr:row>
      <xdr:rowOff>0</xdr:rowOff>
    </xdr:from>
    <xdr:to>
      <xdr:col>2</xdr:col>
      <xdr:colOff>441242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09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85045</xdr:colOff>
      <xdr:row>0</xdr:row>
      <xdr:rowOff>17009</xdr:rowOff>
    </xdr:from>
    <xdr:to>
      <xdr:col>16</xdr:col>
      <xdr:colOff>1482</xdr:colOff>
      <xdr:row>1</xdr:row>
      <xdr:rowOff>7971</xdr:rowOff>
    </xdr:to>
    <xdr:pic>
      <xdr:nvPicPr>
        <xdr:cNvPr id="5" name="Grafik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498661" y="17009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0</xdr:row>
      <xdr:rowOff>19050</xdr:rowOff>
    </xdr:from>
    <xdr:to>
      <xdr:col>9</xdr:col>
      <xdr:colOff>349839</xdr:colOff>
      <xdr:row>1</xdr:row>
      <xdr:rowOff>5250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562850" y="19050"/>
          <a:ext cx="3321639" cy="8244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889836</xdr:colOff>
      <xdr:row>36</xdr:row>
      <xdr:rowOff>256055</xdr:rowOff>
    </xdr:from>
    <xdr:to>
      <xdr:col>16</xdr:col>
      <xdr:colOff>884702</xdr:colOff>
      <xdr:row>68</xdr:row>
      <xdr:rowOff>96981</xdr:rowOff>
    </xdr:to>
    <xdr:graphicFrame macro="">
      <xdr:nvGraphicFramePr>
        <xdr:cNvPr id="4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0</xdr:colOff>
      <xdr:row>71</xdr:row>
      <xdr:rowOff>38098</xdr:rowOff>
    </xdr:from>
    <xdr:to>
      <xdr:col>17</xdr:col>
      <xdr:colOff>0</xdr:colOff>
      <xdr:row>85</xdr:row>
      <xdr:rowOff>138545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35944</xdr:colOff>
      <xdr:row>0</xdr:row>
      <xdr:rowOff>17971</xdr:rowOff>
    </xdr:from>
    <xdr:to>
      <xdr:col>2</xdr:col>
      <xdr:colOff>366147</xdr:colOff>
      <xdr:row>1</xdr:row>
      <xdr:rowOff>2667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3774" y="17971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16</xdr:col>
      <xdr:colOff>89858</xdr:colOff>
      <xdr:row>0</xdr:row>
      <xdr:rowOff>0</xdr:rowOff>
    </xdr:from>
    <xdr:to>
      <xdr:col>17</xdr:col>
      <xdr:colOff>2829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54245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6</xdr:col>
      <xdr:colOff>802821</xdr:colOff>
      <xdr:row>0</xdr:row>
      <xdr:rowOff>0</xdr:rowOff>
    </xdr:from>
    <xdr:to>
      <xdr:col>10</xdr:col>
      <xdr:colOff>205603</xdr:colOff>
      <xdr:row>0</xdr:row>
      <xdr:rowOff>824400</xdr:rowOff>
    </xdr:to>
    <xdr:pic>
      <xdr:nvPicPr>
        <xdr:cNvPr id="9" name="Grafik 8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143750" y="0"/>
          <a:ext cx="3321639" cy="824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708569</xdr:colOff>
      <xdr:row>38</xdr:row>
      <xdr:rowOff>166254</xdr:rowOff>
    </xdr:from>
    <xdr:to>
      <xdr:col>15</xdr:col>
      <xdr:colOff>1114511</xdr:colOff>
      <xdr:row>55</xdr:row>
      <xdr:rowOff>149578</xdr:rowOff>
    </xdr:to>
    <xdr:graphicFrame macro="">
      <xdr:nvGraphicFramePr>
        <xdr:cNvPr id="10" name="Diagramm 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238125</xdr:colOff>
      <xdr:row>0</xdr:row>
      <xdr:rowOff>15876</xdr:rowOff>
    </xdr:from>
    <xdr:to>
      <xdr:col>16</xdr:col>
      <xdr:colOff>12414</xdr:colOff>
      <xdr:row>1</xdr:row>
      <xdr:rowOff>1169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82875" y="15876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1</xdr:col>
      <xdr:colOff>15875</xdr:colOff>
      <xdr:row>0</xdr:row>
      <xdr:rowOff>0</xdr:rowOff>
    </xdr:from>
    <xdr:to>
      <xdr:col>2</xdr:col>
      <xdr:colOff>323314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00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7</xdr:col>
      <xdr:colOff>858592</xdr:colOff>
      <xdr:row>0</xdr:row>
      <xdr:rowOff>0</xdr:rowOff>
    </xdr:from>
    <xdr:to>
      <xdr:col>10</xdr:col>
      <xdr:colOff>799526</xdr:colOff>
      <xdr:row>0</xdr:row>
      <xdr:rowOff>824400</xdr:rowOff>
    </xdr:to>
    <xdr:pic>
      <xdr:nvPicPr>
        <xdr:cNvPr id="7" name="Grafik 6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6989472" y="0"/>
          <a:ext cx="3321639" cy="8244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276087</xdr:colOff>
      <xdr:row>116</xdr:row>
      <xdr:rowOff>110894</xdr:rowOff>
    </xdr:from>
    <xdr:to>
      <xdr:col>15</xdr:col>
      <xdr:colOff>897282</xdr:colOff>
      <xdr:row>151</xdr:row>
      <xdr:rowOff>55677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331304</xdr:colOff>
      <xdr:row>77</xdr:row>
      <xdr:rowOff>0</xdr:rowOff>
    </xdr:from>
    <xdr:to>
      <xdr:col>15</xdr:col>
      <xdr:colOff>913623</xdr:colOff>
      <xdr:row>114</xdr:row>
      <xdr:rowOff>124237</xdr:rowOff>
    </xdr:to>
    <xdr:graphicFrame macro="">
      <xdr:nvGraphicFramePr>
        <xdr:cNvPr id="2" name="Diagram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95247</xdr:colOff>
      <xdr:row>0</xdr:row>
      <xdr:rowOff>23813</xdr:rowOff>
    </xdr:from>
    <xdr:to>
      <xdr:col>16</xdr:col>
      <xdr:colOff>20349</xdr:colOff>
      <xdr:row>1</xdr:row>
      <xdr:rowOff>14775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92622" y="23813"/>
          <a:ext cx="901415" cy="824400"/>
        </a:xfrm>
        <a:prstGeom prst="rect">
          <a:avLst/>
        </a:prstGeom>
      </xdr:spPr>
    </xdr:pic>
    <xdr:clientData/>
  </xdr:twoCellAnchor>
  <xdr:twoCellAnchor editAs="oneCell">
    <xdr:from>
      <xdr:col>0</xdr:col>
      <xdr:colOff>357188</xdr:colOff>
      <xdr:row>0</xdr:row>
      <xdr:rowOff>0</xdr:rowOff>
    </xdr:from>
    <xdr:to>
      <xdr:col>2</xdr:col>
      <xdr:colOff>410627</xdr:colOff>
      <xdr:row>0</xdr:row>
      <xdr:rowOff>824400</xdr:rowOff>
    </xdr:to>
    <xdr:pic>
      <xdr:nvPicPr>
        <xdr:cNvPr id="6" name="Grafik 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666750</xdr:colOff>
      <xdr:row>0</xdr:row>
      <xdr:rowOff>0</xdr:rowOff>
    </xdr:from>
    <xdr:to>
      <xdr:col>9</xdr:col>
      <xdr:colOff>51389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016875" y="0"/>
          <a:ext cx="3321639" cy="82440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</xdr:colOff>
      <xdr:row>16</xdr:row>
      <xdr:rowOff>73270</xdr:rowOff>
    </xdr:from>
    <xdr:to>
      <xdr:col>16</xdr:col>
      <xdr:colOff>25401</xdr:colOff>
      <xdr:row>27</xdr:row>
      <xdr:rowOff>125329</xdr:rowOff>
    </xdr:to>
    <xdr:graphicFrame macro="">
      <xdr:nvGraphicFramePr>
        <xdr:cNvPr id="4" name="Diagramm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718488</xdr:colOff>
      <xdr:row>30</xdr:row>
      <xdr:rowOff>87730</xdr:rowOff>
    </xdr:from>
    <xdr:to>
      <xdr:col>15</xdr:col>
      <xdr:colOff>964258</xdr:colOff>
      <xdr:row>54</xdr:row>
      <xdr:rowOff>87730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2</xdr:col>
      <xdr:colOff>0</xdr:colOff>
      <xdr:row>0</xdr:row>
      <xdr:rowOff>0</xdr:rowOff>
    </xdr:from>
    <xdr:to>
      <xdr:col>2</xdr:col>
      <xdr:colOff>815439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81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91586</xdr:colOff>
      <xdr:row>0</xdr:row>
      <xdr:rowOff>0</xdr:rowOff>
    </xdr:from>
    <xdr:to>
      <xdr:col>16</xdr:col>
      <xdr:colOff>3866</xdr:colOff>
      <xdr:row>0</xdr:row>
      <xdr:rowOff>824400</xdr:rowOff>
    </xdr:to>
    <xdr:pic>
      <xdr:nvPicPr>
        <xdr:cNvPr id="3" name="Grafik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694519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5</xdr:col>
      <xdr:colOff>495301</xdr:colOff>
      <xdr:row>0</xdr:row>
      <xdr:rowOff>0</xdr:rowOff>
    </xdr:from>
    <xdr:to>
      <xdr:col>8</xdr:col>
      <xdr:colOff>845140</xdr:colOff>
      <xdr:row>0</xdr:row>
      <xdr:rowOff>824400</xdr:rowOff>
    </xdr:to>
    <xdr:pic>
      <xdr:nvPicPr>
        <xdr:cNvPr id="8" name="Grafik 7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29601" y="0"/>
          <a:ext cx="3321639" cy="8244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659423</xdr:colOff>
      <xdr:row>55</xdr:row>
      <xdr:rowOff>0</xdr:rowOff>
    </xdr:from>
    <xdr:to>
      <xdr:col>15</xdr:col>
      <xdr:colOff>952500</xdr:colOff>
      <xdr:row>71</xdr:row>
      <xdr:rowOff>102973</xdr:rowOff>
    </xdr:to>
    <xdr:graphicFrame macro="">
      <xdr:nvGraphicFramePr>
        <xdr:cNvPr id="3" name="Diagramm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586154</xdr:colOff>
      <xdr:row>39</xdr:row>
      <xdr:rowOff>183174</xdr:rowOff>
    </xdr:from>
    <xdr:to>
      <xdr:col>15</xdr:col>
      <xdr:colOff>950641</xdr:colOff>
      <xdr:row>52</xdr:row>
      <xdr:rowOff>73270</xdr:rowOff>
    </xdr:to>
    <xdr:graphicFrame macro="">
      <xdr:nvGraphicFramePr>
        <xdr:cNvPr id="5" name="Diagramm 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18317</xdr:colOff>
      <xdr:row>0</xdr:row>
      <xdr:rowOff>0</xdr:rowOff>
    </xdr:from>
    <xdr:to>
      <xdr:col>2</xdr:col>
      <xdr:colOff>412458</xdr:colOff>
      <xdr:row>0</xdr:row>
      <xdr:rowOff>824400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6538" y="0"/>
          <a:ext cx="815439" cy="824400"/>
        </a:xfrm>
        <a:prstGeom prst="rect">
          <a:avLst/>
        </a:prstGeom>
      </xdr:spPr>
    </xdr:pic>
    <xdr:clientData/>
  </xdr:twoCellAnchor>
  <xdr:twoCellAnchor editAs="oneCell">
    <xdr:from>
      <xdr:col>15</xdr:col>
      <xdr:colOff>91587</xdr:colOff>
      <xdr:row>0</xdr:row>
      <xdr:rowOff>0</xdr:rowOff>
    </xdr:from>
    <xdr:to>
      <xdr:col>16</xdr:col>
      <xdr:colOff>3866</xdr:colOff>
      <xdr:row>0</xdr:row>
      <xdr:rowOff>824400</xdr:rowOff>
    </xdr:to>
    <xdr:pic>
      <xdr:nvPicPr>
        <xdr:cNvPr id="4" name="Grafik 3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59375" y="0"/>
          <a:ext cx="901414" cy="824400"/>
        </a:xfrm>
        <a:prstGeom prst="rect">
          <a:avLst/>
        </a:prstGeom>
      </xdr:spPr>
    </xdr:pic>
    <xdr:clientData/>
  </xdr:twoCellAnchor>
  <xdr:twoCellAnchor editAs="oneCell">
    <xdr:from>
      <xdr:col>4</xdr:col>
      <xdr:colOff>848320</xdr:colOff>
      <xdr:row>0</xdr:row>
      <xdr:rowOff>0</xdr:rowOff>
    </xdr:from>
    <xdr:to>
      <xdr:col>8</xdr:col>
      <xdr:colOff>240896</xdr:colOff>
      <xdr:row>0</xdr:row>
      <xdr:rowOff>824400</xdr:rowOff>
    </xdr:to>
    <xdr:pic>
      <xdr:nvPicPr>
        <xdr:cNvPr id="10" name="Grafik 9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7739062" y="0"/>
          <a:ext cx="3321639" cy="824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hyperlink" Target="http://kindermanns.de/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://kindermanns.de/" TargetMode="External"/><Relationship Id="rId1" Type="http://schemas.openxmlformats.org/officeDocument/2006/relationships/hyperlink" Target="http://kindermanns.de/" TargetMode="External"/><Relationship Id="rId6" Type="http://schemas.openxmlformats.org/officeDocument/2006/relationships/printerSettings" Target="../printerSettings/printerSettings2.bin"/><Relationship Id="rId5" Type="http://schemas.openxmlformats.org/officeDocument/2006/relationships/hyperlink" Target="mailto:peter.kindermann@senioren-der-wirtschaft.de" TargetMode="External"/><Relationship Id="rId4" Type="http://schemas.openxmlformats.org/officeDocument/2006/relationships/hyperlink" Target="mailto:juergen.erlewein@senioren-der-wirtschaft.de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de.wikipedia.org/wiki/Rechtsform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hyperlink" Target="http://www.aok-business.de/tools-service/gehaltsrechner/gehaltsrechner-2014/" TargetMode="External"/><Relationship Id="rId1" Type="http://schemas.openxmlformats.org/officeDocument/2006/relationships/hyperlink" Target="http://www.aok-business.de/tools-service/gehaltsrechner/gehaltsrechner-2014/" TargetMode="External"/><Relationship Id="rId4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://de.wikipedia.org/wiki/Abschreibung" TargetMode="External"/><Relationship Id="rId7" Type="http://schemas.openxmlformats.org/officeDocument/2006/relationships/drawing" Target="../drawings/drawing6.xml"/><Relationship Id="rId2" Type="http://schemas.openxmlformats.org/officeDocument/2006/relationships/hyperlink" Target="http://de.wikipedia.org/wiki/Geringwertiges_Wirtschaftsgut" TargetMode="External"/><Relationship Id="rId1" Type="http://schemas.openxmlformats.org/officeDocument/2006/relationships/hyperlink" Target="http://de.wikipedia.org/wiki/Geringwertiges_Wirtschaftsgut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://de.wikipedia.org/wiki/Geringwertiges_Wirtschaftsgut" TargetMode="External"/><Relationship Id="rId4" Type="http://schemas.openxmlformats.org/officeDocument/2006/relationships/hyperlink" Target="http://de.wikipedia.org/wiki/Abschreibung" TargetMode="Externa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-heydorn.de/gewerbesteuerrechner.html" TargetMode="External"/><Relationship Id="rId3" Type="http://schemas.openxmlformats.org/officeDocument/2006/relationships/hyperlink" Target="http://www.steuerformen.de/koerperschaftssteuer.htm" TargetMode="External"/><Relationship Id="rId7" Type="http://schemas.openxmlformats.org/officeDocument/2006/relationships/hyperlink" Target="http://www.abgabenrechner.de/ekst" TargetMode="External"/><Relationship Id="rId12" Type="http://schemas.openxmlformats.org/officeDocument/2006/relationships/drawing" Target="../drawings/drawing8.xml"/><Relationship Id="rId2" Type="http://schemas.openxmlformats.org/officeDocument/2006/relationships/hyperlink" Target="http://www.n-heydorn.de/gewerbesteuerrechner.html" TargetMode="External"/><Relationship Id="rId1" Type="http://schemas.openxmlformats.org/officeDocument/2006/relationships/hyperlink" Target="http://www.abgabenrechner.de/ekst" TargetMode="External"/><Relationship Id="rId6" Type="http://schemas.openxmlformats.org/officeDocument/2006/relationships/hyperlink" Target="http://www.n-heydorn.de/gewerbesteuerrechner.html" TargetMode="External"/><Relationship Id="rId11" Type="http://schemas.openxmlformats.org/officeDocument/2006/relationships/printerSettings" Target="../printerSettings/printerSettings8.bin"/><Relationship Id="rId5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10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4" Type="http://schemas.openxmlformats.org/officeDocument/2006/relationships/hyperlink" Target="http://m.stuttgart.ihk24.de/linkableblob/971854/.22./data/Gewerbesteuer_Hebesaetze_Region_Stuttgart-data.pdf;jsessionid=23C404C1BDF1F3C801BF943489AC12A7.repl2" TargetMode="External"/><Relationship Id="rId9" Type="http://schemas.openxmlformats.org/officeDocument/2006/relationships/hyperlink" Target="http://www.steuerformen.de/koerperschaftssteuer.htm" TargetMode="Externa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>
    <pageSetUpPr fitToPage="1"/>
  </sheetPr>
  <dimension ref="A1:EZ29"/>
  <sheetViews>
    <sheetView showGridLines="0" tabSelected="1" zoomScaleNormal="100" zoomScaleSheetLayoutView="100" workbookViewId="0">
      <selection activeCell="M7" sqref="M7"/>
    </sheetView>
  </sheetViews>
  <sheetFormatPr baseColWidth="10" defaultColWidth="11.42578125" defaultRowHeight="12.75" x14ac:dyDescent="0.2"/>
  <cols>
    <col min="1" max="1" width="14.85546875" style="1455" customWidth="1"/>
    <col min="2" max="2" width="2.85546875" style="1455" customWidth="1"/>
    <col min="3" max="5" width="11.42578125" style="1455" customWidth="1"/>
    <col min="6" max="6" width="11.85546875" style="1455" customWidth="1"/>
    <col min="7" max="10" width="11.42578125" style="1455" customWidth="1"/>
    <col min="11" max="11" width="29.5703125" style="1455" customWidth="1"/>
    <col min="12" max="12" width="7.5703125" style="1455" customWidth="1"/>
    <col min="13" max="13" width="17" style="1455" customWidth="1"/>
    <col min="14" max="14" width="28.28515625" style="1455" customWidth="1"/>
    <col min="15" max="17" width="12.5703125" style="1455" customWidth="1"/>
    <col min="18" max="19" width="14.7109375" style="1455" customWidth="1"/>
    <col min="20" max="36" width="11.42578125" style="1455" customWidth="1"/>
    <col min="37" max="37" width="7.85546875" style="1455" hidden="1" customWidth="1"/>
    <col min="38" max="99" width="11.42578125" style="1455" hidden="1" customWidth="1"/>
    <col min="100" max="100" width="76.85546875" style="2" hidden="1" customWidth="1"/>
    <col min="101" max="101" width="38.5703125" style="2" hidden="1" customWidth="1"/>
    <col min="102" max="156" width="11.42578125" style="1455" hidden="1" customWidth="1"/>
    <col min="157" max="16384" width="11.42578125" style="1455"/>
  </cols>
  <sheetData>
    <row r="1" spans="1:101" x14ac:dyDescent="0.2">
      <c r="A1" s="11"/>
      <c r="B1" s="1"/>
      <c r="C1" s="1"/>
      <c r="D1" s="1"/>
      <c r="E1" s="1"/>
      <c r="F1" s="1"/>
      <c r="G1" s="1"/>
      <c r="H1" s="1"/>
      <c r="I1" s="1"/>
      <c r="J1" s="1"/>
      <c r="AK1" s="1456" t="s">
        <v>261</v>
      </c>
    </row>
    <row r="2" spans="1:101" ht="95.25" customHeight="1" x14ac:dyDescent="0.2">
      <c r="A2" s="8"/>
      <c r="B2" s="8"/>
      <c r="C2" s="1257" t="s">
        <v>599</v>
      </c>
      <c r="D2" s="8"/>
      <c r="E2" s="8"/>
      <c r="H2" s="1"/>
      <c r="I2" s="1"/>
      <c r="K2" s="1457"/>
      <c r="O2" s="1565"/>
      <c r="P2" s="1565"/>
      <c r="AK2" s="1456" t="s">
        <v>299</v>
      </c>
    </row>
    <row r="3" spans="1:101" ht="48" customHeight="1" x14ac:dyDescent="0.2">
      <c r="A3" s="1"/>
      <c r="B3" s="1"/>
      <c r="C3" s="1"/>
      <c r="D3" s="1"/>
      <c r="E3" s="1"/>
      <c r="F3" s="1"/>
      <c r="G3" s="1"/>
      <c r="H3" s="1"/>
      <c r="I3" s="1"/>
      <c r="J3" s="1"/>
      <c r="O3" s="1565"/>
      <c r="P3" s="1565"/>
    </row>
    <row r="4" spans="1:101" ht="14.1" customHeight="1" x14ac:dyDescent="0.2">
      <c r="A4" s="1"/>
      <c r="B4" s="1"/>
      <c r="C4" s="1"/>
      <c r="D4" s="1"/>
      <c r="E4" s="1"/>
      <c r="F4" s="1"/>
      <c r="G4" s="1"/>
      <c r="H4" s="1"/>
      <c r="I4" s="1"/>
      <c r="J4" s="1"/>
      <c r="O4" s="1458"/>
      <c r="P4" s="1458"/>
    </row>
    <row r="5" spans="1:101" ht="14.1" customHeight="1" x14ac:dyDescent="0.2">
      <c r="A5" s="1"/>
      <c r="B5" s="1"/>
      <c r="C5" s="1"/>
      <c r="D5" s="1"/>
      <c r="E5" s="1"/>
      <c r="F5" s="1"/>
      <c r="G5" s="1"/>
      <c r="H5" s="1"/>
      <c r="I5" s="1"/>
      <c r="J5" s="1"/>
    </row>
    <row r="6" spans="1:101" ht="14.1" customHeight="1" x14ac:dyDescent="0.2">
      <c r="A6" s="1"/>
      <c r="B6" s="1"/>
      <c r="C6" s="1459" t="str">
        <f>IF($M$7="English",CW6,CV6)</f>
        <v>NEU MIT GRAPHISCHER DARSTELLUNG DER ERGEBNISSE</v>
      </c>
      <c r="D6" s="1"/>
      <c r="E6" s="1"/>
      <c r="F6" s="1"/>
      <c r="G6" s="1"/>
      <c r="H6" s="1"/>
      <c r="I6" s="1"/>
      <c r="J6" s="1"/>
      <c r="M6" s="1460" t="s">
        <v>571</v>
      </c>
      <c r="CV6" s="2" t="s">
        <v>706</v>
      </c>
      <c r="CW6" s="2" t="s">
        <v>707</v>
      </c>
    </row>
    <row r="7" spans="1:101" ht="14.1" customHeight="1" x14ac:dyDescent="0.2">
      <c r="A7" s="1"/>
      <c r="B7" s="1"/>
      <c r="C7" s="1459"/>
      <c r="D7" s="1"/>
      <c r="E7" s="1"/>
      <c r="F7" s="1"/>
      <c r="G7" s="1"/>
      <c r="H7" s="1"/>
      <c r="I7" s="1"/>
      <c r="J7" s="1"/>
      <c r="M7" s="1461" t="s">
        <v>261</v>
      </c>
    </row>
    <row r="8" spans="1:101" ht="14.1" customHeight="1" x14ac:dyDescent="0.2">
      <c r="A8" s="1"/>
      <c r="B8" s="1"/>
      <c r="C8" s="1459"/>
      <c r="D8" s="1"/>
      <c r="E8" s="1"/>
      <c r="F8" s="1"/>
      <c r="G8" s="1462"/>
      <c r="H8" s="1"/>
      <c r="I8" s="1"/>
      <c r="J8" s="1"/>
      <c r="K8" s="1460"/>
    </row>
    <row r="9" spans="1:101" ht="14.1" customHeight="1" x14ac:dyDescent="0.2">
      <c r="A9" s="1"/>
      <c r="B9" s="1"/>
      <c r="C9" s="1459" t="str">
        <f t="shared" ref="C9:C19" si="0">IF($M$7="English",CW9,CV9)</f>
        <v>Finanzplanung für GründerInnen leicht gemacht</v>
      </c>
      <c r="D9" s="1"/>
      <c r="E9" s="1"/>
      <c r="F9" s="6"/>
      <c r="H9" s="1"/>
      <c r="I9" s="1"/>
      <c r="J9" s="1"/>
      <c r="CV9" s="2" t="s">
        <v>708</v>
      </c>
      <c r="CW9" s="2" t="s">
        <v>709</v>
      </c>
    </row>
    <row r="10" spans="1:101" ht="14.1" customHeight="1" x14ac:dyDescent="0.2">
      <c r="A10" s="1"/>
      <c r="B10" s="1"/>
      <c r="C10" s="1459" t="str">
        <f t="shared" si="0"/>
        <v>Für Freiberufler, Einzelunternehmen, Einzelhandel, Personen-und Kapitalgesellschaften</v>
      </c>
      <c r="D10" s="1"/>
      <c r="E10" s="1"/>
      <c r="F10" s="6"/>
      <c r="H10" s="1"/>
      <c r="I10" s="1"/>
      <c r="J10" s="1"/>
      <c r="CV10" s="2" t="s">
        <v>710</v>
      </c>
      <c r="CW10" s="2" t="s">
        <v>711</v>
      </c>
    </row>
    <row r="11" spans="1:101" ht="15.75" x14ac:dyDescent="0.25">
      <c r="A11" s="13"/>
      <c r="B11" s="13"/>
      <c r="C11" s="1459"/>
      <c r="D11" s="13"/>
      <c r="E11" s="1463"/>
      <c r="F11" s="1463"/>
      <c r="G11" s="14"/>
      <c r="H11" s="13"/>
      <c r="I11" s="13"/>
      <c r="J11" s="13"/>
      <c r="K11" s="1463"/>
    </row>
    <row r="12" spans="1:101" ht="15.75" x14ac:dyDescent="0.25">
      <c r="A12" s="1463"/>
      <c r="B12" s="13"/>
      <c r="C12" s="1459"/>
      <c r="D12" s="13"/>
      <c r="E12" s="1463"/>
      <c r="F12" s="1463"/>
      <c r="G12" s="1463"/>
      <c r="H12" s="13"/>
      <c r="I12" s="13"/>
      <c r="J12" s="13"/>
      <c r="K12" s="1463"/>
    </row>
    <row r="13" spans="1:101" ht="15.75" x14ac:dyDescent="0.25">
      <c r="A13" s="1463"/>
      <c r="B13" s="13"/>
      <c r="C13" s="1459" t="str">
        <f t="shared" si="0"/>
        <v>In Tabellen-Schritten</v>
      </c>
      <c r="D13" s="13"/>
      <c r="E13" s="1463"/>
      <c r="F13" s="1463"/>
      <c r="G13" s="14"/>
      <c r="H13" s="13"/>
      <c r="I13" s="13"/>
      <c r="J13" s="13"/>
      <c r="K13" s="1464"/>
      <c r="CV13" s="1470" t="s">
        <v>712</v>
      </c>
      <c r="CW13" s="2" t="s">
        <v>719</v>
      </c>
    </row>
    <row r="14" spans="1:101" ht="13.5" x14ac:dyDescent="0.2">
      <c r="A14" s="1"/>
      <c r="B14" s="1"/>
      <c r="C14" s="1459" t="str">
        <f t="shared" si="0"/>
        <v>von der Umsatzprognose</v>
      </c>
      <c r="D14" s="1"/>
      <c r="G14" s="1"/>
      <c r="H14" s="1"/>
      <c r="I14" s="1"/>
      <c r="J14" s="1"/>
      <c r="K14" s="1465"/>
      <c r="CV14" s="1466" t="s">
        <v>713</v>
      </c>
      <c r="CW14" s="2" t="s">
        <v>715</v>
      </c>
    </row>
    <row r="15" spans="1:101" ht="13.7" customHeight="1" x14ac:dyDescent="0.2">
      <c r="A15" s="1"/>
      <c r="B15" s="1"/>
      <c r="C15" s="1459"/>
      <c r="D15" s="1"/>
      <c r="G15" s="1"/>
      <c r="H15" s="1"/>
      <c r="I15" s="1"/>
      <c r="J15" s="1"/>
      <c r="O15" s="1565"/>
      <c r="P15" s="1565"/>
    </row>
    <row r="16" spans="1:101" ht="13.7" customHeight="1" x14ac:dyDescent="0.25">
      <c r="B16" s="1"/>
      <c r="C16" s="1459" t="str">
        <f t="shared" si="0"/>
        <v>zum Liquiditätsplan</v>
      </c>
      <c r="D16" s="1"/>
      <c r="G16" s="4"/>
      <c r="H16" s="1"/>
      <c r="I16" s="1"/>
      <c r="J16" s="1"/>
      <c r="CV16" s="1466" t="s">
        <v>714</v>
      </c>
      <c r="CW16" s="2" t="s">
        <v>716</v>
      </c>
    </row>
    <row r="17" spans="1:101" ht="13.7" customHeight="1" x14ac:dyDescent="0.2">
      <c r="A17" s="1"/>
      <c r="B17" s="1"/>
      <c r="C17" s="1459" t="str">
        <f t="shared" si="0"/>
        <v>bis zur Finanzierung</v>
      </c>
      <c r="D17" s="1"/>
      <c r="G17" s="1"/>
      <c r="H17" s="1"/>
      <c r="I17" s="1"/>
      <c r="J17" s="1"/>
      <c r="CV17" s="1466" t="s">
        <v>721</v>
      </c>
      <c r="CW17" s="2" t="s">
        <v>720</v>
      </c>
    </row>
    <row r="18" spans="1:101" ht="13.7" customHeight="1" x14ac:dyDescent="0.25">
      <c r="B18" s="1"/>
      <c r="C18" s="1459"/>
      <c r="D18" s="1"/>
      <c r="G18" s="4"/>
      <c r="H18" s="1"/>
      <c r="I18" s="1"/>
      <c r="J18" s="1"/>
      <c r="O18" s="1565"/>
      <c r="P18" s="1565"/>
    </row>
    <row r="19" spans="1:101" ht="13.7" customHeight="1" x14ac:dyDescent="0.2">
      <c r="A19" s="1"/>
      <c r="B19" s="1"/>
      <c r="C19" s="1459" t="str">
        <f t="shared" si="0"/>
        <v>Vielfach bewährt für Tragfähigkeitsbescheinigungen</v>
      </c>
      <c r="D19" s="1"/>
      <c r="G19" s="1"/>
      <c r="H19" s="1"/>
      <c r="I19" s="1"/>
      <c r="J19" s="1"/>
      <c r="O19" s="1565"/>
      <c r="P19" s="1565"/>
      <c r="CV19" s="1467" t="s">
        <v>717</v>
      </c>
      <c r="CW19" s="2" t="s">
        <v>718</v>
      </c>
    </row>
    <row r="20" spans="1:101" ht="13.7" customHeight="1" x14ac:dyDescent="0.25">
      <c r="B20" s="4"/>
      <c r="C20" s="4">
        <v>0</v>
      </c>
      <c r="D20" s="4"/>
      <c r="G20" s="4"/>
      <c r="H20" s="4"/>
      <c r="I20" s="4"/>
      <c r="J20" s="4"/>
    </row>
    <row r="21" spans="1:101" ht="13.7" customHeight="1" x14ac:dyDescent="0.25">
      <c r="A21" s="4"/>
      <c r="B21" s="4"/>
      <c r="C21" s="4"/>
      <c r="D21" s="4"/>
      <c r="G21" s="4"/>
      <c r="H21" s="4"/>
      <c r="I21" s="4"/>
      <c r="J21" s="4"/>
    </row>
    <row r="22" spans="1:101" ht="12.6" customHeight="1" x14ac:dyDescent="0.2">
      <c r="A22" s="5"/>
      <c r="B22" s="1"/>
      <c r="C22" s="1"/>
      <c r="D22" s="1"/>
      <c r="G22" s="1"/>
      <c r="H22" s="1"/>
      <c r="I22" s="1"/>
      <c r="J22" s="1"/>
    </row>
    <row r="23" spans="1:101" ht="12.6" customHeight="1" x14ac:dyDescent="0.2">
      <c r="A23" s="1"/>
      <c r="B23" s="1"/>
      <c r="C23" s="1"/>
      <c r="D23" s="1"/>
      <c r="G23" s="1"/>
      <c r="H23" s="1"/>
      <c r="I23" s="1"/>
      <c r="J23" s="1"/>
      <c r="K23" s="1468"/>
    </row>
    <row r="24" spans="1:101" ht="14.25" x14ac:dyDescent="0.2">
      <c r="A24" s="2"/>
      <c r="B24" s="2"/>
      <c r="C24" s="2"/>
      <c r="D24" s="2"/>
      <c r="G24" s="15"/>
      <c r="H24" s="2"/>
      <c r="I24" s="2"/>
      <c r="J24" s="2"/>
    </row>
    <row r="25" spans="1:101" x14ac:dyDescent="0.2">
      <c r="A25" s="2"/>
      <c r="B25" s="2"/>
      <c r="C25" s="2"/>
      <c r="D25" s="2"/>
      <c r="E25" s="2"/>
      <c r="F25" s="2"/>
      <c r="G25" s="1099" t="s">
        <v>762</v>
      </c>
      <c r="H25" s="2"/>
      <c r="I25" s="2"/>
      <c r="J25" s="2"/>
    </row>
    <row r="26" spans="1:101" ht="18" x14ac:dyDescent="0.25">
      <c r="A26" s="2"/>
      <c r="B26" s="2"/>
      <c r="C26" s="2"/>
      <c r="D26" s="2"/>
      <c r="E26" s="2"/>
      <c r="F26" s="3"/>
      <c r="G26" s="2"/>
      <c r="H26" s="2"/>
      <c r="I26" s="2"/>
      <c r="J26" s="2"/>
      <c r="K26" s="1469"/>
    </row>
    <row r="28" spans="1:101" x14ac:dyDescent="0.2">
      <c r="A28" s="10"/>
      <c r="B28" s="1563"/>
      <c r="C28" s="1564"/>
      <c r="D28" s="1564"/>
      <c r="E28" s="1564"/>
      <c r="F28" s="1564"/>
      <c r="G28" s="1564"/>
      <c r="H28" s="1564"/>
      <c r="I28" s="1564"/>
      <c r="J28" s="1564"/>
      <c r="K28" s="1564"/>
      <c r="O28" s="1460"/>
    </row>
    <row r="29" spans="1:10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</row>
  </sheetData>
  <sheetProtection algorithmName="SHA-512" hashValue="BlCJLmOX0mr0/Sh49iiLSaJcbjEYWqbeopGCySTQW0yM2s79Ef4vdCy+0hKsg8ReS1BRX1J51KZ/CfQzlIU4fA==" saltValue="S2YXIy7ok88VMrwDZXSCAA==" spinCount="100000" sheet="1" objects="1" scenarios="1" selectLockedCells="1"/>
  <mergeCells count="6">
    <mergeCell ref="B28:K28"/>
    <mergeCell ref="O2:P2"/>
    <mergeCell ref="O3:P3"/>
    <mergeCell ref="O15:P15"/>
    <mergeCell ref="O18:P18"/>
    <mergeCell ref="O19:P19"/>
  </mergeCells>
  <phoneticPr fontId="0" type="noConversion"/>
  <dataValidations count="1">
    <dataValidation type="list" allowBlank="1" showInputMessage="1" showErrorMessage="1" sqref="M7">
      <formula1>$AK$1:$AK$2</formula1>
    </dataValidation>
  </dataValidations>
  <pageMargins left="0.78740157480314965" right="0.78740157480314965" top="0.39370078740157483" bottom="0.98425196850393704" header="0.31496062992125984" footer="0.51181102362204722"/>
  <pageSetup paperSize="9" scale="94" fitToHeight="0" orientation="landscape" r:id="rId1"/>
  <headerFooter alignWithMargins="0">
    <oddFooter>&amp;L&amp;9&amp;A&amp;C&amp;9&amp;F&amp;R&amp;"Verdana,Standard"&amp;8© 2017 www.Kindermanns.de
Jürgen Erlewein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>
    <pageSetUpPr fitToPage="1"/>
  </sheetPr>
  <dimension ref="A1:EZ630"/>
  <sheetViews>
    <sheetView showGridLines="0" topLeftCell="A2" zoomScale="68" zoomScaleNormal="68" zoomScalePageLayoutView="50" workbookViewId="0">
      <selection activeCell="N21" sqref="N21:P21"/>
    </sheetView>
  </sheetViews>
  <sheetFormatPr baseColWidth="10" defaultColWidth="11.42578125" defaultRowHeight="14.25" x14ac:dyDescent="0.2"/>
  <cols>
    <col min="1" max="1" width="2.85546875" style="219" customWidth="1"/>
    <col min="2" max="2" width="10.42578125" style="222" customWidth="1"/>
    <col min="3" max="3" width="37" style="222" customWidth="1"/>
    <col min="4" max="13" width="16.28515625" style="877" customWidth="1"/>
    <col min="14" max="14" width="16.28515625" style="878" customWidth="1"/>
    <col min="15" max="16" width="16.28515625" style="877" customWidth="1"/>
    <col min="17" max="18" width="4.7109375" style="707" customWidth="1"/>
    <col min="19" max="19" width="60.7109375" style="708" customWidth="1"/>
    <col min="20" max="24" width="15.5703125" style="251" customWidth="1"/>
    <col min="25" max="25" width="15.5703125" style="255" customWidth="1"/>
    <col min="26" max="27" width="15.5703125" style="219" customWidth="1"/>
    <col min="28" max="29" width="18.42578125" style="256" customWidth="1"/>
    <col min="30" max="30" width="18.42578125" style="257" customWidth="1"/>
    <col min="31" max="36" width="18.42578125" style="258" customWidth="1"/>
    <col min="37" max="55" width="18.42578125" style="258" hidden="1" customWidth="1"/>
    <col min="56" max="59" width="15.5703125" style="258" hidden="1" customWidth="1"/>
    <col min="60" max="63" width="7.5703125" style="258" hidden="1" customWidth="1"/>
    <col min="64" max="72" width="7.5703125" style="446" hidden="1" customWidth="1"/>
    <col min="73" max="73" width="7.5703125" style="562" hidden="1" customWidth="1"/>
    <col min="74" max="100" width="7.5703125" style="446" hidden="1" customWidth="1"/>
    <col min="101" max="101" width="72.28515625" style="233" hidden="1" customWidth="1"/>
    <col min="102" max="102" width="94.28515625" style="446" hidden="1" customWidth="1"/>
    <col min="103" max="103" width="24.85546875" style="446" hidden="1" customWidth="1"/>
    <col min="104" max="104" width="25.5703125" style="446" hidden="1" customWidth="1"/>
    <col min="105" max="105" width="21.42578125" style="446" hidden="1" customWidth="1"/>
    <col min="106" max="129" width="6.5703125" style="446" hidden="1" customWidth="1"/>
    <col min="130" max="130" width="11.5703125" style="717" hidden="1" customWidth="1"/>
    <col min="131" max="132" width="11.42578125" style="223" hidden="1" customWidth="1"/>
    <col min="133" max="156" width="11.42578125" style="222" hidden="1" customWidth="1"/>
    <col min="157" max="16384" width="11.42578125" style="222"/>
  </cols>
  <sheetData>
    <row r="1" spans="1:136" ht="66" customHeight="1" x14ac:dyDescent="0.2"/>
    <row r="2" spans="1:136" s="219" customFormat="1" ht="21.95" customHeight="1" x14ac:dyDescent="0.2">
      <c r="A2" s="218"/>
      <c r="C2" s="220" t="str">
        <f>'Deckblatt Gruender|Data Founder'!D8</f>
        <v>Deutsch</v>
      </c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3"/>
      <c r="O2" s="251"/>
      <c r="P2" s="706"/>
      <c r="Q2" s="707"/>
      <c r="R2" s="707"/>
      <c r="S2" s="708"/>
      <c r="T2" s="251"/>
      <c r="U2" s="251"/>
      <c r="V2" s="251"/>
      <c r="W2" s="251"/>
      <c r="X2" s="251"/>
      <c r="Y2" s="255"/>
      <c r="AB2" s="256"/>
      <c r="AC2" s="256"/>
      <c r="AD2" s="257"/>
      <c r="AE2" s="258"/>
      <c r="AF2" s="258"/>
      <c r="AG2" s="258"/>
      <c r="AH2" s="258"/>
      <c r="AI2" s="258"/>
      <c r="AJ2" s="258"/>
      <c r="AK2" s="258"/>
      <c r="AL2" s="258"/>
      <c r="AM2" s="258"/>
      <c r="AN2" s="258"/>
      <c r="AO2" s="258"/>
      <c r="AP2" s="258"/>
      <c r="AQ2" s="258"/>
      <c r="AR2" s="258"/>
      <c r="AS2" s="258"/>
      <c r="AT2" s="258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7"/>
      <c r="BV2" s="258"/>
      <c r="BW2" s="258"/>
      <c r="BX2" s="258"/>
      <c r="BY2" s="258"/>
      <c r="BZ2" s="446"/>
      <c r="CA2" s="446"/>
      <c r="CB2" s="446"/>
      <c r="CC2" s="446"/>
      <c r="CD2" s="446"/>
      <c r="CE2" s="446"/>
      <c r="CF2" s="446"/>
      <c r="CG2" s="446"/>
      <c r="CH2" s="446"/>
      <c r="CI2" s="446"/>
      <c r="CJ2" s="446"/>
      <c r="CK2" s="446"/>
      <c r="CL2" s="446"/>
      <c r="CM2" s="446"/>
      <c r="CN2" s="446"/>
      <c r="CO2" s="446"/>
      <c r="CP2" s="446"/>
      <c r="CQ2" s="446"/>
      <c r="CR2" s="446"/>
      <c r="CS2" s="446"/>
      <c r="CT2" s="446"/>
      <c r="CU2" s="446"/>
      <c r="CV2" s="446"/>
      <c r="CW2" s="233" t="s">
        <v>261</v>
      </c>
      <c r="CX2" s="446" t="s">
        <v>299</v>
      </c>
      <c r="CY2" s="446"/>
      <c r="CZ2" s="446"/>
      <c r="DA2" s="446"/>
      <c r="DB2" s="446"/>
      <c r="DC2" s="446"/>
      <c r="DD2" s="446"/>
      <c r="DE2" s="446"/>
      <c r="DF2" s="446"/>
      <c r="DG2" s="446"/>
      <c r="DH2" s="446"/>
      <c r="DI2" s="446"/>
      <c r="DJ2" s="446"/>
      <c r="DK2" s="446"/>
      <c r="DL2" s="446"/>
      <c r="DM2" s="446"/>
      <c r="DN2" s="446"/>
      <c r="DO2" s="446"/>
      <c r="DP2" s="258"/>
      <c r="DQ2" s="258"/>
      <c r="DR2" s="258"/>
      <c r="DS2" s="258"/>
      <c r="DT2" s="258"/>
      <c r="DU2" s="258"/>
      <c r="DV2" s="258"/>
      <c r="DW2" s="258"/>
      <c r="DX2" s="258"/>
      <c r="DY2" s="258"/>
      <c r="DZ2" s="282"/>
      <c r="EA2" s="229"/>
      <c r="EB2" s="229"/>
    </row>
    <row r="3" spans="1:136" s="225" customFormat="1" ht="24.75" x14ac:dyDescent="0.3">
      <c r="B3" s="460" t="str">
        <f>IF($C$2="English",CX3,CW3)</f>
        <v>7a  Finanzierungsplan (Beträge in EURO)</v>
      </c>
      <c r="D3" s="251"/>
      <c r="E3" s="251"/>
      <c r="F3" s="251"/>
      <c r="G3" s="251"/>
      <c r="H3" s="251"/>
      <c r="I3" s="251"/>
      <c r="J3" s="252"/>
      <c r="K3" s="251"/>
      <c r="L3" s="251"/>
      <c r="M3" s="251"/>
      <c r="N3" s="251"/>
      <c r="O3" s="251"/>
      <c r="P3" s="251"/>
      <c r="Q3" s="709"/>
      <c r="R3" s="709"/>
      <c r="S3" s="710"/>
      <c r="BZ3" s="259"/>
      <c r="CA3" s="259"/>
      <c r="CB3" s="259"/>
      <c r="CC3" s="259"/>
      <c r="CD3" s="259"/>
      <c r="CE3" s="259"/>
      <c r="CF3" s="259"/>
      <c r="CG3" s="259"/>
      <c r="CH3" s="259"/>
      <c r="CI3" s="259"/>
      <c r="CJ3" s="259"/>
      <c r="CK3" s="259"/>
      <c r="CL3" s="259"/>
      <c r="CM3" s="259"/>
      <c r="CN3" s="259"/>
      <c r="CO3" s="259"/>
      <c r="CP3" s="259"/>
      <c r="CQ3" s="259"/>
      <c r="CR3" s="259"/>
      <c r="CS3" s="259"/>
      <c r="CT3" s="259"/>
      <c r="CU3" s="259"/>
      <c r="CV3" s="259"/>
      <c r="CW3" s="470" t="s">
        <v>209</v>
      </c>
      <c r="CX3" s="1048" t="s">
        <v>355</v>
      </c>
      <c r="CY3" s="222"/>
      <c r="CZ3" s="222"/>
      <c r="DA3" s="259"/>
      <c r="DB3" s="259"/>
      <c r="DC3" s="259"/>
      <c r="DD3" s="259"/>
      <c r="DE3" s="259"/>
      <c r="DF3" s="259"/>
      <c r="DG3" s="259"/>
      <c r="DH3" s="259"/>
      <c r="DI3" s="259"/>
      <c r="DJ3" s="259"/>
      <c r="DK3" s="259"/>
      <c r="DL3" s="259"/>
      <c r="DM3" s="259"/>
      <c r="DN3" s="259"/>
      <c r="DO3" s="259"/>
      <c r="EB3" s="229"/>
      <c r="EC3" s="219"/>
      <c r="ED3" s="219"/>
      <c r="EE3" s="219"/>
      <c r="EF3" s="219"/>
    </row>
    <row r="4" spans="1:136" s="225" customFormat="1" ht="14.25" customHeight="1" x14ac:dyDescent="0.3">
      <c r="B4" s="356"/>
      <c r="D4" s="251"/>
      <c r="E4" s="251"/>
      <c r="F4" s="251"/>
      <c r="G4" s="251"/>
      <c r="H4" s="251"/>
      <c r="I4" s="251"/>
      <c r="J4" s="252"/>
      <c r="K4" s="251"/>
      <c r="L4" s="251"/>
      <c r="M4" s="251"/>
      <c r="N4" s="251"/>
      <c r="O4" s="251"/>
      <c r="P4" s="251"/>
      <c r="Q4" s="709"/>
      <c r="R4" s="709"/>
      <c r="T4" s="224" t="s">
        <v>229</v>
      </c>
      <c r="BZ4" s="259"/>
      <c r="CA4" s="259"/>
      <c r="CB4" s="259"/>
      <c r="CC4" s="259"/>
      <c r="CD4" s="259"/>
      <c r="CE4" s="259"/>
      <c r="CF4" s="259"/>
      <c r="CG4" s="259"/>
      <c r="CH4" s="259"/>
      <c r="CI4" s="259"/>
      <c r="CJ4" s="259"/>
      <c r="CK4" s="259"/>
      <c r="CL4" s="259"/>
      <c r="CM4" s="259"/>
      <c r="CN4" s="259"/>
      <c r="CO4" s="259"/>
      <c r="CP4" s="259"/>
      <c r="CQ4" s="259"/>
      <c r="CR4" s="259"/>
      <c r="CS4" s="259"/>
      <c r="CT4" s="259"/>
      <c r="CU4" s="259"/>
      <c r="CV4" s="259"/>
      <c r="CW4" s="1049" t="s">
        <v>540</v>
      </c>
      <c r="CX4" s="1048" t="s">
        <v>356</v>
      </c>
      <c r="CY4" s="222"/>
      <c r="CZ4" s="222"/>
      <c r="DA4" s="259"/>
      <c r="DB4" s="259"/>
      <c r="DC4" s="259"/>
      <c r="DD4" s="259"/>
      <c r="DE4" s="259"/>
      <c r="DF4" s="259"/>
      <c r="DG4" s="259"/>
      <c r="DH4" s="259"/>
      <c r="DI4" s="259"/>
      <c r="DJ4" s="259"/>
      <c r="DK4" s="259"/>
      <c r="DL4" s="259"/>
      <c r="DM4" s="259"/>
      <c r="DN4" s="259"/>
      <c r="DO4" s="259"/>
      <c r="EB4" s="229"/>
      <c r="EC4" s="219"/>
      <c r="ED4" s="219"/>
      <c r="EE4" s="219"/>
      <c r="EF4" s="219"/>
    </row>
    <row r="5" spans="1:136" s="711" customFormat="1" ht="19.5" x14ac:dyDescent="0.25">
      <c r="B5" s="461" t="str">
        <f>IF($C$2="English",CX5,CW5)</f>
        <v>Beschaffung des erforderlichen Kapitals</v>
      </c>
      <c r="D5" s="712"/>
      <c r="E5" s="712"/>
      <c r="F5" s="712"/>
      <c r="G5" s="712"/>
      <c r="H5" s="712"/>
      <c r="I5" s="712"/>
      <c r="J5" s="713"/>
      <c r="K5" s="712"/>
      <c r="L5" s="712"/>
      <c r="M5" s="712"/>
      <c r="N5" s="712"/>
      <c r="O5" s="712"/>
      <c r="P5" s="712"/>
      <c r="Q5" s="714"/>
      <c r="R5" s="714"/>
      <c r="T5" s="36" t="s">
        <v>310</v>
      </c>
      <c r="BZ5" s="715"/>
      <c r="CA5" s="715"/>
      <c r="CB5" s="715"/>
      <c r="CC5" s="715"/>
      <c r="CD5" s="715"/>
      <c r="CE5" s="715"/>
      <c r="CF5" s="715"/>
      <c r="CG5" s="715"/>
      <c r="CH5" s="715"/>
      <c r="CI5" s="715"/>
      <c r="CJ5" s="715"/>
      <c r="CK5" s="715"/>
      <c r="CL5" s="715"/>
      <c r="CM5" s="715"/>
      <c r="CN5" s="715"/>
      <c r="CO5" s="715"/>
      <c r="CP5" s="715"/>
      <c r="CQ5" s="715"/>
      <c r="CR5" s="715"/>
      <c r="CS5" s="715"/>
      <c r="CT5" s="715"/>
      <c r="CU5" s="715"/>
      <c r="CV5" s="715"/>
      <c r="CW5" s="1050" t="s">
        <v>135</v>
      </c>
      <c r="CX5" s="1051" t="s">
        <v>677</v>
      </c>
      <c r="CY5" s="297"/>
      <c r="CZ5" s="297"/>
      <c r="DA5" s="715"/>
      <c r="DB5" s="715"/>
      <c r="DC5" s="715"/>
      <c r="DD5" s="715"/>
      <c r="DE5" s="715"/>
      <c r="DF5" s="715"/>
      <c r="DG5" s="715"/>
      <c r="DH5" s="715"/>
      <c r="DI5" s="715"/>
      <c r="DJ5" s="715"/>
      <c r="DK5" s="715"/>
      <c r="DL5" s="715"/>
      <c r="DM5" s="715"/>
      <c r="DN5" s="715"/>
      <c r="DO5" s="715"/>
      <c r="EB5" s="716"/>
      <c r="EC5" s="292"/>
      <c r="ED5" s="292"/>
      <c r="EE5" s="292"/>
      <c r="EF5" s="292"/>
    </row>
    <row r="6" spans="1:136" s="225" customFormat="1" ht="15" thickBot="1" x14ac:dyDescent="0.25">
      <c r="C6" s="250"/>
      <c r="D6" s="251"/>
      <c r="E6" s="251"/>
      <c r="F6" s="251"/>
      <c r="G6" s="251"/>
      <c r="H6" s="251"/>
      <c r="I6" s="251"/>
      <c r="J6" s="251"/>
      <c r="K6" s="251"/>
      <c r="L6" s="251"/>
      <c r="M6" s="251"/>
      <c r="N6" s="253"/>
      <c r="O6" s="251"/>
      <c r="P6" s="251"/>
      <c r="Q6" s="709"/>
      <c r="R6" s="709"/>
      <c r="S6" s="46"/>
      <c r="BZ6" s="259"/>
      <c r="CA6" s="259"/>
      <c r="CB6" s="259"/>
      <c r="CC6" s="259"/>
      <c r="CD6" s="259"/>
      <c r="CE6" s="259"/>
      <c r="CF6" s="259"/>
      <c r="CG6" s="259"/>
      <c r="CH6" s="259"/>
      <c r="CI6" s="259"/>
      <c r="CJ6" s="259"/>
      <c r="CK6" s="259"/>
      <c r="CL6" s="259"/>
      <c r="CM6" s="259"/>
      <c r="CN6" s="259"/>
      <c r="CO6" s="259"/>
      <c r="CP6" s="259"/>
      <c r="CQ6" s="259"/>
      <c r="CR6" s="259"/>
      <c r="CS6" s="259"/>
      <c r="CT6" s="259"/>
      <c r="CU6" s="259"/>
      <c r="CV6" s="259"/>
      <c r="CW6" s="1049" t="s">
        <v>194</v>
      </c>
      <c r="CX6" s="222" t="s">
        <v>357</v>
      </c>
      <c r="CY6" s="222"/>
      <c r="CZ6" s="222"/>
      <c r="DA6" s="259"/>
      <c r="DB6" s="259"/>
      <c r="DC6" s="259"/>
      <c r="DD6" s="259"/>
      <c r="DE6" s="259"/>
      <c r="DF6" s="259"/>
      <c r="DG6" s="259"/>
      <c r="DH6" s="259"/>
      <c r="DI6" s="259"/>
      <c r="DJ6" s="259"/>
      <c r="DK6" s="259"/>
      <c r="DL6" s="259"/>
      <c r="DM6" s="259"/>
      <c r="DN6" s="259"/>
      <c r="DO6" s="259"/>
      <c r="EB6" s="229"/>
      <c r="EC6" s="219"/>
      <c r="ED6" s="219"/>
      <c r="EE6" s="219"/>
      <c r="EF6" s="219"/>
    </row>
    <row r="7" spans="1:136" ht="21.75" customHeight="1" thickBot="1" x14ac:dyDescent="0.25">
      <c r="B7" s="1652" t="s">
        <v>302</v>
      </c>
      <c r="C7" s="1654" t="str">
        <f>IF($C$2="English",CX8,CW8)</f>
        <v>Kapitalquellen</v>
      </c>
      <c r="D7" s="1658">
        <f ca="1">'1 Pers.Ausgaben|Pers Expenses'!$C$4</f>
        <v>2017</v>
      </c>
      <c r="E7" s="1660"/>
      <c r="F7" s="1658">
        <f ca="1">D7+1</f>
        <v>2018</v>
      </c>
      <c r="G7" s="1660"/>
      <c r="H7" s="1658">
        <f ca="1">D7+2</f>
        <v>2019</v>
      </c>
      <c r="I7" s="1660"/>
      <c r="J7" s="1658">
        <f ca="1">D7+3</f>
        <v>2020</v>
      </c>
      <c r="K7" s="1660"/>
      <c r="L7" s="1658">
        <f ca="1">D7+4</f>
        <v>2021</v>
      </c>
      <c r="M7" s="1660"/>
      <c r="N7" s="1658" t="str">
        <f>IF($C$2="English",CZ7,CY7)</f>
        <v>Finanzbedingungen</v>
      </c>
      <c r="O7" s="1659"/>
      <c r="P7" s="1660"/>
      <c r="Q7" s="709"/>
      <c r="R7" s="709"/>
      <c r="S7" s="54" t="str">
        <f>IF(C2="English",T5,T4)</f>
        <v>Aufgaben und/oder Kommentar</v>
      </c>
      <c r="T7" s="225"/>
      <c r="U7" s="225"/>
      <c r="V7" s="225"/>
      <c r="W7" s="225"/>
      <c r="X7" s="225"/>
      <c r="Y7" s="225"/>
      <c r="CW7" s="1052" t="s">
        <v>540</v>
      </c>
      <c r="CX7" s="1053" t="s">
        <v>541</v>
      </c>
      <c r="CY7" s="1056" t="s">
        <v>109</v>
      </c>
      <c r="CZ7" s="1057" t="s">
        <v>390</v>
      </c>
    </row>
    <row r="8" spans="1:136" s="259" customFormat="1" ht="29.25" thickBot="1" x14ac:dyDescent="0.25">
      <c r="A8" s="225"/>
      <c r="B8" s="1653"/>
      <c r="C8" s="1655"/>
      <c r="D8" s="718" t="str">
        <f>IF($C$2="English",CX6,CW6)</f>
        <v>Betrag</v>
      </c>
      <c r="E8" s="719" t="str">
        <f>IF($C$2="English",CX7,CW7)</f>
        <v>Auszahlung in Monat</v>
      </c>
      <c r="F8" s="718" t="str">
        <f>D8</f>
        <v>Betrag</v>
      </c>
      <c r="G8" s="719" t="str">
        <f>E8</f>
        <v>Auszahlung in Monat</v>
      </c>
      <c r="H8" s="718" t="str">
        <f>D8</f>
        <v>Betrag</v>
      </c>
      <c r="I8" s="719" t="str">
        <f>$E$8</f>
        <v>Auszahlung in Monat</v>
      </c>
      <c r="J8" s="718" t="str">
        <f>D8</f>
        <v>Betrag</v>
      </c>
      <c r="K8" s="719" t="str">
        <f>$E$8</f>
        <v>Auszahlung in Monat</v>
      </c>
      <c r="L8" s="718" t="str">
        <f>D8</f>
        <v>Betrag</v>
      </c>
      <c r="M8" s="719" t="str">
        <f>$E$8</f>
        <v>Auszahlung in Monat</v>
      </c>
      <c r="N8" s="720" t="str">
        <f>IF($C$2="English",CZ8,CY8)</f>
        <v>Zinssatz</v>
      </c>
      <c r="O8" s="721" t="str">
        <f>IF($C$2="English",CX11,CW11)</f>
        <v>tilgungsfreie Monate</v>
      </c>
      <c r="P8" s="722" t="str">
        <f>IF($C$2="English",CX13,CW13)</f>
        <v>Tilgungsjahre</v>
      </c>
      <c r="Q8" s="709"/>
      <c r="R8" s="709"/>
      <c r="S8" s="710"/>
      <c r="T8" s="225"/>
      <c r="U8" s="225"/>
      <c r="V8" s="225"/>
      <c r="W8" s="225"/>
      <c r="X8" s="225"/>
      <c r="Y8" s="225"/>
      <c r="Z8" s="225"/>
      <c r="AA8" s="225"/>
      <c r="AB8" s="225"/>
      <c r="AC8" s="225"/>
      <c r="AD8" s="225"/>
      <c r="AE8" s="225"/>
      <c r="AF8" s="225"/>
      <c r="AG8" s="225"/>
      <c r="AH8" s="225"/>
      <c r="AI8" s="225"/>
      <c r="AJ8" s="225"/>
      <c r="AK8" s="225"/>
      <c r="AL8" s="225"/>
      <c r="AM8" s="225"/>
      <c r="AN8" s="225"/>
      <c r="AO8" s="225"/>
      <c r="AP8" s="225"/>
      <c r="AQ8" s="225"/>
      <c r="AR8" s="225"/>
      <c r="AS8" s="225"/>
      <c r="AT8" s="225"/>
      <c r="AU8" s="225"/>
      <c r="AV8" s="225"/>
      <c r="AW8" s="225"/>
      <c r="AX8" s="225"/>
      <c r="AY8" s="225"/>
      <c r="AZ8" s="225"/>
      <c r="BA8" s="225"/>
      <c r="BB8" s="225"/>
      <c r="BC8" s="225"/>
      <c r="BD8" s="225"/>
      <c r="BE8" s="225"/>
      <c r="BF8" s="225"/>
      <c r="BG8" s="225"/>
      <c r="BH8" s="225"/>
      <c r="BI8" s="225"/>
      <c r="BJ8" s="225"/>
      <c r="BK8" s="225"/>
      <c r="CW8" s="60" t="s">
        <v>61</v>
      </c>
      <c r="CX8" s="1048" t="s">
        <v>358</v>
      </c>
      <c r="CY8" s="1056" t="s">
        <v>62</v>
      </c>
      <c r="CZ8" s="1058" t="s">
        <v>391</v>
      </c>
      <c r="EB8" s="223"/>
      <c r="EC8" s="222"/>
      <c r="ED8" s="222"/>
      <c r="EE8" s="222"/>
      <c r="EF8" s="222"/>
    </row>
    <row r="9" spans="1:136" s="58" customFormat="1" x14ac:dyDescent="0.2">
      <c r="A9" s="55"/>
      <c r="B9" s="235"/>
      <c r="C9" s="723"/>
      <c r="D9" s="724"/>
      <c r="E9" s="725"/>
      <c r="F9" s="724"/>
      <c r="G9" s="725"/>
      <c r="H9" s="724"/>
      <c r="I9" s="725"/>
      <c r="J9" s="724"/>
      <c r="K9" s="725"/>
      <c r="L9" s="724"/>
      <c r="M9" s="725"/>
      <c r="N9" s="724"/>
      <c r="O9" s="726"/>
      <c r="P9" s="725"/>
      <c r="Q9" s="709"/>
      <c r="R9" s="709"/>
      <c r="S9" s="727"/>
      <c r="T9" s="225"/>
      <c r="U9" s="225"/>
      <c r="V9" s="225"/>
      <c r="W9" s="225"/>
      <c r="X9" s="225"/>
      <c r="Y9" s="225"/>
      <c r="Z9" s="55"/>
      <c r="AA9" s="55"/>
      <c r="AB9" s="55"/>
      <c r="AC9" s="55"/>
      <c r="AD9" s="55"/>
      <c r="AE9" s="55"/>
      <c r="AF9" s="55"/>
      <c r="AG9" s="55"/>
      <c r="AH9" s="55"/>
      <c r="AI9" s="55"/>
      <c r="AJ9" s="55"/>
      <c r="AK9" s="55"/>
      <c r="AL9" s="55"/>
      <c r="AM9" s="55"/>
      <c r="AN9" s="55"/>
      <c r="AO9" s="55"/>
      <c r="AP9" s="55"/>
      <c r="AQ9" s="55"/>
      <c r="AR9" s="55"/>
      <c r="AS9" s="55"/>
      <c r="AT9" s="55"/>
      <c r="AU9" s="55"/>
      <c r="AV9" s="55"/>
      <c r="AW9" s="55"/>
      <c r="AX9" s="55"/>
      <c r="AY9" s="55"/>
      <c r="AZ9" s="55"/>
      <c r="BA9" s="55"/>
      <c r="BB9" s="55"/>
      <c r="BC9" s="55"/>
      <c r="BD9" s="55"/>
      <c r="BE9" s="55"/>
      <c r="BF9" s="55"/>
      <c r="BG9" s="55"/>
      <c r="BH9" s="55"/>
      <c r="BI9" s="55"/>
      <c r="BJ9" s="55"/>
      <c r="BK9" s="55"/>
      <c r="EB9" s="39"/>
    </row>
    <row r="10" spans="1:136" x14ac:dyDescent="0.2">
      <c r="B10" s="728">
        <v>1</v>
      </c>
      <c r="C10" s="1442" t="str">
        <f>IF($C$2="English",CX10,CW10)</f>
        <v>Eigenkapital</v>
      </c>
      <c r="D10" s="1443"/>
      <c r="E10" s="1444"/>
      <c r="F10" s="1133"/>
      <c r="G10" s="1134"/>
      <c r="H10" s="1133"/>
      <c r="I10" s="1134"/>
      <c r="J10" s="1133"/>
      <c r="K10" s="1134"/>
      <c r="L10" s="1133"/>
      <c r="M10" s="1134"/>
      <c r="N10" s="1135"/>
      <c r="O10" s="1136"/>
      <c r="P10" s="1137"/>
      <c r="Q10" s="709"/>
      <c r="R10" s="709"/>
      <c r="S10" s="1546"/>
      <c r="T10" s="225"/>
      <c r="U10" s="225"/>
      <c r="V10" s="225"/>
      <c r="W10" s="225"/>
      <c r="X10" s="225"/>
      <c r="Y10" s="225"/>
      <c r="CW10" s="470" t="s">
        <v>63</v>
      </c>
      <c r="CX10" s="283" t="s">
        <v>359</v>
      </c>
    </row>
    <row r="11" spans="1:136" x14ac:dyDescent="0.2">
      <c r="B11" s="728"/>
      <c r="C11" s="723"/>
      <c r="D11" s="734"/>
      <c r="E11" s="736"/>
      <c r="F11" s="729"/>
      <c r="G11" s="730"/>
      <c r="H11" s="729"/>
      <c r="I11" s="730"/>
      <c r="J11" s="729"/>
      <c r="K11" s="730"/>
      <c r="L11" s="729"/>
      <c r="M11" s="730"/>
      <c r="N11" s="731"/>
      <c r="O11" s="732"/>
      <c r="P11" s="733"/>
      <c r="Q11" s="709"/>
      <c r="R11" s="709"/>
      <c r="T11" s="225"/>
      <c r="U11" s="225"/>
      <c r="V11" s="225"/>
      <c r="W11" s="225"/>
      <c r="X11" s="225"/>
      <c r="Y11" s="225"/>
      <c r="CW11" s="470" t="s">
        <v>187</v>
      </c>
      <c r="CX11" s="446" t="s">
        <v>481</v>
      </c>
    </row>
    <row r="12" spans="1:136" x14ac:dyDescent="0.2">
      <c r="B12" s="728">
        <v>2</v>
      </c>
      <c r="C12" s="1442" t="str">
        <f t="shared" ref="C12:C31" si="0">IF($C$2="English",CX12,CW12)</f>
        <v>Eigenleistung</v>
      </c>
      <c r="D12" s="1443"/>
      <c r="E12" s="1444"/>
      <c r="F12" s="1133"/>
      <c r="G12" s="1134"/>
      <c r="H12" s="1133"/>
      <c r="I12" s="1134"/>
      <c r="J12" s="1133"/>
      <c r="K12" s="1134"/>
      <c r="L12" s="1133"/>
      <c r="M12" s="1134"/>
      <c r="N12" s="1135"/>
      <c r="O12" s="1136"/>
      <c r="P12" s="1137"/>
      <c r="Q12" s="709"/>
      <c r="R12" s="709"/>
      <c r="S12" s="1546"/>
      <c r="T12" s="225"/>
      <c r="U12" s="225"/>
      <c r="V12" s="225"/>
      <c r="W12" s="225"/>
      <c r="X12" s="225"/>
      <c r="Y12" s="225"/>
      <c r="CW12" s="470" t="s">
        <v>87</v>
      </c>
      <c r="CX12" s="283" t="s">
        <v>678</v>
      </c>
    </row>
    <row r="13" spans="1:136" x14ac:dyDescent="0.2">
      <c r="B13" s="728"/>
      <c r="C13" s="723"/>
      <c r="D13" s="734"/>
      <c r="E13" s="730"/>
      <c r="F13" s="729"/>
      <c r="G13" s="730"/>
      <c r="H13" s="729"/>
      <c r="I13" s="730"/>
      <c r="J13" s="729"/>
      <c r="K13" s="730"/>
      <c r="L13" s="729"/>
      <c r="M13" s="730"/>
      <c r="N13" s="731"/>
      <c r="O13" s="732"/>
      <c r="P13" s="733"/>
      <c r="Q13" s="709"/>
      <c r="R13" s="709"/>
      <c r="T13" s="225"/>
      <c r="U13" s="225"/>
      <c r="V13" s="225"/>
      <c r="W13" s="225"/>
      <c r="X13" s="225"/>
      <c r="Y13" s="225"/>
      <c r="AB13" s="219"/>
      <c r="AC13" s="219"/>
      <c r="AD13" s="219"/>
      <c r="AE13" s="219"/>
      <c r="AF13" s="219"/>
      <c r="AG13" s="219"/>
      <c r="AH13" s="219"/>
      <c r="AI13" s="219"/>
      <c r="AJ13" s="219"/>
      <c r="AK13" s="219"/>
      <c r="AL13" s="219"/>
      <c r="AM13" s="219"/>
      <c r="AN13" s="219"/>
      <c r="AO13" s="219"/>
      <c r="AP13" s="219"/>
      <c r="AQ13" s="219"/>
      <c r="AR13" s="219"/>
      <c r="AS13" s="219"/>
      <c r="AT13" s="219"/>
      <c r="AU13" s="219"/>
      <c r="AV13" s="219"/>
      <c r="AW13" s="219"/>
      <c r="AX13" s="219"/>
      <c r="AY13" s="219"/>
      <c r="AZ13" s="219"/>
      <c r="BA13" s="219"/>
      <c r="BB13" s="219"/>
      <c r="BC13" s="219"/>
      <c r="CW13" s="470" t="s">
        <v>381</v>
      </c>
      <c r="CX13" s="446" t="s">
        <v>480</v>
      </c>
    </row>
    <row r="14" spans="1:136" x14ac:dyDescent="0.2">
      <c r="B14" s="735">
        <v>3</v>
      </c>
      <c r="C14" s="1442" t="str">
        <f t="shared" si="0"/>
        <v>Beteiligung</v>
      </c>
      <c r="D14" s="1443"/>
      <c r="E14" s="1444"/>
      <c r="F14" s="1443"/>
      <c r="G14" s="1444"/>
      <c r="H14" s="1443"/>
      <c r="I14" s="1444"/>
      <c r="J14" s="1443"/>
      <c r="K14" s="1444"/>
      <c r="L14" s="1443"/>
      <c r="M14" s="1444"/>
      <c r="N14" s="1445"/>
      <c r="O14" s="1446"/>
      <c r="P14" s="1447"/>
      <c r="Q14" s="709"/>
      <c r="R14" s="709"/>
      <c r="S14" s="1546"/>
      <c r="T14" s="225"/>
      <c r="U14" s="225"/>
      <c r="V14" s="225"/>
      <c r="W14" s="225"/>
      <c r="X14" s="225"/>
      <c r="Y14" s="225"/>
      <c r="AB14" s="219"/>
      <c r="AC14" s="219"/>
      <c r="AD14" s="219"/>
      <c r="AE14" s="219"/>
      <c r="AF14" s="219"/>
      <c r="AG14" s="219"/>
      <c r="AH14" s="219"/>
      <c r="AI14" s="219"/>
      <c r="AJ14" s="219"/>
      <c r="AK14" s="219"/>
      <c r="AL14" s="219"/>
      <c r="AM14" s="219"/>
      <c r="AN14" s="219"/>
      <c r="AO14" s="219"/>
      <c r="AP14" s="219"/>
      <c r="AQ14" s="219"/>
      <c r="AR14" s="219"/>
      <c r="AS14" s="219"/>
      <c r="AT14" s="219"/>
      <c r="AU14" s="219"/>
      <c r="AV14" s="219"/>
      <c r="AW14" s="219"/>
      <c r="AX14" s="219"/>
      <c r="AY14" s="219"/>
      <c r="AZ14" s="219"/>
      <c r="BA14" s="219"/>
      <c r="BB14" s="219"/>
      <c r="BC14" s="219"/>
      <c r="CW14" s="470" t="s">
        <v>86</v>
      </c>
      <c r="CX14" s="1048" t="s">
        <v>679</v>
      </c>
    </row>
    <row r="15" spans="1:136" x14ac:dyDescent="0.2">
      <c r="B15" s="728"/>
      <c r="C15" s="723"/>
      <c r="D15" s="734"/>
      <c r="E15" s="736"/>
      <c r="F15" s="734"/>
      <c r="G15" s="736"/>
      <c r="H15" s="734"/>
      <c r="I15" s="736"/>
      <c r="J15" s="734"/>
      <c r="K15" s="736"/>
      <c r="L15" s="734"/>
      <c r="M15" s="736"/>
      <c r="N15" s="737"/>
      <c r="O15" s="738"/>
      <c r="P15" s="733"/>
      <c r="Q15" s="709"/>
      <c r="R15" s="709"/>
      <c r="T15" s="225"/>
      <c r="U15" s="225"/>
      <c r="V15" s="225"/>
      <c r="W15" s="225"/>
      <c r="X15" s="225"/>
      <c r="Y15" s="225"/>
      <c r="AB15" s="219"/>
      <c r="AC15" s="219"/>
      <c r="AD15" s="219"/>
      <c r="AE15" s="219"/>
      <c r="AF15" s="219"/>
      <c r="AG15" s="219"/>
      <c r="AH15" s="219"/>
      <c r="AI15" s="219"/>
      <c r="AJ15" s="219"/>
      <c r="AK15" s="219"/>
      <c r="AL15" s="219"/>
      <c r="AM15" s="219"/>
      <c r="AN15" s="219"/>
      <c r="AO15" s="219"/>
      <c r="AP15" s="219"/>
      <c r="AQ15" s="219"/>
      <c r="AR15" s="219"/>
      <c r="AS15" s="219"/>
      <c r="AT15" s="219"/>
      <c r="AU15" s="219"/>
      <c r="AV15" s="219"/>
      <c r="AW15" s="219"/>
      <c r="AX15" s="219"/>
      <c r="AY15" s="219"/>
      <c r="AZ15" s="219"/>
      <c r="BA15" s="219"/>
      <c r="BB15" s="219"/>
      <c r="BC15" s="219"/>
    </row>
    <row r="16" spans="1:136" x14ac:dyDescent="0.2">
      <c r="B16" s="735">
        <v>4</v>
      </c>
      <c r="C16" s="1442" t="str">
        <f t="shared" si="0"/>
        <v xml:space="preserve">Kontokorrent Kredit </v>
      </c>
      <c r="D16" s="1443"/>
      <c r="E16" s="1444"/>
      <c r="F16" s="1443"/>
      <c r="G16" s="1444"/>
      <c r="H16" s="1443"/>
      <c r="I16" s="1444"/>
      <c r="J16" s="1443"/>
      <c r="K16" s="1444"/>
      <c r="L16" s="1443"/>
      <c r="M16" s="1444"/>
      <c r="N16" s="1445"/>
      <c r="O16" s="1446"/>
      <c r="P16" s="1447"/>
      <c r="Q16" s="709"/>
      <c r="R16" s="709"/>
      <c r="S16" s="1546"/>
      <c r="T16" s="225"/>
      <c r="U16" s="225"/>
      <c r="V16" s="225"/>
      <c r="W16" s="225"/>
      <c r="X16" s="225"/>
      <c r="Y16" s="225"/>
      <c r="AB16" s="219"/>
      <c r="AC16" s="219"/>
      <c r="AD16" s="219"/>
      <c r="AE16" s="219"/>
      <c r="AF16" s="219"/>
      <c r="AG16" s="219"/>
      <c r="AH16" s="219"/>
      <c r="AI16" s="219"/>
      <c r="AJ16" s="219"/>
      <c r="AK16" s="219"/>
      <c r="AL16" s="219"/>
      <c r="AM16" s="219"/>
      <c r="AN16" s="219"/>
      <c r="AO16" s="219"/>
      <c r="AP16" s="219"/>
      <c r="AQ16" s="219"/>
      <c r="AR16" s="219"/>
      <c r="AS16" s="219"/>
      <c r="AT16" s="219"/>
      <c r="AU16" s="219"/>
      <c r="AV16" s="219"/>
      <c r="AW16" s="219"/>
      <c r="AX16" s="219"/>
      <c r="AY16" s="219"/>
      <c r="AZ16" s="219"/>
      <c r="BA16" s="219"/>
      <c r="BB16" s="219"/>
      <c r="BC16" s="219"/>
      <c r="CW16" s="470" t="s">
        <v>64</v>
      </c>
      <c r="CX16" s="1048" t="s">
        <v>680</v>
      </c>
    </row>
    <row r="17" spans="2:132" x14ac:dyDescent="0.2">
      <c r="B17" s="728"/>
      <c r="C17" s="723"/>
      <c r="D17" s="734"/>
      <c r="E17" s="736"/>
      <c r="F17" s="734"/>
      <c r="G17" s="736"/>
      <c r="H17" s="734"/>
      <c r="I17" s="736"/>
      <c r="J17" s="734"/>
      <c r="K17" s="736"/>
      <c r="L17" s="734"/>
      <c r="M17" s="736"/>
      <c r="N17" s="737"/>
      <c r="O17" s="738"/>
      <c r="P17" s="733"/>
      <c r="Q17" s="709"/>
      <c r="R17" s="709"/>
      <c r="T17" s="225"/>
      <c r="U17" s="225"/>
      <c r="V17" s="225"/>
      <c r="W17" s="225"/>
      <c r="X17" s="225"/>
      <c r="Y17" s="225"/>
      <c r="AB17" s="219"/>
      <c r="AC17" s="219"/>
      <c r="AD17" s="219"/>
      <c r="AE17" s="219"/>
      <c r="AF17" s="219"/>
      <c r="AG17" s="219"/>
      <c r="AH17" s="219"/>
      <c r="AI17" s="219"/>
      <c r="AJ17" s="219"/>
      <c r="AK17" s="219"/>
      <c r="AL17" s="219"/>
      <c r="AM17" s="219"/>
      <c r="AN17" s="219"/>
      <c r="AO17" s="219"/>
      <c r="AP17" s="219"/>
      <c r="AQ17" s="219"/>
      <c r="AR17" s="219"/>
      <c r="AS17" s="219"/>
      <c r="AT17" s="219"/>
      <c r="AU17" s="219"/>
      <c r="AV17" s="219"/>
      <c r="AW17" s="219"/>
      <c r="AX17" s="219"/>
      <c r="AY17" s="219"/>
      <c r="AZ17" s="219"/>
      <c r="BA17" s="219"/>
      <c r="BB17" s="219"/>
      <c r="BC17" s="219"/>
      <c r="CW17" s="470"/>
    </row>
    <row r="18" spans="2:132" x14ac:dyDescent="0.2">
      <c r="B18" s="735">
        <v>5</v>
      </c>
      <c r="C18" s="1442" t="str">
        <f t="shared" si="0"/>
        <v>Kurzfristige Darlehen</v>
      </c>
      <c r="D18" s="1443"/>
      <c r="E18" s="1444"/>
      <c r="F18" s="1443"/>
      <c r="G18" s="1444"/>
      <c r="H18" s="1443"/>
      <c r="I18" s="1444"/>
      <c r="J18" s="1443"/>
      <c r="K18" s="1444"/>
      <c r="L18" s="1443"/>
      <c r="M18" s="1444"/>
      <c r="N18" s="1445"/>
      <c r="O18" s="1446"/>
      <c r="P18" s="1447"/>
      <c r="Q18" s="709"/>
      <c r="R18" s="709"/>
      <c r="S18" s="1546"/>
      <c r="T18" s="225"/>
      <c r="U18" s="225"/>
      <c r="V18" s="225"/>
      <c r="W18" s="225"/>
      <c r="X18" s="225"/>
      <c r="Y18" s="225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CW18" s="470" t="s">
        <v>65</v>
      </c>
      <c r="CX18" s="283" t="s">
        <v>681</v>
      </c>
    </row>
    <row r="19" spans="2:132" x14ac:dyDescent="0.2">
      <c r="B19" s="739"/>
      <c r="C19" s="723"/>
      <c r="D19" s="734"/>
      <c r="E19" s="736"/>
      <c r="F19" s="734"/>
      <c r="G19" s="736"/>
      <c r="H19" s="734"/>
      <c r="I19" s="736"/>
      <c r="J19" s="734"/>
      <c r="K19" s="736"/>
      <c r="L19" s="734"/>
      <c r="M19" s="736"/>
      <c r="N19" s="737"/>
      <c r="O19" s="738"/>
      <c r="P19" s="733"/>
      <c r="Q19" s="709"/>
      <c r="R19" s="709"/>
      <c r="T19" s="225"/>
      <c r="U19" s="225"/>
      <c r="V19" s="225"/>
      <c r="W19" s="225"/>
      <c r="X19" s="225"/>
      <c r="Y19" s="225"/>
      <c r="AB19" s="219"/>
      <c r="AC19" s="219"/>
      <c r="AD19" s="219"/>
      <c r="AE19" s="219"/>
      <c r="AF19" s="219"/>
      <c r="AG19" s="219"/>
      <c r="AH19" s="219"/>
      <c r="AI19" s="219"/>
      <c r="AJ19" s="219"/>
      <c r="AK19" s="219"/>
      <c r="AL19" s="219"/>
      <c r="AM19" s="219"/>
      <c r="AN19" s="219"/>
      <c r="AO19" s="219"/>
      <c r="AP19" s="219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</row>
    <row r="20" spans="2:132" x14ac:dyDescent="0.2">
      <c r="B20" s="735">
        <v>6</v>
      </c>
      <c r="C20" s="740" t="str">
        <f t="shared" si="0"/>
        <v>Langfristige Darlehen z.B.</v>
      </c>
      <c r="D20" s="734"/>
      <c r="E20" s="736"/>
      <c r="F20" s="734"/>
      <c r="G20" s="736"/>
      <c r="H20" s="734"/>
      <c r="I20" s="736"/>
      <c r="J20" s="734"/>
      <c r="K20" s="736"/>
      <c r="L20" s="734"/>
      <c r="M20" s="736"/>
      <c r="N20" s="737"/>
      <c r="O20" s="738"/>
      <c r="P20" s="733"/>
      <c r="Q20" s="709"/>
      <c r="R20" s="709"/>
      <c r="AB20" s="219"/>
      <c r="AC20" s="219"/>
      <c r="AD20" s="219"/>
      <c r="AE20" s="219"/>
      <c r="AF20" s="219"/>
      <c r="AG20" s="219"/>
      <c r="AH20" s="219"/>
      <c r="AI20" s="219"/>
      <c r="AJ20" s="219"/>
      <c r="AK20" s="219"/>
      <c r="AL20" s="219"/>
      <c r="AM20" s="219"/>
      <c r="AN20" s="219"/>
      <c r="AO20" s="219"/>
      <c r="AP20" s="219"/>
      <c r="AQ20" s="219"/>
      <c r="AR20" s="219"/>
      <c r="AS20" s="219"/>
      <c r="AT20" s="219"/>
      <c r="AU20" s="219"/>
      <c r="AV20" s="219"/>
      <c r="AW20" s="219"/>
      <c r="AX20" s="219"/>
      <c r="AY20" s="219"/>
      <c r="AZ20" s="219"/>
      <c r="BA20" s="219"/>
      <c r="BB20" s="219"/>
      <c r="BC20" s="219"/>
      <c r="CW20" s="470" t="s">
        <v>235</v>
      </c>
      <c r="CX20" s="283" t="s">
        <v>685</v>
      </c>
    </row>
    <row r="21" spans="2:132" x14ac:dyDescent="0.2">
      <c r="B21" s="741" t="s">
        <v>110</v>
      </c>
      <c r="C21" s="1442" t="str">
        <f t="shared" si="0"/>
        <v>Öffentliche Förderdarlehen</v>
      </c>
      <c r="D21" s="1443"/>
      <c r="E21" s="1444"/>
      <c r="F21" s="1443"/>
      <c r="G21" s="1444"/>
      <c r="H21" s="1443"/>
      <c r="I21" s="1444"/>
      <c r="J21" s="1443"/>
      <c r="K21" s="1444"/>
      <c r="L21" s="1443"/>
      <c r="M21" s="1444"/>
      <c r="N21" s="1445"/>
      <c r="O21" s="1446"/>
      <c r="P21" s="1447"/>
      <c r="Q21" s="709"/>
      <c r="R21" s="709"/>
      <c r="S21" s="1546"/>
      <c r="AB21" s="219"/>
      <c r="AC21" s="219"/>
      <c r="AD21" s="219"/>
      <c r="AE21" s="219"/>
      <c r="AF21" s="219"/>
      <c r="AG21" s="219"/>
      <c r="AH21" s="219"/>
      <c r="AI21" s="219"/>
      <c r="AJ21" s="219"/>
      <c r="AK21" s="219"/>
      <c r="AL21" s="219"/>
      <c r="AM21" s="219"/>
      <c r="AN21" s="219"/>
      <c r="AO21" s="219"/>
      <c r="AP21" s="219"/>
      <c r="AQ21" s="219"/>
      <c r="AR21" s="219"/>
      <c r="AS21" s="219"/>
      <c r="AT21" s="219"/>
      <c r="AU21" s="219"/>
      <c r="AV21" s="219"/>
      <c r="AW21" s="219"/>
      <c r="AX21" s="219"/>
      <c r="AY21" s="219"/>
      <c r="AZ21" s="219"/>
      <c r="BA21" s="219"/>
      <c r="BB21" s="219"/>
      <c r="BC21" s="219"/>
      <c r="CW21" s="470" t="s">
        <v>66</v>
      </c>
      <c r="CX21" s="1048" t="s">
        <v>360</v>
      </c>
    </row>
    <row r="22" spans="2:132" x14ac:dyDescent="0.2">
      <c r="B22" s="741" t="s">
        <v>111</v>
      </c>
      <c r="C22" s="1442" t="str">
        <f t="shared" si="0"/>
        <v>KfW  Programm</v>
      </c>
      <c r="D22" s="1443"/>
      <c r="E22" s="1444"/>
      <c r="F22" s="1443"/>
      <c r="G22" s="1444"/>
      <c r="H22" s="1443"/>
      <c r="I22" s="1444"/>
      <c r="J22" s="1443"/>
      <c r="K22" s="1444"/>
      <c r="L22" s="1443"/>
      <c r="M22" s="1444"/>
      <c r="N22" s="1445"/>
      <c r="O22" s="1446"/>
      <c r="P22" s="1447"/>
      <c r="Q22" s="709"/>
      <c r="R22" s="709"/>
      <c r="S22" s="1546"/>
      <c r="AB22" s="219"/>
      <c r="AC22" s="219"/>
      <c r="AD22" s="219"/>
      <c r="AE22" s="219"/>
      <c r="AF22" s="219"/>
      <c r="AG22" s="219"/>
      <c r="AH22" s="219"/>
      <c r="AI22" s="219"/>
      <c r="AJ22" s="219"/>
      <c r="AK22" s="219"/>
      <c r="AL22" s="219"/>
      <c r="AM22" s="219"/>
      <c r="AN22" s="219"/>
      <c r="AO22" s="219"/>
      <c r="AP22" s="219"/>
      <c r="AQ22" s="219"/>
      <c r="AR22" s="219"/>
      <c r="AS22" s="219"/>
      <c r="AT22" s="219"/>
      <c r="AU22" s="219"/>
      <c r="AV22" s="219"/>
      <c r="AW22" s="219"/>
      <c r="AX22" s="219"/>
      <c r="AY22" s="219"/>
      <c r="AZ22" s="219"/>
      <c r="BA22" s="219"/>
      <c r="BB22" s="219"/>
      <c r="BC22" s="219"/>
      <c r="CW22" s="470" t="s">
        <v>687</v>
      </c>
      <c r="CX22" s="1048" t="s">
        <v>686</v>
      </c>
    </row>
    <row r="23" spans="2:132" x14ac:dyDescent="0.2">
      <c r="B23" s="741" t="s">
        <v>112</v>
      </c>
      <c r="C23" s="1442" t="str">
        <f t="shared" si="0"/>
        <v>L - Bank-Darlehen</v>
      </c>
      <c r="D23" s="1443"/>
      <c r="E23" s="1444"/>
      <c r="F23" s="1443"/>
      <c r="G23" s="1444"/>
      <c r="H23" s="1443"/>
      <c r="I23" s="1444"/>
      <c r="J23" s="1443"/>
      <c r="K23" s="1444"/>
      <c r="L23" s="1443"/>
      <c r="M23" s="1444"/>
      <c r="N23" s="1445"/>
      <c r="O23" s="1446"/>
      <c r="P23" s="1447"/>
      <c r="Q23" s="709"/>
      <c r="R23" s="709"/>
      <c r="S23" s="1546"/>
      <c r="AB23" s="219"/>
      <c r="AC23" s="219"/>
      <c r="AD23" s="219"/>
      <c r="AE23" s="219"/>
      <c r="AF23" s="219"/>
      <c r="AG23" s="219"/>
      <c r="AH23" s="219"/>
      <c r="AI23" s="219"/>
      <c r="AJ23" s="219"/>
      <c r="AK23" s="219"/>
      <c r="AL23" s="219"/>
      <c r="AM23" s="219"/>
      <c r="AN23" s="219"/>
      <c r="AO23" s="219"/>
      <c r="AP23" s="219"/>
      <c r="AQ23" s="219"/>
      <c r="AR23" s="219"/>
      <c r="AS23" s="219"/>
      <c r="AT23" s="219"/>
      <c r="AU23" s="219"/>
      <c r="AV23" s="219"/>
      <c r="AW23" s="219"/>
      <c r="AX23" s="219"/>
      <c r="AY23" s="219"/>
      <c r="AZ23" s="219"/>
      <c r="BA23" s="219"/>
      <c r="BB23" s="219"/>
      <c r="BC23" s="219"/>
      <c r="CW23" s="470" t="s">
        <v>67</v>
      </c>
      <c r="CX23" s="283" t="s">
        <v>361</v>
      </c>
    </row>
    <row r="24" spans="2:132" x14ac:dyDescent="0.2">
      <c r="B24" s="741" t="s">
        <v>113</v>
      </c>
      <c r="C24" s="1442" t="str">
        <f t="shared" si="0"/>
        <v xml:space="preserve">Bürgschaftsbank- Darlehen </v>
      </c>
      <c r="D24" s="1443"/>
      <c r="E24" s="1444"/>
      <c r="F24" s="1443"/>
      <c r="G24" s="1444"/>
      <c r="H24" s="1443"/>
      <c r="I24" s="1444"/>
      <c r="J24" s="1443"/>
      <c r="K24" s="1444"/>
      <c r="L24" s="1443"/>
      <c r="M24" s="1444"/>
      <c r="N24" s="1445"/>
      <c r="O24" s="1446"/>
      <c r="P24" s="1447"/>
      <c r="Q24" s="709"/>
      <c r="R24" s="709"/>
      <c r="S24" s="1546"/>
      <c r="AB24" s="219"/>
      <c r="AC24" s="219"/>
      <c r="AD24" s="219"/>
      <c r="AE24" s="219"/>
      <c r="AF24" s="219"/>
      <c r="AG24" s="219"/>
      <c r="AH24" s="219"/>
      <c r="AI24" s="219"/>
      <c r="AJ24" s="219"/>
      <c r="AK24" s="219"/>
      <c r="AL24" s="219"/>
      <c r="AM24" s="219"/>
      <c r="AN24" s="219"/>
      <c r="AO24" s="219"/>
      <c r="AP24" s="219"/>
      <c r="AQ24" s="219"/>
      <c r="AR24" s="219"/>
      <c r="AS24" s="219"/>
      <c r="AT24" s="219"/>
      <c r="AU24" s="219"/>
      <c r="AV24" s="219"/>
      <c r="AW24" s="219"/>
      <c r="AX24" s="219"/>
      <c r="AY24" s="219"/>
      <c r="AZ24" s="219"/>
      <c r="BA24" s="219"/>
      <c r="BB24" s="219"/>
      <c r="BC24" s="219"/>
      <c r="CW24" s="470" t="s">
        <v>68</v>
      </c>
      <c r="CX24" s="1048" t="s">
        <v>362</v>
      </c>
    </row>
    <row r="25" spans="2:132" x14ac:dyDescent="0.2">
      <c r="B25" s="741" t="s">
        <v>114</v>
      </c>
      <c r="C25" s="1442" t="str">
        <f t="shared" si="0"/>
        <v>Haus -  Bank-Darlehen</v>
      </c>
      <c r="D25" s="1443"/>
      <c r="E25" s="1444"/>
      <c r="F25" s="1443"/>
      <c r="G25" s="1444"/>
      <c r="H25" s="1443"/>
      <c r="I25" s="1444"/>
      <c r="J25" s="1443"/>
      <c r="K25" s="1444"/>
      <c r="L25" s="1443"/>
      <c r="M25" s="1444"/>
      <c r="N25" s="1445"/>
      <c r="O25" s="1446"/>
      <c r="P25" s="1447"/>
      <c r="Q25" s="709"/>
      <c r="R25" s="709"/>
      <c r="S25" s="1546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CW25" s="470" t="s">
        <v>69</v>
      </c>
      <c r="CX25" s="283" t="s">
        <v>363</v>
      </c>
    </row>
    <row r="26" spans="2:132" x14ac:dyDescent="0.2">
      <c r="B26" s="741" t="s">
        <v>115</v>
      </c>
      <c r="C26" s="1442" t="str">
        <f t="shared" si="0"/>
        <v>Privat -  Darlehen</v>
      </c>
      <c r="D26" s="1443"/>
      <c r="E26" s="1444"/>
      <c r="F26" s="1443"/>
      <c r="G26" s="1444"/>
      <c r="H26" s="1443"/>
      <c r="I26" s="1444"/>
      <c r="J26" s="1443"/>
      <c r="K26" s="1444"/>
      <c r="L26" s="1443"/>
      <c r="M26" s="1444"/>
      <c r="N26" s="1445"/>
      <c r="O26" s="1446"/>
      <c r="P26" s="1447"/>
      <c r="Q26" s="709"/>
      <c r="R26" s="709"/>
      <c r="S26" s="1546"/>
      <c r="AB26" s="219"/>
      <c r="AC26" s="219"/>
      <c r="AD26" s="219"/>
      <c r="AE26" s="219"/>
      <c r="AF26" s="219"/>
      <c r="AG26" s="219"/>
      <c r="AH26" s="219"/>
      <c r="AI26" s="219"/>
      <c r="AJ26" s="219"/>
      <c r="AK26" s="219"/>
      <c r="AL26" s="219"/>
      <c r="AM26" s="219"/>
      <c r="AN26" s="219"/>
      <c r="AO26" s="219"/>
      <c r="AP26" s="219"/>
      <c r="AQ26" s="219"/>
      <c r="AR26" s="219"/>
      <c r="AS26" s="219"/>
      <c r="AT26" s="219"/>
      <c r="AU26" s="219"/>
      <c r="AV26" s="219"/>
      <c r="AW26" s="219"/>
      <c r="AX26" s="219"/>
      <c r="AY26" s="219"/>
      <c r="AZ26" s="219"/>
      <c r="BA26" s="219"/>
      <c r="BB26" s="219"/>
      <c r="BC26" s="219"/>
      <c r="CW26" s="470" t="s">
        <v>70</v>
      </c>
      <c r="CX26" s="1048" t="s">
        <v>364</v>
      </c>
    </row>
    <row r="27" spans="2:132" x14ac:dyDescent="0.2">
      <c r="B27" s="741" t="s">
        <v>116</v>
      </c>
      <c r="C27" s="1442" t="str">
        <f t="shared" si="0"/>
        <v>Sonstige</v>
      </c>
      <c r="D27" s="1443"/>
      <c r="E27" s="1444"/>
      <c r="F27" s="1443"/>
      <c r="G27" s="1444"/>
      <c r="H27" s="1443"/>
      <c r="I27" s="1444"/>
      <c r="J27" s="1443"/>
      <c r="K27" s="1444"/>
      <c r="L27" s="1443"/>
      <c r="M27" s="1444"/>
      <c r="N27" s="1445"/>
      <c r="O27" s="1446"/>
      <c r="P27" s="1447"/>
      <c r="Q27" s="709"/>
      <c r="R27" s="709"/>
      <c r="S27" s="1546"/>
      <c r="AB27" s="219"/>
      <c r="AC27" s="219"/>
      <c r="AD27" s="219"/>
      <c r="AE27" s="219"/>
      <c r="AF27" s="219"/>
      <c r="AG27" s="219"/>
      <c r="AH27" s="219"/>
      <c r="AI27" s="219"/>
      <c r="AJ27" s="219"/>
      <c r="AK27" s="219"/>
      <c r="AL27" s="219"/>
      <c r="AM27" s="219"/>
      <c r="AN27" s="219"/>
      <c r="AO27" s="219"/>
      <c r="AP27" s="219"/>
      <c r="AQ27" s="219"/>
      <c r="AR27" s="219"/>
      <c r="AS27" s="219"/>
      <c r="AT27" s="219"/>
      <c r="AU27" s="219"/>
      <c r="AV27" s="219"/>
      <c r="AW27" s="219"/>
      <c r="AX27" s="219"/>
      <c r="AY27" s="219"/>
      <c r="AZ27" s="219"/>
      <c r="BA27" s="219"/>
      <c r="BB27" s="219"/>
      <c r="BC27" s="219"/>
      <c r="CW27" s="1054" t="s">
        <v>236</v>
      </c>
      <c r="CX27" s="1048" t="s">
        <v>365</v>
      </c>
    </row>
    <row r="28" spans="2:132" ht="15" thickBot="1" x14ac:dyDescent="0.25">
      <c r="B28" s="742"/>
      <c r="C28" s="743"/>
      <c r="D28" s="734"/>
      <c r="E28" s="736"/>
      <c r="F28" s="734"/>
      <c r="G28" s="736"/>
      <c r="H28" s="734"/>
      <c r="I28" s="736"/>
      <c r="J28" s="734"/>
      <c r="K28" s="736"/>
      <c r="L28" s="734"/>
      <c r="M28" s="736"/>
      <c r="N28" s="744"/>
      <c r="O28" s="143"/>
      <c r="P28" s="745"/>
      <c r="Q28" s="709"/>
      <c r="R28" s="709"/>
      <c r="S28" s="746"/>
      <c r="AB28" s="219"/>
      <c r="AC28" s="219"/>
      <c r="AD28" s="219"/>
      <c r="AE28" s="219"/>
      <c r="AF28" s="219"/>
      <c r="AG28" s="219"/>
      <c r="AH28" s="219"/>
      <c r="AI28" s="219"/>
      <c r="AJ28" s="219"/>
      <c r="AK28" s="219"/>
      <c r="AL28" s="219"/>
      <c r="AM28" s="219"/>
      <c r="AN28" s="219"/>
      <c r="AO28" s="219"/>
      <c r="AP28" s="219"/>
      <c r="AQ28" s="219"/>
      <c r="AR28" s="219"/>
      <c r="AS28" s="219"/>
      <c r="AT28" s="219"/>
      <c r="AU28" s="219"/>
      <c r="AV28" s="219"/>
      <c r="AW28" s="219"/>
      <c r="AX28" s="219"/>
      <c r="AY28" s="219"/>
      <c r="AZ28" s="219"/>
      <c r="BA28" s="219"/>
      <c r="BB28" s="219"/>
      <c r="BC28" s="219"/>
    </row>
    <row r="29" spans="2:132" ht="15" thickTop="1" x14ac:dyDescent="0.2">
      <c r="B29" s="747"/>
      <c r="C29" s="748" t="str">
        <f t="shared" si="0"/>
        <v>Eigenkaptial und -leistung</v>
      </c>
      <c r="D29" s="749">
        <f>D10+D12</f>
        <v>0</v>
      </c>
      <c r="E29" s="1138"/>
      <c r="F29" s="749">
        <f>F10+F12</f>
        <v>0</v>
      </c>
      <c r="G29" s="1138"/>
      <c r="H29" s="749">
        <f>H10+H12</f>
        <v>0</v>
      </c>
      <c r="I29" s="1138"/>
      <c r="J29" s="749">
        <f>J10+J12</f>
        <v>0</v>
      </c>
      <c r="K29" s="1138"/>
      <c r="L29" s="749">
        <f>L10+L12</f>
        <v>0</v>
      </c>
      <c r="M29" s="1138"/>
      <c r="N29" s="1141"/>
      <c r="O29" s="1142"/>
      <c r="P29" s="1138"/>
      <c r="Q29" s="709"/>
      <c r="R29" s="709"/>
      <c r="AB29" s="219"/>
      <c r="AC29" s="219"/>
      <c r="AD29" s="219"/>
      <c r="AE29" s="219"/>
      <c r="AF29" s="219"/>
      <c r="AG29" s="219"/>
      <c r="AH29" s="219"/>
      <c r="AI29" s="219"/>
      <c r="AJ29" s="219"/>
      <c r="AK29" s="219"/>
      <c r="AL29" s="219"/>
      <c r="AM29" s="219"/>
      <c r="AN29" s="219"/>
      <c r="AO29" s="219"/>
      <c r="AP29" s="219"/>
      <c r="AQ29" s="219"/>
      <c r="AR29" s="219"/>
      <c r="AS29" s="219"/>
      <c r="AT29" s="219"/>
      <c r="AU29" s="219"/>
      <c r="AV29" s="219"/>
      <c r="AW29" s="219"/>
      <c r="AX29" s="219"/>
      <c r="AY29" s="219"/>
      <c r="AZ29" s="219"/>
      <c r="BA29" s="219"/>
      <c r="BB29" s="219"/>
      <c r="BC29" s="219"/>
      <c r="CW29" s="977" t="s">
        <v>88</v>
      </c>
      <c r="CX29" s="283" t="s">
        <v>682</v>
      </c>
    </row>
    <row r="30" spans="2:132" ht="15" thickBot="1" x14ac:dyDescent="0.25">
      <c r="B30" s="750"/>
      <c r="C30" s="751" t="str">
        <f t="shared" si="0"/>
        <v>Fremdfinanzierung</v>
      </c>
      <c r="D30" s="752">
        <f>SUM(D14:D27)</f>
        <v>0</v>
      </c>
      <c r="E30" s="1139"/>
      <c r="F30" s="752">
        <f>SUM(F14:F27)</f>
        <v>0</v>
      </c>
      <c r="G30" s="1139"/>
      <c r="H30" s="752">
        <f>SUM(H14:H27)</f>
        <v>0</v>
      </c>
      <c r="I30" s="1139"/>
      <c r="J30" s="752">
        <f>SUM(J14:J27)</f>
        <v>0</v>
      </c>
      <c r="K30" s="1139"/>
      <c r="L30" s="752">
        <f>SUM(L14:L27)</f>
        <v>0</v>
      </c>
      <c r="M30" s="1139"/>
      <c r="N30" s="1143"/>
      <c r="O30" s="1144"/>
      <c r="P30" s="1139"/>
      <c r="Q30" s="709"/>
      <c r="R30" s="709"/>
      <c r="AB30" s="219"/>
      <c r="AC30" s="219"/>
      <c r="AD30" s="219"/>
      <c r="AE30" s="219"/>
      <c r="AF30" s="219"/>
      <c r="AG30" s="219"/>
      <c r="AH30" s="219"/>
      <c r="AI30" s="219"/>
      <c r="AJ30" s="219"/>
      <c r="AK30" s="219"/>
      <c r="AL30" s="219"/>
      <c r="AM30" s="219"/>
      <c r="AN30" s="219"/>
      <c r="AO30" s="219"/>
      <c r="AP30" s="219"/>
      <c r="AQ30" s="219"/>
      <c r="AR30" s="219"/>
      <c r="AS30" s="219"/>
      <c r="AT30" s="219"/>
      <c r="AU30" s="219"/>
      <c r="AV30" s="219"/>
      <c r="AW30" s="219"/>
      <c r="AX30" s="219"/>
      <c r="AY30" s="219"/>
      <c r="AZ30" s="219"/>
      <c r="BA30" s="219"/>
      <c r="BB30" s="219"/>
      <c r="BC30" s="219"/>
      <c r="CW30" s="977" t="s">
        <v>89</v>
      </c>
      <c r="CX30" s="1048" t="s">
        <v>366</v>
      </c>
    </row>
    <row r="31" spans="2:132" ht="15.75" thickTop="1" thickBot="1" x14ac:dyDescent="0.25">
      <c r="B31" s="753"/>
      <c r="C31" s="754" t="str">
        <f t="shared" si="0"/>
        <v>Summe</v>
      </c>
      <c r="D31" s="755">
        <f>SUM(D29:D30)</f>
        <v>0</v>
      </c>
      <c r="E31" s="1140"/>
      <c r="F31" s="755">
        <f>SUM(F29:F30)</f>
        <v>0</v>
      </c>
      <c r="G31" s="1140"/>
      <c r="H31" s="755">
        <f>SUM(H29:H30)</f>
        <v>0</v>
      </c>
      <c r="I31" s="1140"/>
      <c r="J31" s="755">
        <f>SUM(J29:J30)</f>
        <v>0</v>
      </c>
      <c r="K31" s="1140"/>
      <c r="L31" s="755">
        <f>SUM(L29:L30)</f>
        <v>0</v>
      </c>
      <c r="M31" s="1140"/>
      <c r="N31" s="1145"/>
      <c r="O31" s="1146"/>
      <c r="P31" s="1140"/>
      <c r="Q31" s="709"/>
      <c r="R31" s="709"/>
      <c r="S31" s="756"/>
      <c r="T31" s="219"/>
      <c r="U31" s="219"/>
      <c r="V31" s="219"/>
      <c r="W31" s="219"/>
      <c r="X31" s="219"/>
      <c r="Y31" s="219"/>
      <c r="AB31" s="219"/>
      <c r="AC31" s="219"/>
      <c r="AD31" s="219"/>
      <c r="AE31" s="219"/>
      <c r="AF31" s="219"/>
      <c r="AG31" s="219"/>
      <c r="AH31" s="219"/>
      <c r="AI31" s="219"/>
      <c r="AJ31" s="219"/>
      <c r="AK31" s="219"/>
      <c r="AL31" s="219"/>
      <c r="AM31" s="219"/>
      <c r="AN31" s="219"/>
      <c r="AO31" s="219"/>
      <c r="AP31" s="219"/>
      <c r="AQ31" s="219"/>
      <c r="AR31" s="219"/>
      <c r="AS31" s="219"/>
      <c r="AT31" s="219"/>
      <c r="AU31" s="219"/>
      <c r="AV31" s="219"/>
      <c r="AW31" s="219"/>
      <c r="AX31" s="219"/>
      <c r="AY31" s="219"/>
      <c r="AZ31" s="219"/>
      <c r="BA31" s="219"/>
      <c r="BB31" s="219"/>
      <c r="BC31" s="219"/>
      <c r="BD31" s="219"/>
      <c r="BE31" s="219"/>
      <c r="BF31" s="219"/>
      <c r="BG31" s="219"/>
      <c r="BH31" s="219"/>
      <c r="BI31" s="219"/>
      <c r="BJ31" s="219"/>
      <c r="BK31" s="219"/>
      <c r="BL31" s="222"/>
      <c r="BM31" s="222"/>
      <c r="BN31" s="222"/>
      <c r="BO31" s="222"/>
      <c r="BP31" s="222"/>
      <c r="BQ31" s="222"/>
      <c r="BR31" s="222"/>
      <c r="BS31" s="222"/>
      <c r="BT31" s="222"/>
      <c r="BU31" s="222"/>
      <c r="BV31" s="222"/>
      <c r="BW31" s="222"/>
      <c r="BX31" s="222"/>
      <c r="BY31" s="222"/>
      <c r="BZ31" s="222"/>
      <c r="CA31" s="222"/>
      <c r="CB31" s="222"/>
      <c r="CC31" s="222"/>
      <c r="CD31" s="222"/>
      <c r="CE31" s="222"/>
      <c r="CF31" s="222"/>
      <c r="CG31" s="222"/>
      <c r="CH31" s="222"/>
      <c r="CI31" s="222"/>
      <c r="CJ31" s="222"/>
      <c r="CK31" s="222"/>
      <c r="CL31" s="222"/>
      <c r="CM31" s="222"/>
      <c r="CN31" s="222"/>
      <c r="CO31" s="222"/>
      <c r="CP31" s="222"/>
      <c r="CQ31" s="222"/>
      <c r="CR31" s="222"/>
      <c r="CS31" s="222"/>
      <c r="CT31" s="222"/>
      <c r="CU31" s="222"/>
      <c r="CV31" s="222"/>
      <c r="CW31" s="517" t="s">
        <v>42</v>
      </c>
      <c r="CX31" s="222" t="s">
        <v>262</v>
      </c>
      <c r="CY31" s="222"/>
      <c r="CZ31" s="222"/>
      <c r="DA31" s="222"/>
      <c r="DB31" s="222"/>
      <c r="DC31" s="222"/>
      <c r="DD31" s="222"/>
      <c r="DE31" s="222"/>
      <c r="DF31" s="222"/>
      <c r="DG31" s="222"/>
      <c r="DH31" s="222"/>
      <c r="DI31" s="222"/>
      <c r="DJ31" s="222"/>
      <c r="DK31" s="222"/>
      <c r="DL31" s="222"/>
      <c r="DM31" s="222"/>
      <c r="DN31" s="222"/>
      <c r="DO31" s="222"/>
      <c r="DP31" s="222"/>
      <c r="DQ31" s="222"/>
      <c r="DR31" s="222"/>
      <c r="DS31" s="222"/>
      <c r="DT31" s="222"/>
      <c r="DU31" s="222"/>
      <c r="DV31" s="222"/>
      <c r="DW31" s="222"/>
      <c r="DX31" s="222"/>
      <c r="DY31" s="222"/>
      <c r="DZ31" s="222"/>
      <c r="EA31" s="222"/>
    </row>
    <row r="32" spans="2:132" s="219" customFormat="1" x14ac:dyDescent="0.2">
      <c r="D32" s="251"/>
      <c r="E32" s="251"/>
      <c r="F32" s="251"/>
      <c r="G32" s="251"/>
      <c r="H32" s="251"/>
      <c r="I32" s="757"/>
      <c r="J32" s="251"/>
      <c r="K32" s="251"/>
      <c r="L32" s="251"/>
      <c r="M32" s="251"/>
      <c r="N32" s="253"/>
      <c r="O32" s="251"/>
      <c r="P32" s="251"/>
      <c r="Q32" s="709"/>
      <c r="R32" s="709"/>
      <c r="S32" s="708"/>
      <c r="T32" s="251"/>
      <c r="U32" s="251"/>
      <c r="V32" s="251"/>
      <c r="W32" s="251"/>
      <c r="X32" s="251"/>
      <c r="Y32" s="255"/>
      <c r="BD32" s="258"/>
      <c r="BE32" s="258"/>
      <c r="BF32" s="258"/>
      <c r="BG32" s="258"/>
      <c r="BH32" s="258"/>
      <c r="BI32" s="258"/>
      <c r="BJ32" s="258"/>
      <c r="BK32" s="258"/>
      <c r="BL32" s="258"/>
      <c r="BM32" s="258"/>
      <c r="BN32" s="258"/>
      <c r="BO32" s="258"/>
      <c r="BP32" s="258"/>
      <c r="BQ32" s="258"/>
      <c r="BR32" s="258"/>
      <c r="BS32" s="258"/>
      <c r="BT32" s="258"/>
      <c r="BU32" s="257"/>
      <c r="BV32" s="258"/>
      <c r="BW32" s="258"/>
      <c r="BX32" s="258"/>
      <c r="BY32" s="258"/>
      <c r="BZ32" s="446"/>
      <c r="CA32" s="446"/>
      <c r="CB32" s="446"/>
      <c r="CC32" s="446"/>
      <c r="CD32" s="446"/>
      <c r="CE32" s="446"/>
      <c r="CF32" s="446"/>
      <c r="CG32" s="446"/>
      <c r="CH32" s="446"/>
      <c r="CI32" s="446"/>
      <c r="CJ32" s="446"/>
      <c r="CK32" s="446"/>
      <c r="CL32" s="446"/>
      <c r="CM32" s="446"/>
      <c r="CN32" s="446"/>
      <c r="CO32" s="446"/>
      <c r="CP32" s="446"/>
      <c r="CQ32" s="446"/>
      <c r="CR32" s="446"/>
      <c r="CS32" s="446"/>
      <c r="CT32" s="446"/>
      <c r="CU32" s="446"/>
      <c r="CV32" s="446"/>
      <c r="CW32" s="233"/>
      <c r="CX32" s="446"/>
      <c r="CY32" s="446"/>
      <c r="CZ32" s="446"/>
      <c r="DA32" s="446"/>
      <c r="DB32" s="446"/>
      <c r="DC32" s="446"/>
      <c r="DD32" s="446"/>
      <c r="DE32" s="446"/>
      <c r="DF32" s="446"/>
      <c r="DG32" s="446"/>
      <c r="DH32" s="446"/>
      <c r="DI32" s="446"/>
      <c r="DJ32" s="446"/>
      <c r="DK32" s="446"/>
      <c r="DL32" s="446"/>
      <c r="DM32" s="446"/>
      <c r="DN32" s="446"/>
      <c r="DO32" s="446"/>
      <c r="DP32" s="258"/>
      <c r="DQ32" s="258"/>
      <c r="DR32" s="258"/>
      <c r="DS32" s="258"/>
      <c r="DT32" s="258"/>
      <c r="DU32" s="258"/>
      <c r="DV32" s="258"/>
      <c r="DW32" s="258"/>
      <c r="DX32" s="258"/>
      <c r="DY32" s="258"/>
      <c r="DZ32" s="282"/>
      <c r="EA32" s="229"/>
      <c r="EB32" s="229"/>
    </row>
    <row r="33" spans="1:132" s="219" customFormat="1" x14ac:dyDescent="0.2">
      <c r="D33" s="251"/>
      <c r="E33" s="251"/>
      <c r="F33" s="251"/>
      <c r="G33" s="251"/>
      <c r="H33" s="251"/>
      <c r="I33" s="757"/>
      <c r="J33" s="251"/>
      <c r="K33" s="251"/>
      <c r="L33" s="251"/>
      <c r="M33" s="251"/>
      <c r="N33" s="253"/>
      <c r="O33" s="251"/>
      <c r="P33" s="251"/>
      <c r="Q33" s="709"/>
      <c r="R33" s="709"/>
      <c r="S33" s="708"/>
      <c r="T33" s="251"/>
      <c r="U33" s="251"/>
      <c r="V33" s="251"/>
      <c r="W33" s="251"/>
      <c r="X33" s="251"/>
      <c r="Y33" s="255"/>
      <c r="BD33" s="258"/>
      <c r="BE33" s="258"/>
      <c r="BF33" s="258"/>
      <c r="BG33" s="258"/>
      <c r="BH33" s="258"/>
      <c r="BI33" s="258"/>
      <c r="BJ33" s="258"/>
      <c r="BK33" s="258"/>
      <c r="BL33" s="258"/>
      <c r="BM33" s="258"/>
      <c r="BN33" s="258"/>
      <c r="BO33" s="258"/>
      <c r="BP33" s="258"/>
      <c r="BQ33" s="258"/>
      <c r="BR33" s="258"/>
      <c r="BS33" s="258"/>
      <c r="BT33" s="258"/>
      <c r="BU33" s="257"/>
      <c r="BV33" s="258"/>
      <c r="BW33" s="258"/>
      <c r="BX33" s="258"/>
      <c r="BY33" s="258"/>
      <c r="BZ33" s="446"/>
      <c r="CA33" s="446"/>
      <c r="CB33" s="446"/>
      <c r="CC33" s="446"/>
      <c r="CD33" s="446"/>
      <c r="CE33" s="446"/>
      <c r="CF33" s="446"/>
      <c r="CG33" s="446"/>
      <c r="CH33" s="446"/>
      <c r="CI33" s="446"/>
      <c r="CJ33" s="446"/>
      <c r="CK33" s="446"/>
      <c r="CL33" s="446"/>
      <c r="CM33" s="446"/>
      <c r="CN33" s="446"/>
      <c r="CO33" s="446"/>
      <c r="CP33" s="446"/>
      <c r="CQ33" s="446"/>
      <c r="CR33" s="446"/>
      <c r="CS33" s="446"/>
      <c r="CT33" s="446"/>
      <c r="CU33" s="446"/>
      <c r="CV33" s="446"/>
      <c r="CW33" s="233"/>
      <c r="CX33" s="446"/>
      <c r="CY33" s="446"/>
      <c r="CZ33" s="446"/>
      <c r="DA33" s="446"/>
      <c r="DB33" s="446"/>
      <c r="DC33" s="446"/>
      <c r="DD33" s="446"/>
      <c r="DE33" s="446"/>
      <c r="DF33" s="446"/>
      <c r="DG33" s="446"/>
      <c r="DH33" s="446"/>
      <c r="DI33" s="446"/>
      <c r="DJ33" s="446"/>
      <c r="DK33" s="446"/>
      <c r="DL33" s="446"/>
      <c r="DM33" s="446"/>
      <c r="DN33" s="446"/>
      <c r="DO33" s="446"/>
      <c r="DP33" s="258"/>
      <c r="DQ33" s="258"/>
      <c r="DR33" s="258"/>
      <c r="DS33" s="258"/>
      <c r="DT33" s="258"/>
      <c r="DU33" s="258"/>
      <c r="DV33" s="258"/>
      <c r="DW33" s="258"/>
      <c r="DX33" s="258"/>
      <c r="DY33" s="258"/>
      <c r="DZ33" s="282"/>
      <c r="EA33" s="229"/>
      <c r="EB33" s="229"/>
    </row>
    <row r="34" spans="1:132" s="219" customFormat="1" ht="24.75" x14ac:dyDescent="0.3">
      <c r="B34" s="460" t="str">
        <f ca="1">IF($C$2="English",CX34,CW34)</f>
        <v>7b-1  Kapitaldienst für die Monate des Jahres 2017 in EUR0</v>
      </c>
      <c r="D34" s="251"/>
      <c r="E34" s="251"/>
      <c r="F34" s="251"/>
      <c r="G34" s="251"/>
      <c r="H34" s="251"/>
      <c r="I34" s="251"/>
      <c r="J34" s="251"/>
      <c r="K34" s="251"/>
      <c r="L34" s="251"/>
      <c r="M34" s="251"/>
      <c r="N34" s="253"/>
      <c r="O34" s="251"/>
      <c r="P34" s="251"/>
      <c r="Q34" s="709"/>
      <c r="R34" s="709"/>
      <c r="S34" s="708"/>
      <c r="T34" s="251"/>
      <c r="U34" s="251"/>
      <c r="V34" s="251"/>
      <c r="W34" s="251"/>
      <c r="X34" s="251"/>
      <c r="Y34" s="255"/>
      <c r="BD34" s="258"/>
      <c r="BE34" s="258"/>
      <c r="BF34" s="258"/>
      <c r="BG34" s="258"/>
      <c r="BH34" s="258"/>
      <c r="BI34" s="258"/>
      <c r="BJ34" s="258"/>
      <c r="BK34" s="258"/>
      <c r="BL34" s="258"/>
      <c r="BM34" s="258"/>
      <c r="BN34" s="258"/>
      <c r="BO34" s="258"/>
      <c r="BP34" s="258"/>
      <c r="BQ34" s="258"/>
      <c r="BR34" s="258"/>
      <c r="BS34" s="258"/>
      <c r="BT34" s="258"/>
      <c r="BU34" s="257"/>
      <c r="BV34" s="258"/>
      <c r="BW34" s="258"/>
      <c r="BX34" s="258"/>
      <c r="BY34" s="258"/>
      <c r="BZ34" s="446"/>
      <c r="CA34" s="446"/>
      <c r="CB34" s="446"/>
      <c r="CC34" s="446"/>
      <c r="CD34" s="446"/>
      <c r="CE34" s="446"/>
      <c r="CF34" s="446"/>
      <c r="CG34" s="446"/>
      <c r="CH34" s="446"/>
      <c r="CI34" s="446"/>
      <c r="CJ34" s="446"/>
      <c r="CK34" s="446"/>
      <c r="CL34" s="446"/>
      <c r="CM34" s="446"/>
      <c r="CN34" s="446"/>
      <c r="CO34" s="446"/>
      <c r="CP34" s="446"/>
      <c r="CQ34" s="446"/>
      <c r="CR34" s="446"/>
      <c r="CS34" s="446"/>
      <c r="CT34" s="446"/>
      <c r="CU34" s="446"/>
      <c r="CV34" s="446"/>
      <c r="CW34" s="470" t="str">
        <f ca="1">"7b-1  Kapitaldienst für die Monate des Jahres " &amp; $D$7 &amp; " in EUR0"</f>
        <v>7b-1  Kapitaldienst für die Monate des Jahres 2017 in EUR0</v>
      </c>
      <c r="CX34" s="1048" t="str">
        <f ca="1">"7b-1 Interest and repayment for the months of the year " &amp; $D$7 &amp; " in EUR0"</f>
        <v>7b-1 Interest and repayment for the months of the year 2017 in EUR0</v>
      </c>
      <c r="CY34" s="446"/>
      <c r="CZ34" s="446"/>
      <c r="DA34" s="446"/>
      <c r="DB34" s="446"/>
      <c r="DC34" s="446"/>
      <c r="DD34" s="446"/>
      <c r="DE34" s="446"/>
      <c r="DF34" s="446"/>
      <c r="DG34" s="446"/>
      <c r="DH34" s="446"/>
      <c r="DI34" s="446"/>
      <c r="DJ34" s="446"/>
      <c r="DK34" s="446"/>
      <c r="DL34" s="446"/>
      <c r="DM34" s="446"/>
      <c r="DN34" s="446"/>
      <c r="DO34" s="446"/>
      <c r="DP34" s="258"/>
      <c r="DQ34" s="258"/>
      <c r="DR34" s="258"/>
      <c r="DS34" s="258"/>
      <c r="DT34" s="258"/>
      <c r="DU34" s="258"/>
      <c r="DV34" s="258"/>
      <c r="DW34" s="258"/>
      <c r="DX34" s="258"/>
      <c r="DY34" s="258"/>
      <c r="DZ34" s="282"/>
      <c r="EA34" s="229"/>
      <c r="EB34" s="229"/>
    </row>
    <row r="35" spans="1:132" s="219" customFormat="1" ht="15" thickBot="1" x14ac:dyDescent="0.25">
      <c r="D35" s="421">
        <v>1</v>
      </c>
      <c r="E35" s="421">
        <v>2</v>
      </c>
      <c r="F35" s="421">
        <v>3</v>
      </c>
      <c r="G35" s="421">
        <v>4</v>
      </c>
      <c r="H35" s="421">
        <v>5</v>
      </c>
      <c r="I35" s="421">
        <v>6</v>
      </c>
      <c r="J35" s="421">
        <v>7</v>
      </c>
      <c r="K35" s="421">
        <v>8</v>
      </c>
      <c r="L35" s="421">
        <v>9</v>
      </c>
      <c r="M35" s="421">
        <v>10</v>
      </c>
      <c r="N35" s="421">
        <v>11</v>
      </c>
      <c r="O35" s="421">
        <v>12</v>
      </c>
      <c r="Q35" s="707"/>
      <c r="R35" s="707"/>
      <c r="S35" s="758"/>
      <c r="T35" s="707"/>
      <c r="U35" s="707"/>
      <c r="V35" s="707"/>
      <c r="W35" s="707"/>
      <c r="X35" s="707"/>
      <c r="Y35" s="707"/>
      <c r="Z35" s="707"/>
      <c r="AA35" s="707"/>
      <c r="AB35" s="707"/>
      <c r="AC35" s="707"/>
      <c r="AD35" s="707"/>
      <c r="BD35" s="258"/>
      <c r="BE35" s="258"/>
      <c r="BF35" s="258"/>
      <c r="BG35" s="258"/>
      <c r="BH35" s="258"/>
      <c r="BI35" s="258"/>
      <c r="BJ35" s="258"/>
      <c r="BK35" s="258"/>
      <c r="BL35" s="258"/>
      <c r="BM35" s="258"/>
      <c r="BN35" s="258"/>
      <c r="BO35" s="258"/>
      <c r="BP35" s="258"/>
      <c r="BQ35" s="258"/>
      <c r="BR35" s="258"/>
      <c r="BS35" s="258"/>
      <c r="BT35" s="258"/>
      <c r="BU35" s="257"/>
      <c r="BV35" s="258"/>
      <c r="BW35" s="258"/>
      <c r="BX35" s="258"/>
      <c r="BY35" s="258"/>
      <c r="BZ35" s="446"/>
      <c r="CA35" s="446"/>
      <c r="CB35" s="446"/>
      <c r="CC35" s="446"/>
      <c r="CD35" s="446"/>
      <c r="CE35" s="446"/>
      <c r="CF35" s="446"/>
      <c r="CG35" s="446"/>
      <c r="CH35" s="446"/>
      <c r="CI35" s="446"/>
      <c r="CJ35" s="446"/>
      <c r="CK35" s="446"/>
      <c r="CL35" s="446"/>
      <c r="CM35" s="446"/>
      <c r="CN35" s="446"/>
      <c r="CO35" s="446"/>
      <c r="CP35" s="446"/>
      <c r="CQ35" s="446"/>
      <c r="CR35" s="446"/>
      <c r="CS35" s="446"/>
      <c r="CT35" s="446"/>
      <c r="CU35" s="446"/>
      <c r="CV35" s="446"/>
      <c r="CW35" s="233"/>
      <c r="CX35" s="446"/>
      <c r="CY35" s="446"/>
      <c r="CZ35" s="446"/>
      <c r="DA35" s="446"/>
      <c r="DB35" s="446"/>
      <c r="DC35" s="446"/>
      <c r="DD35" s="446"/>
      <c r="DE35" s="446"/>
      <c r="DF35" s="446"/>
      <c r="DG35" s="446"/>
      <c r="DH35" s="446"/>
      <c r="DI35" s="446"/>
      <c r="DJ35" s="446"/>
      <c r="DK35" s="446"/>
      <c r="DL35" s="446"/>
      <c r="DM35" s="446"/>
      <c r="DN35" s="446"/>
      <c r="DO35" s="446"/>
      <c r="DP35" s="258"/>
      <c r="DQ35" s="258"/>
      <c r="DR35" s="258"/>
      <c r="DS35" s="258"/>
      <c r="DT35" s="258"/>
      <c r="DU35" s="258"/>
      <c r="DV35" s="258"/>
      <c r="DW35" s="258"/>
      <c r="DX35" s="258"/>
      <c r="DY35" s="258"/>
      <c r="DZ35" s="282"/>
      <c r="EA35" s="229"/>
      <c r="EB35" s="229"/>
    </row>
    <row r="36" spans="1:132" ht="15" thickBot="1" x14ac:dyDescent="0.25">
      <c r="B36" s="759" t="str">
        <f ca="1">IF($C$2="English",CX36,CW36)</f>
        <v>Monatsbeträge für  2017</v>
      </c>
      <c r="C36" s="759"/>
      <c r="D36" s="760" t="str">
        <f>IF($C$2="English",D40,D41)</f>
        <v>Januar</v>
      </c>
      <c r="E36" s="760" t="str">
        <f t="shared" ref="E36:O36" si="1">IF($C$2="English",E40,E41)</f>
        <v>Februar</v>
      </c>
      <c r="F36" s="760" t="str">
        <f t="shared" si="1"/>
        <v>März</v>
      </c>
      <c r="G36" s="760" t="str">
        <f t="shared" si="1"/>
        <v>April</v>
      </c>
      <c r="H36" s="760" t="str">
        <f t="shared" si="1"/>
        <v>Mai</v>
      </c>
      <c r="I36" s="760" t="str">
        <f t="shared" si="1"/>
        <v>Juni</v>
      </c>
      <c r="J36" s="760" t="str">
        <f t="shared" si="1"/>
        <v>Juli</v>
      </c>
      <c r="K36" s="760" t="str">
        <f t="shared" si="1"/>
        <v>August</v>
      </c>
      <c r="L36" s="760" t="str">
        <f t="shared" si="1"/>
        <v>September</v>
      </c>
      <c r="M36" s="760" t="str">
        <f t="shared" si="1"/>
        <v>Oktober</v>
      </c>
      <c r="N36" s="760" t="str">
        <f t="shared" si="1"/>
        <v>November</v>
      </c>
      <c r="O36" s="760" t="str">
        <f t="shared" si="1"/>
        <v>Dezember</v>
      </c>
      <c r="P36" s="760" t="str">
        <f ca="1">IF($C$2="English","Year "&amp;'1 Pers.Ausgaben|Pers Expenses'!$C$4,"Jahr "&amp;'1 Pers.Ausgaben|Pers Expenses'!$C$4)</f>
        <v>Jahr 2017</v>
      </c>
      <c r="S36" s="758"/>
      <c r="T36" s="707"/>
      <c r="U36" s="707"/>
      <c r="V36" s="707"/>
      <c r="W36" s="707"/>
      <c r="X36" s="707"/>
      <c r="Y36" s="707"/>
      <c r="Z36" s="707"/>
      <c r="AA36" s="707"/>
      <c r="AB36" s="707"/>
      <c r="AC36" s="707"/>
      <c r="AD36" s="707"/>
      <c r="AE36" s="219"/>
      <c r="AF36" s="219"/>
      <c r="AG36" s="219"/>
      <c r="AH36" s="219"/>
      <c r="AI36" s="219"/>
      <c r="AJ36" s="219"/>
      <c r="AK36" s="219"/>
      <c r="AL36" s="219"/>
      <c r="AM36" s="219"/>
      <c r="AN36" s="219"/>
      <c r="AO36" s="219"/>
      <c r="AP36" s="219"/>
      <c r="AQ36" s="219"/>
      <c r="AR36" s="219"/>
      <c r="AS36" s="219"/>
      <c r="AT36" s="219"/>
      <c r="AU36" s="219"/>
      <c r="AV36" s="219"/>
      <c r="AW36" s="219"/>
      <c r="AX36" s="219"/>
      <c r="AY36" s="219"/>
      <c r="AZ36" s="219"/>
      <c r="BA36" s="219"/>
      <c r="BB36" s="219"/>
      <c r="BC36" s="219"/>
      <c r="CW36" s="39" t="str">
        <f ca="1">"Monatsbeträge für  "&amp;'1 Pers.Ausgaben|Pers Expenses'!$C$4</f>
        <v>Monatsbeträge für  2017</v>
      </c>
      <c r="CX36" s="1048" t="str">
        <f ca="1">"Monthly sum for "&amp;'1 Pers.Ausgaben|Pers Expenses'!$C$4</f>
        <v>Monthly sum for 2017</v>
      </c>
    </row>
    <row r="37" spans="1:132" s="58" customFormat="1" x14ac:dyDescent="0.2">
      <c r="A37" s="219"/>
      <c r="B37" s="761" t="str">
        <f>IF($C$2="English",CX37,CW37)</f>
        <v>Zins Fremdkapital</v>
      </c>
      <c r="C37" s="761"/>
      <c r="D37" s="762">
        <f>F143</f>
        <v>0</v>
      </c>
      <c r="E37" s="168">
        <f>F144</f>
        <v>0</v>
      </c>
      <c r="F37" s="168">
        <f>F145</f>
        <v>0</v>
      </c>
      <c r="G37" s="168">
        <f>F146</f>
        <v>0</v>
      </c>
      <c r="H37" s="168">
        <f>F147</f>
        <v>0</v>
      </c>
      <c r="I37" s="168">
        <f>F148</f>
        <v>0</v>
      </c>
      <c r="J37" s="168">
        <f>F149</f>
        <v>0</v>
      </c>
      <c r="K37" s="168">
        <f>F150</f>
        <v>0</v>
      </c>
      <c r="L37" s="168">
        <f>F151</f>
        <v>0</v>
      </c>
      <c r="M37" s="168">
        <f>F152</f>
        <v>0</v>
      </c>
      <c r="N37" s="168">
        <f>F153</f>
        <v>0</v>
      </c>
      <c r="O37" s="366">
        <f>F154</f>
        <v>0</v>
      </c>
      <c r="P37" s="366">
        <f>SUM(D37:O37)</f>
        <v>0</v>
      </c>
      <c r="Q37" s="707"/>
      <c r="R37" s="707"/>
      <c r="S37" s="758"/>
      <c r="T37" s="707"/>
      <c r="U37" s="707"/>
      <c r="V37" s="707"/>
      <c r="W37" s="707"/>
      <c r="X37" s="707"/>
      <c r="Y37" s="707"/>
      <c r="Z37" s="707"/>
      <c r="AA37" s="707"/>
      <c r="AB37" s="707"/>
      <c r="AC37" s="707"/>
      <c r="AD37" s="707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55"/>
      <c r="BC37" s="55"/>
      <c r="BD37" s="629"/>
      <c r="BE37" s="629"/>
      <c r="BF37" s="629"/>
      <c r="BG37" s="629"/>
      <c r="BH37" s="629"/>
      <c r="BI37" s="629"/>
      <c r="BJ37" s="629"/>
      <c r="BK37" s="629"/>
      <c r="BL37" s="492"/>
      <c r="BM37" s="492"/>
      <c r="BN37" s="492"/>
      <c r="BO37" s="492"/>
      <c r="BP37" s="492"/>
      <c r="BQ37" s="492"/>
      <c r="BR37" s="492"/>
      <c r="BS37" s="492"/>
      <c r="BT37" s="492"/>
      <c r="BU37" s="763"/>
      <c r="BV37" s="492"/>
      <c r="BW37" s="492"/>
      <c r="BX37" s="492"/>
      <c r="BY37" s="492"/>
      <c r="BZ37" s="492"/>
      <c r="CA37" s="492"/>
      <c r="CB37" s="492"/>
      <c r="CC37" s="492"/>
      <c r="CD37" s="492"/>
      <c r="CE37" s="492"/>
      <c r="CF37" s="492"/>
      <c r="CG37" s="492"/>
      <c r="CH37" s="492"/>
      <c r="CI37" s="492"/>
      <c r="CJ37" s="492"/>
      <c r="CK37" s="492"/>
      <c r="CL37" s="492"/>
      <c r="CM37" s="492"/>
      <c r="CN37" s="492"/>
      <c r="CO37" s="492"/>
      <c r="CP37" s="492"/>
      <c r="CQ37" s="492"/>
      <c r="CR37" s="492"/>
      <c r="CS37" s="492"/>
      <c r="CT37" s="492"/>
      <c r="CU37" s="492"/>
      <c r="CV37" s="492"/>
      <c r="CW37" s="233" t="s">
        <v>97</v>
      </c>
      <c r="CX37" s="1048" t="s">
        <v>367</v>
      </c>
      <c r="CY37" s="492"/>
      <c r="CZ37" s="492"/>
      <c r="DA37" s="492"/>
      <c r="DB37" s="492"/>
      <c r="DC37" s="492"/>
      <c r="DD37" s="492"/>
      <c r="DE37" s="492"/>
      <c r="DF37" s="492"/>
      <c r="DG37" s="492"/>
      <c r="DH37" s="492"/>
      <c r="DI37" s="492"/>
      <c r="DJ37" s="492"/>
      <c r="DK37" s="492"/>
      <c r="DL37" s="492"/>
      <c r="DM37" s="492"/>
      <c r="DN37" s="492"/>
      <c r="DO37" s="492"/>
      <c r="DP37" s="492"/>
      <c r="DQ37" s="492"/>
      <c r="DR37" s="492"/>
      <c r="DS37" s="492"/>
      <c r="DT37" s="492"/>
      <c r="DU37" s="492"/>
      <c r="DV37" s="492"/>
      <c r="DW37" s="492"/>
      <c r="DX37" s="492"/>
      <c r="DY37" s="492"/>
      <c r="DZ37" s="764"/>
      <c r="EA37" s="39"/>
      <c r="EB37" s="39"/>
    </row>
    <row r="38" spans="1:132" ht="15" thickBot="1" x14ac:dyDescent="0.25">
      <c r="A38" s="55"/>
      <c r="B38" s="761" t="str">
        <f>IF($C$2="English",CX38,CW38)</f>
        <v>Tilgung Fremdkapital</v>
      </c>
      <c r="C38" s="761"/>
      <c r="D38" s="762">
        <f>E143</f>
        <v>0</v>
      </c>
      <c r="E38" s="168">
        <f>E144</f>
        <v>0</v>
      </c>
      <c r="F38" s="168">
        <f>E145</f>
        <v>0</v>
      </c>
      <c r="G38" s="168">
        <f>E146</f>
        <v>0</v>
      </c>
      <c r="H38" s="168">
        <f>E147</f>
        <v>0</v>
      </c>
      <c r="I38" s="168">
        <f>E148</f>
        <v>0</v>
      </c>
      <c r="J38" s="168">
        <f>E149</f>
        <v>0</v>
      </c>
      <c r="K38" s="168">
        <f>E150</f>
        <v>0</v>
      </c>
      <c r="L38" s="168">
        <f>E151</f>
        <v>0</v>
      </c>
      <c r="M38" s="168">
        <f>E152</f>
        <v>0</v>
      </c>
      <c r="N38" s="168">
        <f>E153</f>
        <v>0</v>
      </c>
      <c r="O38" s="366">
        <f>E154</f>
        <v>0</v>
      </c>
      <c r="P38" s="366">
        <f>SUM(D38:O38)</f>
        <v>0</v>
      </c>
      <c r="S38" s="758"/>
      <c r="T38" s="707"/>
      <c r="U38" s="707"/>
      <c r="V38" s="707"/>
      <c r="W38" s="707"/>
      <c r="X38" s="707"/>
      <c r="Y38" s="707"/>
      <c r="Z38" s="707"/>
      <c r="AA38" s="707"/>
      <c r="AB38" s="707"/>
      <c r="AC38" s="707"/>
      <c r="AD38" s="707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CW38" s="233" t="s">
        <v>98</v>
      </c>
      <c r="CX38" s="283" t="s">
        <v>683</v>
      </c>
    </row>
    <row r="39" spans="1:132" ht="15.75" thickTop="1" thickBot="1" x14ac:dyDescent="0.25">
      <c r="B39" s="1656" t="str">
        <f>IF($C$2="English",CX39,CW39)</f>
        <v>Belastung gesamt</v>
      </c>
      <c r="C39" s="1657"/>
      <c r="D39" s="765">
        <f>D38+D37</f>
        <v>0</v>
      </c>
      <c r="E39" s="375">
        <f t="shared" ref="E39:O39" si="2">E38+E37</f>
        <v>0</v>
      </c>
      <c r="F39" s="375">
        <f t="shared" si="2"/>
        <v>0</v>
      </c>
      <c r="G39" s="375">
        <f t="shared" si="2"/>
        <v>0</v>
      </c>
      <c r="H39" s="375">
        <f t="shared" si="2"/>
        <v>0</v>
      </c>
      <c r="I39" s="375">
        <f t="shared" si="2"/>
        <v>0</v>
      </c>
      <c r="J39" s="375">
        <f t="shared" si="2"/>
        <v>0</v>
      </c>
      <c r="K39" s="375">
        <f t="shared" si="2"/>
        <v>0</v>
      </c>
      <c r="L39" s="375">
        <f t="shared" si="2"/>
        <v>0</v>
      </c>
      <c r="M39" s="375">
        <f t="shared" si="2"/>
        <v>0</v>
      </c>
      <c r="N39" s="375">
        <f t="shared" si="2"/>
        <v>0</v>
      </c>
      <c r="O39" s="376">
        <f t="shared" si="2"/>
        <v>0</v>
      </c>
      <c r="P39" s="376">
        <f>SUM(D39:O39)</f>
        <v>0</v>
      </c>
      <c r="S39" s="758"/>
      <c r="T39" s="707"/>
      <c r="U39" s="707"/>
      <c r="V39" s="707"/>
      <c r="W39" s="707"/>
      <c r="X39" s="707"/>
      <c r="Y39" s="707"/>
      <c r="Z39" s="707"/>
      <c r="AA39" s="707"/>
      <c r="AB39" s="707"/>
      <c r="AC39" s="707"/>
      <c r="AD39" s="707"/>
      <c r="AE39" s="219"/>
      <c r="AF39" s="219"/>
      <c r="AG39" s="219"/>
      <c r="AH39" s="219"/>
      <c r="AI39" s="219"/>
      <c r="AJ39" s="219"/>
      <c r="AK39" s="219"/>
      <c r="AL39" s="219"/>
      <c r="AM39" s="219"/>
      <c r="AN39" s="219"/>
      <c r="AO39" s="219"/>
      <c r="AP39" s="219"/>
      <c r="AQ39" s="219"/>
      <c r="AR39" s="219"/>
      <c r="AS39" s="219"/>
      <c r="AT39" s="219"/>
      <c r="AU39" s="219"/>
      <c r="AV39" s="219"/>
      <c r="AW39" s="219"/>
      <c r="AX39" s="219"/>
      <c r="AY39" s="219"/>
      <c r="AZ39" s="219"/>
      <c r="BA39" s="219"/>
      <c r="BB39" s="219"/>
      <c r="BC39" s="219"/>
      <c r="CW39" s="470" t="s">
        <v>99</v>
      </c>
      <c r="CX39" s="1048" t="s">
        <v>684</v>
      </c>
    </row>
    <row r="40" spans="1:132" s="219" customFormat="1" x14ac:dyDescent="0.2">
      <c r="D40" s="220" t="s">
        <v>376</v>
      </c>
      <c r="E40" s="220" t="s">
        <v>377</v>
      </c>
      <c r="F40" s="220" t="s">
        <v>378</v>
      </c>
      <c r="G40" s="220" t="s">
        <v>4</v>
      </c>
      <c r="H40" s="220" t="s">
        <v>303</v>
      </c>
      <c r="I40" s="220" t="s">
        <v>304</v>
      </c>
      <c r="J40" s="220" t="s">
        <v>305</v>
      </c>
      <c r="K40" s="220" t="s">
        <v>84</v>
      </c>
      <c r="L40" s="220" t="s">
        <v>93</v>
      </c>
      <c r="M40" s="220" t="s">
        <v>379</v>
      </c>
      <c r="N40" s="220" t="s">
        <v>95</v>
      </c>
      <c r="O40" s="220" t="s">
        <v>380</v>
      </c>
      <c r="P40" s="220"/>
      <c r="Q40" s="707"/>
      <c r="R40" s="707"/>
      <c r="S40" s="756"/>
      <c r="BD40" s="258"/>
      <c r="BE40" s="258"/>
      <c r="BF40" s="258"/>
      <c r="BG40" s="258"/>
      <c r="BH40" s="258"/>
      <c r="BI40" s="258"/>
      <c r="BJ40" s="258"/>
      <c r="BK40" s="258"/>
      <c r="BL40" s="258"/>
      <c r="BM40" s="258"/>
      <c r="BN40" s="258"/>
      <c r="BO40" s="258"/>
      <c r="BP40" s="258"/>
      <c r="BQ40" s="258"/>
      <c r="BR40" s="258"/>
      <c r="BS40" s="258"/>
      <c r="BT40" s="258"/>
      <c r="BU40" s="257"/>
      <c r="BV40" s="258"/>
      <c r="BW40" s="258"/>
      <c r="BX40" s="258"/>
      <c r="BY40" s="258"/>
      <c r="BZ40" s="446"/>
      <c r="CA40" s="446"/>
      <c r="CB40" s="446"/>
      <c r="CC40" s="446"/>
      <c r="CD40" s="446"/>
      <c r="CE40" s="446"/>
      <c r="CF40" s="446"/>
      <c r="CG40" s="446"/>
      <c r="CH40" s="446"/>
      <c r="CI40" s="446"/>
      <c r="CJ40" s="446"/>
      <c r="CK40" s="446"/>
      <c r="CL40" s="446"/>
      <c r="CM40" s="446"/>
      <c r="CN40" s="446"/>
      <c r="CO40" s="446"/>
      <c r="CP40" s="446"/>
      <c r="CQ40" s="446"/>
      <c r="CR40" s="446"/>
      <c r="CS40" s="446"/>
      <c r="CT40" s="446"/>
      <c r="CU40" s="446"/>
      <c r="CV40" s="446"/>
      <c r="CW40" s="233"/>
      <c r="CX40" s="446"/>
      <c r="CY40" s="446"/>
      <c r="CZ40" s="446"/>
      <c r="DA40" s="446"/>
      <c r="DB40" s="446"/>
      <c r="DC40" s="446"/>
      <c r="DD40" s="446"/>
      <c r="DE40" s="446"/>
      <c r="DF40" s="446"/>
      <c r="DG40" s="446"/>
      <c r="DH40" s="446"/>
      <c r="DI40" s="446"/>
      <c r="DJ40" s="446"/>
      <c r="DK40" s="446"/>
      <c r="DL40" s="446"/>
      <c r="DM40" s="446"/>
      <c r="DN40" s="446"/>
      <c r="DO40" s="446"/>
      <c r="DP40" s="258"/>
      <c r="DQ40" s="258"/>
      <c r="DR40" s="258"/>
      <c r="DS40" s="258"/>
      <c r="DT40" s="258"/>
      <c r="DU40" s="258"/>
      <c r="DV40" s="258"/>
      <c r="DW40" s="258"/>
      <c r="DX40" s="258"/>
      <c r="DY40" s="258"/>
      <c r="DZ40" s="282"/>
      <c r="EA40" s="229"/>
      <c r="EB40" s="229"/>
    </row>
    <row r="41" spans="1:132" s="219" customFormat="1" x14ac:dyDescent="0.2">
      <c r="D41" s="220" t="s">
        <v>91</v>
      </c>
      <c r="E41" s="220" t="s">
        <v>92</v>
      </c>
      <c r="F41" s="220" t="s">
        <v>3</v>
      </c>
      <c r="G41" s="220" t="s">
        <v>4</v>
      </c>
      <c r="H41" s="220" t="s">
        <v>5</v>
      </c>
      <c r="I41" s="220" t="s">
        <v>6</v>
      </c>
      <c r="J41" s="220" t="s">
        <v>7</v>
      </c>
      <c r="K41" s="220" t="s">
        <v>84</v>
      </c>
      <c r="L41" s="220" t="s">
        <v>93</v>
      </c>
      <c r="M41" s="220" t="s">
        <v>94</v>
      </c>
      <c r="N41" s="220" t="s">
        <v>95</v>
      </c>
      <c r="O41" s="220" t="s">
        <v>96</v>
      </c>
      <c r="P41" s="220"/>
      <c r="Q41" s="707"/>
      <c r="R41" s="707"/>
      <c r="S41" s="756"/>
      <c r="BD41" s="258"/>
      <c r="BE41" s="258"/>
      <c r="BF41" s="258"/>
      <c r="BG41" s="258"/>
      <c r="BH41" s="258"/>
      <c r="BI41" s="258"/>
      <c r="BJ41" s="258"/>
      <c r="BK41" s="258"/>
      <c r="BL41" s="258"/>
      <c r="BM41" s="258"/>
      <c r="BN41" s="258"/>
      <c r="BO41" s="258"/>
      <c r="BP41" s="258"/>
      <c r="BQ41" s="258"/>
      <c r="BR41" s="258"/>
      <c r="BS41" s="258"/>
      <c r="BT41" s="258"/>
      <c r="BU41" s="257"/>
      <c r="BV41" s="258"/>
      <c r="BW41" s="258"/>
      <c r="BX41" s="258"/>
      <c r="BY41" s="258"/>
      <c r="BZ41" s="446"/>
      <c r="CA41" s="446"/>
      <c r="CB41" s="446"/>
      <c r="CC41" s="446"/>
      <c r="CD41" s="446"/>
      <c r="CE41" s="446"/>
      <c r="CF41" s="446"/>
      <c r="CG41" s="446"/>
      <c r="CH41" s="446"/>
      <c r="CI41" s="446"/>
      <c r="CJ41" s="446"/>
      <c r="CK41" s="446"/>
      <c r="CL41" s="446"/>
      <c r="CM41" s="446"/>
      <c r="CN41" s="446"/>
      <c r="CO41" s="446"/>
      <c r="CP41" s="446"/>
      <c r="CQ41" s="446"/>
      <c r="CR41" s="446"/>
      <c r="CS41" s="446"/>
      <c r="CT41" s="446"/>
      <c r="CU41" s="446"/>
      <c r="CV41" s="446"/>
      <c r="CW41" s="233"/>
      <c r="CX41" s="446"/>
      <c r="CY41" s="446"/>
      <c r="CZ41" s="446"/>
      <c r="DA41" s="446"/>
      <c r="DB41" s="446"/>
      <c r="DC41" s="446"/>
      <c r="DD41" s="446"/>
      <c r="DE41" s="446"/>
      <c r="DF41" s="446"/>
      <c r="DG41" s="446"/>
      <c r="DH41" s="446"/>
      <c r="DI41" s="446"/>
      <c r="DJ41" s="446"/>
      <c r="DK41" s="446"/>
      <c r="DL41" s="446"/>
      <c r="DM41" s="446"/>
      <c r="DN41" s="446"/>
      <c r="DO41" s="446"/>
      <c r="DP41" s="258"/>
      <c r="DQ41" s="258"/>
      <c r="DR41" s="258"/>
      <c r="DS41" s="258"/>
      <c r="DT41" s="258"/>
      <c r="DU41" s="258"/>
      <c r="DV41" s="258"/>
      <c r="DW41" s="258"/>
      <c r="DX41" s="258"/>
      <c r="DY41" s="258"/>
      <c r="DZ41" s="282"/>
      <c r="EA41" s="229"/>
      <c r="EB41" s="229"/>
    </row>
    <row r="42" spans="1:132" s="219" customFormat="1" ht="24.75" x14ac:dyDescent="0.3">
      <c r="B42" s="460" t="str">
        <f ca="1">IF($C$2="English",CX42,CW42)</f>
        <v>7b-2  Kapitaldienst für die Monate des Jahres 2018 in EUR0</v>
      </c>
      <c r="C42" s="766"/>
      <c r="D42" s="767"/>
      <c r="E42" s="767"/>
      <c r="F42" s="767"/>
      <c r="G42" s="767"/>
      <c r="H42" s="767"/>
      <c r="I42" s="767"/>
      <c r="J42" s="767"/>
      <c r="K42" s="767"/>
      <c r="L42" s="767"/>
      <c r="M42" s="767"/>
      <c r="N42" s="767"/>
      <c r="O42" s="767"/>
      <c r="P42" s="767"/>
      <c r="Q42" s="707"/>
      <c r="R42" s="707"/>
      <c r="S42" s="756"/>
      <c r="BD42" s="258"/>
      <c r="BE42" s="258"/>
      <c r="BF42" s="258"/>
      <c r="BG42" s="258"/>
      <c r="BH42" s="258"/>
      <c r="BI42" s="258"/>
      <c r="BJ42" s="258"/>
      <c r="BK42" s="258"/>
      <c r="BL42" s="258"/>
      <c r="BM42" s="258"/>
      <c r="BN42" s="258"/>
      <c r="BO42" s="258"/>
      <c r="BP42" s="258"/>
      <c r="BQ42" s="258"/>
      <c r="BR42" s="258"/>
      <c r="BS42" s="258"/>
      <c r="BT42" s="258"/>
      <c r="BU42" s="257"/>
      <c r="BV42" s="258"/>
      <c r="BW42" s="258"/>
      <c r="BX42" s="258"/>
      <c r="BY42" s="258"/>
      <c r="BZ42" s="446"/>
      <c r="CA42" s="446"/>
      <c r="CB42" s="446"/>
      <c r="CC42" s="446"/>
      <c r="CD42" s="446"/>
      <c r="CE42" s="446"/>
      <c r="CF42" s="446"/>
      <c r="CG42" s="446"/>
      <c r="CH42" s="446"/>
      <c r="CI42" s="446"/>
      <c r="CJ42" s="446"/>
      <c r="CK42" s="446"/>
      <c r="CL42" s="446"/>
      <c r="CM42" s="446"/>
      <c r="CN42" s="446"/>
      <c r="CO42" s="446"/>
      <c r="CP42" s="446"/>
      <c r="CQ42" s="446"/>
      <c r="CR42" s="446"/>
      <c r="CS42" s="446"/>
      <c r="CT42" s="446"/>
      <c r="CU42" s="446"/>
      <c r="CV42" s="446"/>
      <c r="CW42" s="470" t="str">
        <f ca="1">"7b-2  Kapitaldienst für die Monate des Jahres " &amp; $D$7+1 &amp; " in EUR0"</f>
        <v>7b-2  Kapitaldienst für die Monate des Jahres 2018 in EUR0</v>
      </c>
      <c r="CX42" s="1048" t="str">
        <f ca="1">"7b-2 Interest and repayment for the months of the year "  &amp; $D$7+1 &amp; " in EUR0"</f>
        <v>7b-2 Interest and repayment for the months of the year 2018 in EUR0</v>
      </c>
      <c r="CY42" s="446"/>
      <c r="CZ42" s="446"/>
      <c r="DA42" s="446"/>
      <c r="DB42" s="446"/>
      <c r="DC42" s="446"/>
      <c r="DD42" s="446"/>
      <c r="DE42" s="446"/>
      <c r="DF42" s="446"/>
      <c r="DG42" s="446"/>
      <c r="DH42" s="446"/>
      <c r="DI42" s="446"/>
      <c r="DJ42" s="446"/>
      <c r="DK42" s="446"/>
      <c r="DL42" s="446"/>
      <c r="DM42" s="446"/>
      <c r="DN42" s="446"/>
      <c r="DO42" s="446"/>
      <c r="DP42" s="258"/>
      <c r="DQ42" s="258"/>
      <c r="DR42" s="258"/>
      <c r="DS42" s="258"/>
      <c r="DT42" s="258"/>
      <c r="DU42" s="258"/>
      <c r="DV42" s="258"/>
      <c r="DW42" s="258"/>
      <c r="DX42" s="258"/>
      <c r="DY42" s="258"/>
      <c r="DZ42" s="282"/>
      <c r="EA42" s="229"/>
      <c r="EB42" s="229"/>
    </row>
    <row r="43" spans="1:132" s="219" customFormat="1" ht="15" thickBot="1" x14ac:dyDescent="0.25">
      <c r="D43" s="421">
        <v>1</v>
      </c>
      <c r="E43" s="421">
        <v>2</v>
      </c>
      <c r="F43" s="421">
        <v>3</v>
      </c>
      <c r="G43" s="421">
        <v>4</v>
      </c>
      <c r="H43" s="421">
        <v>5</v>
      </c>
      <c r="I43" s="421">
        <v>6</v>
      </c>
      <c r="J43" s="421">
        <v>7</v>
      </c>
      <c r="K43" s="421">
        <v>8</v>
      </c>
      <c r="L43" s="421">
        <v>9</v>
      </c>
      <c r="M43" s="421">
        <v>10</v>
      </c>
      <c r="N43" s="421">
        <v>11</v>
      </c>
      <c r="O43" s="421">
        <v>12</v>
      </c>
      <c r="P43" s="251"/>
      <c r="Q43" s="707"/>
      <c r="R43" s="707"/>
      <c r="S43" s="756"/>
      <c r="BD43" s="258"/>
      <c r="BE43" s="258"/>
      <c r="BF43" s="258"/>
      <c r="BG43" s="258"/>
      <c r="BH43" s="258"/>
      <c r="BI43" s="258"/>
      <c r="BJ43" s="258"/>
      <c r="BK43" s="258"/>
      <c r="BL43" s="258"/>
      <c r="BM43" s="258"/>
      <c r="BN43" s="258"/>
      <c r="BO43" s="258"/>
      <c r="BP43" s="258"/>
      <c r="BQ43" s="258"/>
      <c r="BR43" s="258"/>
      <c r="BS43" s="258"/>
      <c r="BT43" s="258"/>
      <c r="BU43" s="257"/>
      <c r="BV43" s="258"/>
      <c r="BW43" s="258"/>
      <c r="BX43" s="258"/>
      <c r="BY43" s="258"/>
      <c r="BZ43" s="446"/>
      <c r="CA43" s="446"/>
      <c r="CB43" s="446"/>
      <c r="CC43" s="446"/>
      <c r="CD43" s="446"/>
      <c r="CE43" s="446"/>
      <c r="CF43" s="446"/>
      <c r="CG43" s="446"/>
      <c r="CH43" s="446"/>
      <c r="CI43" s="446"/>
      <c r="CJ43" s="446"/>
      <c r="CK43" s="446"/>
      <c r="CL43" s="446"/>
      <c r="CM43" s="446"/>
      <c r="CN43" s="446"/>
      <c r="CO43" s="446"/>
      <c r="CP43" s="446"/>
      <c r="CQ43" s="446"/>
      <c r="CR43" s="446"/>
      <c r="CS43" s="446"/>
      <c r="CT43" s="446"/>
      <c r="CU43" s="446"/>
      <c r="CV43" s="446"/>
      <c r="CW43" s="233"/>
      <c r="CX43" s="446"/>
      <c r="CY43" s="446"/>
      <c r="CZ43" s="446"/>
      <c r="DA43" s="446"/>
      <c r="DB43" s="446"/>
      <c r="DC43" s="446"/>
      <c r="DD43" s="446"/>
      <c r="DE43" s="446"/>
      <c r="DF43" s="446"/>
      <c r="DG43" s="446"/>
      <c r="DH43" s="446"/>
      <c r="DI43" s="446"/>
      <c r="DJ43" s="446"/>
      <c r="DK43" s="446"/>
      <c r="DL43" s="446"/>
      <c r="DM43" s="446"/>
      <c r="DN43" s="446"/>
      <c r="DO43" s="446"/>
      <c r="DP43" s="258"/>
      <c r="DQ43" s="258"/>
      <c r="DR43" s="258"/>
      <c r="DS43" s="258"/>
      <c r="DT43" s="258"/>
      <c r="DU43" s="258"/>
      <c r="DV43" s="258"/>
      <c r="DW43" s="258"/>
      <c r="DX43" s="258"/>
      <c r="DY43" s="258"/>
      <c r="DZ43" s="282"/>
      <c r="EA43" s="229"/>
      <c r="EB43" s="229"/>
    </row>
    <row r="44" spans="1:132" ht="15" thickBot="1" x14ac:dyDescent="0.25">
      <c r="B44" s="759" t="str">
        <f ca="1">IF($C$2="English",CX44,CW44)</f>
        <v>Monatsbeträge für  2018</v>
      </c>
      <c r="C44" s="759"/>
      <c r="D44" s="760" t="str">
        <f>D36</f>
        <v>Januar</v>
      </c>
      <c r="E44" s="760" t="str">
        <f t="shared" ref="E44:O44" si="3">E36</f>
        <v>Februar</v>
      </c>
      <c r="F44" s="760" t="str">
        <f t="shared" si="3"/>
        <v>März</v>
      </c>
      <c r="G44" s="760" t="str">
        <f t="shared" si="3"/>
        <v>April</v>
      </c>
      <c r="H44" s="760" t="str">
        <f t="shared" si="3"/>
        <v>Mai</v>
      </c>
      <c r="I44" s="760" t="str">
        <f t="shared" si="3"/>
        <v>Juni</v>
      </c>
      <c r="J44" s="760" t="str">
        <f t="shared" si="3"/>
        <v>Juli</v>
      </c>
      <c r="K44" s="760" t="str">
        <f t="shared" si="3"/>
        <v>August</v>
      </c>
      <c r="L44" s="760" t="str">
        <f t="shared" si="3"/>
        <v>September</v>
      </c>
      <c r="M44" s="760" t="str">
        <f t="shared" si="3"/>
        <v>Oktober</v>
      </c>
      <c r="N44" s="760" t="str">
        <f t="shared" si="3"/>
        <v>November</v>
      </c>
      <c r="O44" s="760" t="str">
        <f t="shared" si="3"/>
        <v>Dezember</v>
      </c>
      <c r="P44" s="760" t="str">
        <f ca="1">IF($C$2="English","Year "&amp;'1 Pers.Ausgaben|Pers Expenses'!$C$4+1,"Jahr "&amp;'1 Pers.Ausgaben|Pers Expenses'!$C$4+1)</f>
        <v>Jahr 2018</v>
      </c>
      <c r="S44" s="756"/>
      <c r="T44" s="219"/>
      <c r="U44" s="219"/>
      <c r="V44" s="219"/>
      <c r="W44" s="219"/>
      <c r="X44" s="219"/>
      <c r="Y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CW44" s="39" t="str">
        <f ca="1">"Monatsbeträge für  "&amp;'1 Pers.Ausgaben|Pers Expenses'!$C$4+1</f>
        <v>Monatsbeträge für  2018</v>
      </c>
      <c r="CX44" s="1048" t="str">
        <f ca="1">"Monthly sum for "&amp;'1 Pers.Ausgaben|Pers Expenses'!$C$4+1</f>
        <v>Monthly sum for 2018</v>
      </c>
    </row>
    <row r="45" spans="1:132" x14ac:dyDescent="0.2">
      <c r="B45" s="761" t="str">
        <f>B37</f>
        <v>Zins Fremdkapital</v>
      </c>
      <c r="C45" s="761"/>
      <c r="D45" s="762">
        <f>F155</f>
        <v>0</v>
      </c>
      <c r="E45" s="168">
        <f>F156</f>
        <v>0</v>
      </c>
      <c r="F45" s="168">
        <f>F157</f>
        <v>0</v>
      </c>
      <c r="G45" s="168">
        <f>F158</f>
        <v>0</v>
      </c>
      <c r="H45" s="168">
        <f>F159</f>
        <v>0</v>
      </c>
      <c r="I45" s="168">
        <f>F160</f>
        <v>0</v>
      </c>
      <c r="J45" s="168">
        <f>F161</f>
        <v>0</v>
      </c>
      <c r="K45" s="168">
        <f>F162</f>
        <v>0</v>
      </c>
      <c r="L45" s="168">
        <f>F163</f>
        <v>0</v>
      </c>
      <c r="M45" s="168">
        <f>F164</f>
        <v>0</v>
      </c>
      <c r="N45" s="168">
        <f>F165</f>
        <v>0</v>
      </c>
      <c r="O45" s="366">
        <f>F166</f>
        <v>0</v>
      </c>
      <c r="P45" s="366">
        <f>SUM(D45:O45)</f>
        <v>0</v>
      </c>
      <c r="S45" s="756"/>
      <c r="T45" s="219"/>
      <c r="U45" s="219"/>
      <c r="V45" s="219"/>
      <c r="W45" s="219"/>
      <c r="X45" s="219"/>
      <c r="Y45" s="219"/>
      <c r="AB45" s="219"/>
      <c r="AC45" s="219"/>
      <c r="AD45" s="219"/>
      <c r="AE45" s="219"/>
      <c r="AF45" s="219"/>
      <c r="AG45" s="219"/>
      <c r="AH45" s="219"/>
      <c r="AI45" s="219"/>
      <c r="AJ45" s="219"/>
      <c r="AK45" s="219"/>
      <c r="AL45" s="219"/>
      <c r="AM45" s="219"/>
      <c r="AN45" s="219"/>
      <c r="AO45" s="219"/>
      <c r="AP45" s="219"/>
      <c r="AQ45" s="219"/>
      <c r="AR45" s="219"/>
      <c r="AS45" s="219"/>
      <c r="AT45" s="219"/>
      <c r="AU45" s="219"/>
      <c r="AV45" s="219"/>
      <c r="AW45" s="219"/>
      <c r="AX45" s="219"/>
      <c r="AY45" s="219"/>
      <c r="AZ45" s="219"/>
      <c r="BA45" s="219"/>
      <c r="BB45" s="219"/>
      <c r="BC45" s="219"/>
      <c r="CW45" s="233" t="s">
        <v>97</v>
      </c>
      <c r="CX45" s="1048" t="str">
        <f>CX37</f>
        <v>Interest outside capital</v>
      </c>
    </row>
    <row r="46" spans="1:132" ht="15" thickBot="1" x14ac:dyDescent="0.25">
      <c r="B46" s="761" t="str">
        <f>B38</f>
        <v>Tilgung Fremdkapital</v>
      </c>
      <c r="C46" s="761"/>
      <c r="D46" s="762">
        <f>E155</f>
        <v>0</v>
      </c>
      <c r="E46" s="168">
        <f>E156</f>
        <v>0</v>
      </c>
      <c r="F46" s="168">
        <f>E157</f>
        <v>0</v>
      </c>
      <c r="G46" s="168">
        <f>E158</f>
        <v>0</v>
      </c>
      <c r="H46" s="168">
        <f>E159</f>
        <v>0</v>
      </c>
      <c r="I46" s="168">
        <f>E160</f>
        <v>0</v>
      </c>
      <c r="J46" s="168">
        <f>E161</f>
        <v>0</v>
      </c>
      <c r="K46" s="168">
        <f>E162</f>
        <v>0</v>
      </c>
      <c r="L46" s="168">
        <f>E163</f>
        <v>0</v>
      </c>
      <c r="M46" s="168">
        <f>E164</f>
        <v>0</v>
      </c>
      <c r="N46" s="168">
        <f>E165</f>
        <v>0</v>
      </c>
      <c r="O46" s="366">
        <f>E166</f>
        <v>0</v>
      </c>
      <c r="P46" s="366">
        <f>SUM(D46:O46)</f>
        <v>0</v>
      </c>
      <c r="S46" s="756"/>
      <c r="T46" s="219"/>
      <c r="U46" s="219"/>
      <c r="V46" s="219"/>
      <c r="W46" s="219"/>
      <c r="X46" s="219"/>
      <c r="Y46" s="219"/>
      <c r="AB46" s="219"/>
      <c r="AC46" s="219"/>
      <c r="AD46" s="219"/>
      <c r="AE46" s="219"/>
      <c r="AF46" s="219"/>
      <c r="AG46" s="219"/>
      <c r="AH46" s="219"/>
      <c r="AI46" s="219"/>
      <c r="AJ46" s="219"/>
      <c r="AK46" s="219"/>
      <c r="AL46" s="219"/>
      <c r="AM46" s="219"/>
      <c r="AN46" s="219"/>
      <c r="AO46" s="219"/>
      <c r="AP46" s="219"/>
      <c r="AQ46" s="219"/>
      <c r="AR46" s="219"/>
      <c r="AS46" s="219"/>
      <c r="AT46" s="219"/>
      <c r="AU46" s="219"/>
      <c r="AV46" s="219"/>
      <c r="AW46" s="219"/>
      <c r="AX46" s="219"/>
      <c r="AY46" s="219"/>
      <c r="AZ46" s="219"/>
      <c r="BA46" s="219"/>
      <c r="BB46" s="219"/>
      <c r="BC46" s="219"/>
      <c r="CW46" s="233" t="s">
        <v>98</v>
      </c>
      <c r="CX46" s="1048" t="str">
        <f>CX38</f>
        <v>Repayment outside capital</v>
      </c>
    </row>
    <row r="47" spans="1:132" ht="15.75" thickTop="1" thickBot="1" x14ac:dyDescent="0.25">
      <c r="B47" s="1656" t="str">
        <f>B39</f>
        <v>Belastung gesamt</v>
      </c>
      <c r="C47" s="1657"/>
      <c r="D47" s="765">
        <f t="shared" ref="D47:O47" si="4">D46+D45</f>
        <v>0</v>
      </c>
      <c r="E47" s="375">
        <f t="shared" si="4"/>
        <v>0</v>
      </c>
      <c r="F47" s="375">
        <f t="shared" si="4"/>
        <v>0</v>
      </c>
      <c r="G47" s="375">
        <f t="shared" si="4"/>
        <v>0</v>
      </c>
      <c r="H47" s="375">
        <f t="shared" si="4"/>
        <v>0</v>
      </c>
      <c r="I47" s="375">
        <f t="shared" si="4"/>
        <v>0</v>
      </c>
      <c r="J47" s="375">
        <f t="shared" si="4"/>
        <v>0</v>
      </c>
      <c r="K47" s="375">
        <f t="shared" si="4"/>
        <v>0</v>
      </c>
      <c r="L47" s="375">
        <f t="shared" si="4"/>
        <v>0</v>
      </c>
      <c r="M47" s="375">
        <f t="shared" si="4"/>
        <v>0</v>
      </c>
      <c r="N47" s="375">
        <f t="shared" si="4"/>
        <v>0</v>
      </c>
      <c r="O47" s="376">
        <f t="shared" si="4"/>
        <v>0</v>
      </c>
      <c r="P47" s="376">
        <f>SUM(D47:O47)</f>
        <v>0</v>
      </c>
      <c r="S47" s="756"/>
      <c r="T47" s="219"/>
      <c r="U47" s="219"/>
      <c r="V47" s="219"/>
      <c r="W47" s="219"/>
      <c r="X47" s="219"/>
      <c r="Y47" s="219"/>
      <c r="AB47" s="219"/>
      <c r="AC47" s="219"/>
      <c r="AD47" s="219"/>
      <c r="AE47" s="219"/>
      <c r="AF47" s="219"/>
      <c r="AG47" s="219"/>
      <c r="AH47" s="219"/>
      <c r="AI47" s="219"/>
      <c r="AJ47" s="219"/>
      <c r="AK47" s="219"/>
      <c r="AL47" s="219"/>
      <c r="AM47" s="219"/>
      <c r="AN47" s="219"/>
      <c r="AO47" s="219"/>
      <c r="AP47" s="219"/>
      <c r="AQ47" s="219"/>
      <c r="AR47" s="219"/>
      <c r="AS47" s="219"/>
      <c r="AT47" s="219"/>
      <c r="AU47" s="219"/>
      <c r="AV47" s="219"/>
      <c r="AW47" s="219"/>
      <c r="AX47" s="219"/>
      <c r="AY47" s="219"/>
      <c r="AZ47" s="219"/>
      <c r="BA47" s="219"/>
      <c r="BB47" s="219"/>
      <c r="BC47" s="219"/>
      <c r="CW47" s="470" t="s">
        <v>99</v>
      </c>
      <c r="CX47" s="1048" t="str">
        <f>CX39</f>
        <v>Total load</v>
      </c>
    </row>
    <row r="48" spans="1:132" s="219" customFormat="1" x14ac:dyDescent="0.2">
      <c r="B48" s="766"/>
      <c r="C48" s="766"/>
      <c r="D48" s="1073"/>
      <c r="E48" s="1073"/>
      <c r="F48" s="1073"/>
      <c r="G48" s="1073"/>
      <c r="H48" s="1073"/>
      <c r="I48" s="1073"/>
      <c r="J48" s="1073"/>
      <c r="K48" s="1073"/>
      <c r="L48" s="1073"/>
      <c r="M48" s="1073"/>
      <c r="N48" s="1073"/>
      <c r="O48" s="1073"/>
      <c r="P48" s="1073"/>
      <c r="Q48" s="707"/>
      <c r="R48" s="707"/>
      <c r="S48" s="756"/>
      <c r="BD48" s="258"/>
      <c r="BE48" s="258"/>
      <c r="BF48" s="258"/>
      <c r="BG48" s="258"/>
      <c r="BH48" s="258"/>
      <c r="BI48" s="258"/>
      <c r="BJ48" s="258"/>
      <c r="BK48" s="258"/>
      <c r="BL48" s="258"/>
      <c r="BM48" s="258"/>
      <c r="BN48" s="258"/>
      <c r="BO48" s="258"/>
      <c r="BP48" s="258"/>
      <c r="BQ48" s="258"/>
      <c r="BR48" s="258"/>
      <c r="BS48" s="258"/>
      <c r="BT48" s="258"/>
      <c r="BU48" s="257"/>
      <c r="BV48" s="258"/>
      <c r="BW48" s="258"/>
      <c r="BX48" s="258"/>
      <c r="BY48" s="258"/>
      <c r="BZ48" s="258"/>
      <c r="CA48" s="258"/>
      <c r="CB48" s="258"/>
      <c r="CC48" s="258"/>
      <c r="CD48" s="258"/>
      <c r="CE48" s="258"/>
      <c r="CF48" s="258"/>
      <c r="CG48" s="258"/>
      <c r="CH48" s="258"/>
      <c r="CI48" s="258"/>
      <c r="CJ48" s="258"/>
      <c r="CK48" s="258"/>
      <c r="CL48" s="258"/>
      <c r="CM48" s="258"/>
      <c r="CN48" s="258"/>
      <c r="CO48" s="258"/>
      <c r="CP48" s="258"/>
      <c r="CQ48" s="258"/>
      <c r="CR48" s="258"/>
      <c r="CS48" s="258"/>
      <c r="CT48" s="258"/>
      <c r="CU48" s="258"/>
      <c r="CV48" s="258"/>
      <c r="CW48" s="766"/>
      <c r="CX48" s="282"/>
      <c r="CY48" s="258"/>
      <c r="CZ48" s="258"/>
      <c r="DA48" s="258"/>
      <c r="DB48" s="258"/>
      <c r="DC48" s="258"/>
      <c r="DD48" s="258"/>
      <c r="DE48" s="258"/>
      <c r="DF48" s="258"/>
      <c r="DG48" s="258"/>
      <c r="DH48" s="258"/>
      <c r="DI48" s="258"/>
      <c r="DJ48" s="258"/>
      <c r="DK48" s="258"/>
      <c r="DL48" s="258"/>
      <c r="DM48" s="258"/>
      <c r="DN48" s="258"/>
      <c r="DO48" s="258"/>
      <c r="DP48" s="258"/>
      <c r="DQ48" s="258"/>
      <c r="DR48" s="258"/>
      <c r="DS48" s="258"/>
      <c r="DT48" s="258"/>
      <c r="DU48" s="258"/>
      <c r="DV48" s="258"/>
      <c r="DW48" s="258"/>
      <c r="DX48" s="258"/>
      <c r="DY48" s="258"/>
      <c r="DZ48" s="282"/>
      <c r="EA48" s="229"/>
      <c r="EB48" s="229"/>
    </row>
    <row r="49" spans="2:132" s="219" customFormat="1" ht="18" x14ac:dyDescent="0.25">
      <c r="B49" s="766"/>
      <c r="C49" s="766"/>
      <c r="D49" s="1073"/>
      <c r="E49" s="1073"/>
      <c r="F49" s="1073"/>
      <c r="G49" s="1073"/>
      <c r="H49" s="1073"/>
      <c r="I49" s="1073"/>
      <c r="J49" s="1073"/>
      <c r="K49" s="1073"/>
      <c r="L49" s="1073"/>
      <c r="M49" s="1095" t="str">
        <f ca="1">IF($C$2="English",CX49,CW49)</f>
        <v>Monatliche Zins- und Tilgungsraten für die Jahre 2017 - 2021 (EUR)</v>
      </c>
      <c r="N49" s="1073"/>
      <c r="O49" s="1073"/>
      <c r="P49" s="1073"/>
      <c r="Q49" s="707"/>
      <c r="R49" s="707"/>
      <c r="S49" s="756"/>
      <c r="BD49" s="258"/>
      <c r="BE49" s="258"/>
      <c r="BF49" s="258"/>
      <c r="BG49" s="258"/>
      <c r="BH49" s="258"/>
      <c r="BI49" s="258"/>
      <c r="BJ49" s="258"/>
      <c r="BK49" s="258"/>
      <c r="BL49" s="258"/>
      <c r="BM49" s="258"/>
      <c r="BN49" s="258"/>
      <c r="BO49" s="258"/>
      <c r="BP49" s="258"/>
      <c r="BQ49" s="258"/>
      <c r="BR49" s="258"/>
      <c r="BS49" s="258"/>
      <c r="BT49" s="258"/>
      <c r="BU49" s="257"/>
      <c r="BV49" s="258"/>
      <c r="BW49" s="258"/>
      <c r="BX49" s="258"/>
      <c r="BY49" s="258"/>
      <c r="BZ49" s="258"/>
      <c r="CA49" s="258"/>
      <c r="CB49" s="258"/>
      <c r="CC49" s="258"/>
      <c r="CD49" s="258"/>
      <c r="CE49" s="258"/>
      <c r="CF49" s="258"/>
      <c r="CG49" s="258"/>
      <c r="CH49" s="258"/>
      <c r="CI49" s="258"/>
      <c r="CJ49" s="258"/>
      <c r="CK49" s="258"/>
      <c r="CL49" s="258"/>
      <c r="CM49" s="258"/>
      <c r="CN49" s="258"/>
      <c r="CO49" s="258"/>
      <c r="CP49" s="258"/>
      <c r="CQ49" s="258"/>
      <c r="CR49" s="258"/>
      <c r="CS49" s="258"/>
      <c r="CT49" s="258"/>
      <c r="CU49" s="258"/>
      <c r="CV49" s="258"/>
      <c r="CW49" s="233" t="str">
        <f ca="1">"Monatliche Zins- und Tilgungsraten für die Jahre " &amp;'1 Pers.Ausgaben|Pers Expenses'!$C$4 &amp; " - " &amp; '1 Pers.Ausgaben|Pers Expenses'!$C$4+4 &amp;" (EUR)"</f>
        <v>Monatliche Zins- und Tilgungsraten für die Jahre 2017 - 2021 (EUR)</v>
      </c>
      <c r="CX49" s="446" t="str">
        <f ca="1">"Monthly Rate of Interest and Repayment for the Year " &amp;'1 Pers.Ausgaben|Pers Expenses'!$C$4 &amp; "- " &amp; '1 Pers.Ausgaben|Pers Expenses'!$C$4+4&amp; " (EUR)"</f>
        <v>Monthly Rate of Interest and Repayment for the Year 2017- 2021 (EUR)</v>
      </c>
      <c r="CY49" s="258"/>
      <c r="CZ49" s="258"/>
      <c r="DA49" s="258"/>
      <c r="DB49" s="258"/>
      <c r="DC49" s="258"/>
      <c r="DD49" s="258"/>
      <c r="DE49" s="258"/>
      <c r="DF49" s="258"/>
      <c r="DG49" s="258"/>
      <c r="DH49" s="258"/>
      <c r="DI49" s="258"/>
      <c r="DJ49" s="258"/>
      <c r="DK49" s="258"/>
      <c r="DL49" s="258"/>
      <c r="DM49" s="258"/>
      <c r="DN49" s="258"/>
      <c r="DO49" s="258"/>
      <c r="DP49" s="258"/>
      <c r="DQ49" s="258"/>
      <c r="DR49" s="258"/>
      <c r="DS49" s="258"/>
      <c r="DT49" s="258"/>
      <c r="DU49" s="258"/>
      <c r="DV49" s="258"/>
      <c r="DW49" s="258"/>
      <c r="DX49" s="258"/>
      <c r="DY49" s="258"/>
      <c r="DZ49" s="282"/>
      <c r="EA49" s="229"/>
      <c r="EB49" s="229"/>
    </row>
    <row r="50" spans="2:132" s="219" customFormat="1" x14ac:dyDescent="0.2">
      <c r="Q50" s="707"/>
      <c r="R50" s="707"/>
      <c r="S50" s="756"/>
      <c r="BD50" s="258"/>
      <c r="BE50" s="258"/>
      <c r="BF50" s="258"/>
      <c r="BG50" s="258"/>
      <c r="BH50" s="258"/>
      <c r="BI50" s="258"/>
      <c r="BJ50" s="258"/>
      <c r="BK50" s="258"/>
      <c r="BL50" s="258"/>
      <c r="BM50" s="258"/>
      <c r="BN50" s="258"/>
      <c r="BO50" s="258"/>
      <c r="BP50" s="258"/>
      <c r="BQ50" s="258"/>
      <c r="BR50" s="258"/>
      <c r="BS50" s="258"/>
      <c r="BT50" s="258"/>
      <c r="BU50" s="257"/>
      <c r="BV50" s="258"/>
      <c r="BW50" s="258"/>
      <c r="BX50" s="258"/>
      <c r="BY50" s="258"/>
      <c r="BZ50" s="446"/>
      <c r="CA50" s="446"/>
      <c r="CB50" s="446"/>
      <c r="CC50" s="446"/>
      <c r="CD50" s="446"/>
      <c r="CE50" s="446"/>
      <c r="CF50" s="446"/>
      <c r="CG50" s="446"/>
      <c r="CH50" s="446"/>
      <c r="CI50" s="446"/>
      <c r="CJ50" s="446"/>
      <c r="CK50" s="446"/>
      <c r="CL50" s="446"/>
      <c r="CM50" s="446"/>
      <c r="CN50" s="446"/>
      <c r="CO50" s="446"/>
      <c r="CP50" s="446"/>
      <c r="CQ50" s="446"/>
      <c r="CR50" s="446"/>
      <c r="CS50" s="446"/>
      <c r="CT50" s="446"/>
      <c r="CU50" s="446"/>
      <c r="CV50" s="446"/>
      <c r="CW50" s="233"/>
      <c r="CX50" s="446"/>
      <c r="CY50" s="446"/>
      <c r="CZ50" s="446"/>
      <c r="DA50" s="446"/>
      <c r="DB50" s="446"/>
      <c r="DC50" s="446"/>
      <c r="DD50" s="446"/>
      <c r="DE50" s="446"/>
      <c r="DF50" s="446"/>
      <c r="DG50" s="446"/>
      <c r="DH50" s="446"/>
      <c r="DI50" s="446"/>
      <c r="DJ50" s="446"/>
      <c r="DK50" s="446"/>
      <c r="DL50" s="446"/>
      <c r="DM50" s="446"/>
      <c r="DN50" s="446"/>
      <c r="DO50" s="446"/>
      <c r="DP50" s="258"/>
      <c r="DQ50" s="258"/>
      <c r="DR50" s="258"/>
      <c r="DS50" s="258"/>
      <c r="DT50" s="258"/>
      <c r="DU50" s="258"/>
      <c r="DV50" s="258"/>
      <c r="DW50" s="258"/>
      <c r="DX50" s="258"/>
      <c r="DY50" s="258"/>
      <c r="DZ50" s="282"/>
      <c r="EA50" s="229"/>
      <c r="EB50" s="229"/>
    </row>
    <row r="51" spans="2:132" s="219" customFormat="1" x14ac:dyDescent="0.2">
      <c r="Q51" s="707"/>
      <c r="R51" s="707"/>
      <c r="S51" s="756"/>
      <c r="BD51" s="258"/>
      <c r="BE51" s="258"/>
      <c r="BF51" s="258"/>
      <c r="BG51" s="258"/>
      <c r="BH51" s="258"/>
      <c r="BI51" s="258"/>
      <c r="BJ51" s="258"/>
      <c r="BK51" s="258"/>
      <c r="BL51" s="258"/>
      <c r="BM51" s="258"/>
      <c r="BN51" s="258"/>
      <c r="BO51" s="258"/>
      <c r="BP51" s="258"/>
      <c r="BQ51" s="258"/>
      <c r="BR51" s="258"/>
      <c r="BS51" s="258"/>
      <c r="BT51" s="258"/>
      <c r="BU51" s="257"/>
      <c r="BV51" s="258"/>
      <c r="BW51" s="258"/>
      <c r="BX51" s="258"/>
      <c r="BY51" s="258"/>
      <c r="BZ51" s="446"/>
      <c r="CA51" s="446"/>
      <c r="CB51" s="446"/>
      <c r="CC51" s="446"/>
      <c r="CD51" s="446"/>
      <c r="CE51" s="446"/>
      <c r="CF51" s="446"/>
      <c r="CG51" s="446"/>
      <c r="CH51" s="446"/>
      <c r="CI51" s="446"/>
      <c r="CJ51" s="446"/>
      <c r="CK51" s="446"/>
      <c r="CL51" s="446"/>
      <c r="CM51" s="446"/>
      <c r="CN51" s="446"/>
      <c r="CO51" s="446"/>
      <c r="CP51" s="446"/>
      <c r="CQ51" s="446"/>
      <c r="CR51" s="446"/>
      <c r="CS51" s="446"/>
      <c r="CT51" s="446"/>
      <c r="CU51" s="446"/>
      <c r="CV51" s="446"/>
      <c r="CW51" s="233"/>
      <c r="CX51" s="446"/>
      <c r="CY51" s="446"/>
      <c r="CZ51" s="446"/>
      <c r="DA51" s="446"/>
      <c r="DB51" s="446"/>
      <c r="DC51" s="446"/>
      <c r="DD51" s="446"/>
      <c r="DE51" s="446"/>
      <c r="DF51" s="446"/>
      <c r="DG51" s="446"/>
      <c r="DH51" s="446"/>
      <c r="DI51" s="446"/>
      <c r="DJ51" s="446"/>
      <c r="DK51" s="446"/>
      <c r="DL51" s="446"/>
      <c r="DM51" s="446"/>
      <c r="DN51" s="446"/>
      <c r="DO51" s="446"/>
      <c r="DP51" s="258"/>
      <c r="DQ51" s="258"/>
      <c r="DR51" s="258"/>
      <c r="DS51" s="258"/>
      <c r="DT51" s="258"/>
      <c r="DU51" s="258"/>
      <c r="DV51" s="258"/>
      <c r="DW51" s="258"/>
      <c r="DX51" s="258"/>
      <c r="DY51" s="258"/>
      <c r="DZ51" s="282"/>
      <c r="EA51" s="229"/>
      <c r="EB51" s="229"/>
    </row>
    <row r="52" spans="2:132" s="219" customFormat="1" x14ac:dyDescent="0.2">
      <c r="I52" s="55"/>
      <c r="J52" s="55"/>
      <c r="K52" s="55"/>
      <c r="L52" s="55"/>
      <c r="M52" s="55"/>
      <c r="N52" s="55"/>
      <c r="O52" s="55"/>
      <c r="P52" s="55"/>
      <c r="Q52" s="707"/>
      <c r="R52" s="707"/>
      <c r="S52" s="756"/>
      <c r="BD52" s="258"/>
      <c r="BE52" s="258"/>
      <c r="BF52" s="258"/>
      <c r="BG52" s="258"/>
      <c r="BH52" s="258"/>
      <c r="BI52" s="258"/>
      <c r="BJ52" s="258"/>
      <c r="BK52" s="258"/>
      <c r="BL52" s="258"/>
      <c r="BM52" s="258"/>
      <c r="BN52" s="258"/>
      <c r="BO52" s="258"/>
      <c r="BP52" s="258"/>
      <c r="BQ52" s="258"/>
      <c r="BR52" s="258"/>
      <c r="BS52" s="258"/>
      <c r="BT52" s="258"/>
      <c r="BU52" s="257"/>
      <c r="BV52" s="258"/>
      <c r="BW52" s="258"/>
      <c r="BX52" s="258"/>
      <c r="BY52" s="258"/>
      <c r="BZ52" s="446"/>
      <c r="CA52" s="446"/>
      <c r="CB52" s="446"/>
      <c r="CC52" s="446"/>
      <c r="CD52" s="446"/>
      <c r="CE52" s="446"/>
      <c r="CF52" s="446"/>
      <c r="CG52" s="446"/>
      <c r="CH52" s="446"/>
      <c r="CI52" s="446"/>
      <c r="CJ52" s="446"/>
      <c r="CK52" s="446"/>
      <c r="CL52" s="446"/>
      <c r="CM52" s="446"/>
      <c r="CN52" s="446"/>
      <c r="CO52" s="446"/>
      <c r="CP52" s="446"/>
      <c r="CQ52" s="446"/>
      <c r="CR52" s="446"/>
      <c r="CS52" s="446"/>
      <c r="CT52" s="446"/>
      <c r="CU52" s="446"/>
      <c r="CV52" s="446"/>
      <c r="CW52" s="233"/>
      <c r="CX52" s="446"/>
      <c r="CY52" s="446"/>
      <c r="CZ52" s="446"/>
      <c r="DA52" s="446"/>
      <c r="DB52" s="446"/>
      <c r="DC52" s="446"/>
      <c r="DD52" s="446"/>
      <c r="DE52" s="446"/>
      <c r="DF52" s="446"/>
      <c r="DG52" s="446"/>
      <c r="DH52" s="446"/>
      <c r="DI52" s="446"/>
      <c r="DJ52" s="446"/>
      <c r="DK52" s="446"/>
      <c r="DL52" s="446"/>
      <c r="DM52" s="446"/>
      <c r="DN52" s="446"/>
      <c r="DO52" s="446"/>
      <c r="DP52" s="258"/>
      <c r="DQ52" s="258"/>
      <c r="DR52" s="258"/>
      <c r="DS52" s="258"/>
      <c r="DT52" s="258"/>
      <c r="DU52" s="258"/>
      <c r="DV52" s="258"/>
      <c r="DW52" s="258"/>
      <c r="DX52" s="258"/>
      <c r="DY52" s="258"/>
      <c r="DZ52" s="282"/>
      <c r="EA52" s="229"/>
      <c r="EB52" s="229"/>
    </row>
    <row r="53" spans="2:132" s="219" customFormat="1" ht="24.75" x14ac:dyDescent="0.3">
      <c r="B53" s="460" t="str">
        <f ca="1">IF($C$2="English",CX53,CW53)</f>
        <v>7c  Kapitaldienst für die Jahre 2017 - 2021 in EUR0</v>
      </c>
      <c r="C53" s="766"/>
      <c r="D53" s="767"/>
      <c r="E53" s="767"/>
      <c r="F53" s="767"/>
      <c r="G53" s="767"/>
      <c r="H53" s="767"/>
      <c r="I53" s="251"/>
      <c r="J53" s="251"/>
      <c r="K53" s="258"/>
      <c r="L53" s="258"/>
      <c r="M53" s="258"/>
      <c r="N53" s="258"/>
      <c r="O53" s="258"/>
      <c r="P53" s="258"/>
      <c r="Q53" s="768"/>
      <c r="R53" s="768"/>
      <c r="S53" s="756"/>
      <c r="BD53" s="258"/>
      <c r="BE53" s="258"/>
      <c r="BF53" s="258"/>
      <c r="BG53" s="258"/>
      <c r="BH53" s="258"/>
      <c r="BI53" s="258"/>
      <c r="BJ53" s="258"/>
      <c r="BK53" s="258"/>
      <c r="BL53" s="258"/>
      <c r="BM53" s="258"/>
      <c r="BN53" s="258"/>
      <c r="BO53" s="258"/>
      <c r="BP53" s="258"/>
      <c r="BQ53" s="258"/>
      <c r="BR53" s="258"/>
      <c r="BS53" s="258"/>
      <c r="BT53" s="258"/>
      <c r="BU53" s="258"/>
      <c r="BV53" s="258"/>
      <c r="BW53" s="258"/>
      <c r="BX53" s="258"/>
      <c r="BY53" s="258"/>
      <c r="BZ53" s="446"/>
      <c r="CA53" s="446"/>
      <c r="CB53" s="446"/>
      <c r="CC53" s="446"/>
      <c r="CD53" s="446"/>
      <c r="CE53" s="446"/>
      <c r="CF53" s="446"/>
      <c r="CG53" s="446"/>
      <c r="CH53" s="446"/>
      <c r="CI53" s="446"/>
      <c r="CJ53" s="446"/>
      <c r="CK53" s="446"/>
      <c r="CL53" s="446"/>
      <c r="CM53" s="446"/>
      <c r="CN53" s="446"/>
      <c r="CO53" s="446"/>
      <c r="CP53" s="446"/>
      <c r="CQ53" s="446"/>
      <c r="CR53" s="446"/>
      <c r="CS53" s="446"/>
      <c r="CT53" s="446"/>
      <c r="CU53" s="446"/>
      <c r="CV53" s="446"/>
      <c r="CW53" s="470" t="str">
        <f ca="1">"7c  Kapitaldienst für die Jahre " &amp;$D$7 &amp; " - " &amp; $L$7 &amp; " in EUR0"</f>
        <v>7c  Kapitaldienst für die Jahre 2017 - 2021 in EUR0</v>
      </c>
      <c r="CX53" s="1048" t="str">
        <f ca="1">"7c Interest and repayment for the year " &amp;$D$7 &amp; " - " &amp; $L$7 &amp; " in EUR0"</f>
        <v>7c Interest and repayment for the year 2017 - 2021 in EUR0</v>
      </c>
      <c r="CY53" s="446"/>
      <c r="CZ53" s="446"/>
      <c r="DA53" s="446"/>
      <c r="DB53" s="446"/>
      <c r="DC53" s="446"/>
      <c r="DD53" s="446"/>
      <c r="DE53" s="446"/>
      <c r="DF53" s="446"/>
      <c r="DG53" s="446"/>
      <c r="DH53" s="446"/>
      <c r="DI53" s="446"/>
      <c r="DJ53" s="446"/>
      <c r="DK53" s="446"/>
      <c r="DL53" s="446"/>
      <c r="DM53" s="446"/>
      <c r="DN53" s="446"/>
      <c r="DO53" s="446"/>
      <c r="DP53" s="258"/>
      <c r="DQ53" s="258"/>
      <c r="DR53" s="258"/>
      <c r="DS53" s="258"/>
      <c r="DT53" s="258"/>
      <c r="DU53" s="258"/>
      <c r="DV53" s="258"/>
      <c r="DW53" s="258"/>
      <c r="DX53" s="258"/>
      <c r="DY53" s="258"/>
      <c r="DZ53" s="282"/>
      <c r="EA53" s="229"/>
      <c r="EB53" s="229"/>
    </row>
    <row r="54" spans="2:132" s="219" customFormat="1" ht="15" thickBot="1" x14ac:dyDescent="0.25">
      <c r="I54" s="251"/>
      <c r="J54" s="251"/>
      <c r="K54" s="258"/>
      <c r="L54" s="258"/>
      <c r="M54" s="258"/>
      <c r="N54" s="258"/>
      <c r="O54" s="258"/>
      <c r="P54" s="258"/>
      <c r="Q54" s="768"/>
      <c r="R54" s="768"/>
      <c r="S54" s="756"/>
      <c r="BD54" s="258"/>
      <c r="BE54" s="258"/>
      <c r="BF54" s="258"/>
      <c r="BG54" s="258"/>
      <c r="BH54" s="258"/>
      <c r="BI54" s="258"/>
      <c r="BJ54" s="258"/>
      <c r="BK54" s="258"/>
      <c r="BL54" s="258"/>
      <c r="BM54" s="258"/>
      <c r="BN54" s="258"/>
      <c r="BO54" s="258"/>
      <c r="BP54" s="258"/>
      <c r="BQ54" s="258"/>
      <c r="BR54" s="258"/>
      <c r="BS54" s="258"/>
      <c r="BT54" s="258"/>
      <c r="BU54" s="258"/>
      <c r="BV54" s="258"/>
      <c r="BW54" s="258"/>
      <c r="BX54" s="258"/>
      <c r="BY54" s="258"/>
      <c r="BZ54" s="446"/>
      <c r="CA54" s="446"/>
      <c r="CB54" s="446"/>
      <c r="CC54" s="446"/>
      <c r="CD54" s="446"/>
      <c r="CE54" s="446"/>
      <c r="CF54" s="446"/>
      <c r="CG54" s="446"/>
      <c r="CH54" s="446"/>
      <c r="CI54" s="446"/>
      <c r="CJ54" s="446"/>
      <c r="CK54" s="446"/>
      <c r="CL54" s="446"/>
      <c r="CM54" s="446"/>
      <c r="CN54" s="446"/>
      <c r="CO54" s="446"/>
      <c r="CP54" s="446"/>
      <c r="CQ54" s="446"/>
      <c r="CR54" s="446"/>
      <c r="CS54" s="446"/>
      <c r="CT54" s="446"/>
      <c r="CU54" s="446"/>
      <c r="CV54" s="446"/>
      <c r="CW54" s="233"/>
      <c r="CX54" s="446"/>
      <c r="CY54" s="446"/>
      <c r="CZ54" s="446"/>
      <c r="DA54" s="446"/>
      <c r="DB54" s="446"/>
      <c r="DC54" s="446"/>
      <c r="DD54" s="446"/>
      <c r="DE54" s="446"/>
      <c r="DF54" s="446"/>
      <c r="DG54" s="446"/>
      <c r="DH54" s="446"/>
      <c r="DI54" s="446"/>
      <c r="DJ54" s="446"/>
      <c r="DK54" s="446"/>
      <c r="DL54" s="446"/>
      <c r="DM54" s="446"/>
      <c r="DN54" s="446"/>
      <c r="DO54" s="446"/>
      <c r="DP54" s="258"/>
      <c r="DQ54" s="258"/>
      <c r="DR54" s="258"/>
      <c r="DS54" s="258"/>
      <c r="DT54" s="258"/>
      <c r="DU54" s="258"/>
      <c r="DV54" s="258"/>
      <c r="DW54" s="258"/>
      <c r="DX54" s="258"/>
      <c r="DY54" s="258"/>
      <c r="DZ54" s="282"/>
      <c r="EA54" s="229"/>
      <c r="EB54" s="229"/>
    </row>
    <row r="55" spans="2:132" s="219" customFormat="1" ht="15" thickBot="1" x14ac:dyDescent="0.25">
      <c r="B55" s="759" t="str">
        <f>IF($C$2="English",CX55,CW55)</f>
        <v>durchschn. Jahresbeträge</v>
      </c>
      <c r="C55" s="759"/>
      <c r="D55" s="760">
        <f ca="1">$D$7</f>
        <v>2017</v>
      </c>
      <c r="E55" s="213">
        <f ca="1">D55+1</f>
        <v>2018</v>
      </c>
      <c r="F55" s="213">
        <f ca="1">E55+1</f>
        <v>2019</v>
      </c>
      <c r="G55" s="213">
        <f ca="1">F55+1</f>
        <v>2020</v>
      </c>
      <c r="H55" s="214">
        <f ca="1">G55+1</f>
        <v>2021</v>
      </c>
      <c r="I55" s="251"/>
      <c r="J55" s="251"/>
      <c r="K55" s="258"/>
      <c r="L55" s="258"/>
      <c r="M55" s="258"/>
      <c r="N55" s="258"/>
      <c r="O55" s="258"/>
      <c r="P55" s="258"/>
      <c r="Q55" s="768"/>
      <c r="R55" s="768"/>
      <c r="S55" s="756"/>
      <c r="BD55" s="258"/>
      <c r="BE55" s="258"/>
      <c r="BF55" s="258"/>
      <c r="BG55" s="258"/>
      <c r="BH55" s="258"/>
      <c r="BI55" s="258"/>
      <c r="BJ55" s="258"/>
      <c r="BK55" s="258"/>
      <c r="BL55" s="258"/>
      <c r="BM55" s="258"/>
      <c r="BN55" s="258"/>
      <c r="BO55" s="258"/>
      <c r="BP55" s="258"/>
      <c r="BQ55" s="258"/>
      <c r="BR55" s="258"/>
      <c r="BS55" s="258"/>
      <c r="BT55" s="258"/>
      <c r="BU55" s="258"/>
      <c r="BV55" s="258"/>
      <c r="BW55" s="258"/>
      <c r="BX55" s="258"/>
      <c r="BY55" s="258"/>
      <c r="BZ55" s="446"/>
      <c r="CA55" s="446"/>
      <c r="CB55" s="446"/>
      <c r="CC55" s="446"/>
      <c r="CD55" s="446"/>
      <c r="CE55" s="446"/>
      <c r="CF55" s="446"/>
      <c r="CG55" s="446"/>
      <c r="CH55" s="446"/>
      <c r="CI55" s="446"/>
      <c r="CJ55" s="446"/>
      <c r="CK55" s="446"/>
      <c r="CL55" s="446"/>
      <c r="CM55" s="446"/>
      <c r="CN55" s="446"/>
      <c r="CO55" s="446"/>
      <c r="CP55" s="446"/>
      <c r="CQ55" s="446"/>
      <c r="CR55" s="446"/>
      <c r="CS55" s="446"/>
      <c r="CT55" s="446"/>
      <c r="CU55" s="446"/>
      <c r="CV55" s="446"/>
      <c r="CW55" s="39" t="s">
        <v>100</v>
      </c>
      <c r="CX55" s="283" t="s">
        <v>368</v>
      </c>
      <c r="CY55" s="446"/>
      <c r="CZ55" s="446"/>
      <c r="DA55" s="446"/>
      <c r="DB55" s="446"/>
      <c r="DC55" s="446"/>
      <c r="DD55" s="446"/>
      <c r="DE55" s="446"/>
      <c r="DF55" s="446"/>
      <c r="DG55" s="446"/>
      <c r="DH55" s="446"/>
      <c r="DI55" s="446"/>
      <c r="DJ55" s="446"/>
      <c r="DK55" s="446"/>
      <c r="DL55" s="446"/>
      <c r="DM55" s="446"/>
      <c r="DN55" s="446"/>
      <c r="DO55" s="446"/>
      <c r="DP55" s="258"/>
      <c r="DQ55" s="258"/>
      <c r="DR55" s="258"/>
      <c r="DS55" s="258"/>
      <c r="DT55" s="258"/>
      <c r="DU55" s="258"/>
      <c r="DV55" s="258"/>
      <c r="DW55" s="258"/>
      <c r="DX55" s="258"/>
      <c r="DY55" s="258"/>
      <c r="DZ55" s="282"/>
      <c r="EA55" s="229"/>
      <c r="EB55" s="229"/>
    </row>
    <row r="56" spans="2:132" s="219" customFormat="1" x14ac:dyDescent="0.2">
      <c r="B56" s="761" t="str">
        <f>B45</f>
        <v>Zins Fremdkapital</v>
      </c>
      <c r="C56" s="761"/>
      <c r="D56" s="762">
        <f>SUM(F143:F154)</f>
        <v>0</v>
      </c>
      <c r="E56" s="168">
        <f>SUM(F155:F166)</f>
        <v>0</v>
      </c>
      <c r="F56" s="168">
        <f>SUM(F167:F178)</f>
        <v>0</v>
      </c>
      <c r="G56" s="168">
        <f>SUM(F179:F190)</f>
        <v>0</v>
      </c>
      <c r="H56" s="366">
        <f>SUM(F191:F202)</f>
        <v>0</v>
      </c>
      <c r="I56" s="769"/>
      <c r="J56" s="769"/>
      <c r="K56" s="769"/>
      <c r="L56" s="769"/>
      <c r="M56" s="769"/>
      <c r="N56" s="769"/>
      <c r="O56" s="769"/>
      <c r="P56" s="769"/>
      <c r="Q56" s="770"/>
      <c r="R56" s="770"/>
      <c r="S56" s="756"/>
      <c r="BD56" s="594"/>
      <c r="BE56" s="594"/>
      <c r="BF56" s="594"/>
      <c r="BG56" s="594"/>
      <c r="BH56" s="594"/>
      <c r="BI56" s="594"/>
      <c r="BJ56" s="594"/>
      <c r="BK56" s="594"/>
      <c r="BL56" s="594"/>
      <c r="BM56" s="594"/>
      <c r="BN56" s="258"/>
      <c r="BO56" s="258"/>
      <c r="BP56" s="258"/>
      <c r="BQ56" s="258"/>
      <c r="BR56" s="258"/>
      <c r="BS56" s="258"/>
      <c r="BT56" s="258"/>
      <c r="BU56" s="258"/>
      <c r="BV56" s="258"/>
      <c r="BW56" s="258"/>
      <c r="BX56" s="258"/>
      <c r="BY56" s="258"/>
      <c r="BZ56" s="446"/>
      <c r="CA56" s="446"/>
      <c r="CB56" s="446"/>
      <c r="CC56" s="446"/>
      <c r="CD56" s="446"/>
      <c r="CE56" s="446"/>
      <c r="CF56" s="446"/>
      <c r="CG56" s="446"/>
      <c r="CH56" s="446"/>
      <c r="CI56" s="446"/>
      <c r="CJ56" s="446"/>
      <c r="CK56" s="446"/>
      <c r="CL56" s="446"/>
      <c r="CM56" s="446"/>
      <c r="CN56" s="446"/>
      <c r="CO56" s="446"/>
      <c r="CP56" s="446"/>
      <c r="CQ56" s="446"/>
      <c r="CR56" s="446"/>
      <c r="CS56" s="446"/>
      <c r="CT56" s="446"/>
      <c r="CU56" s="446"/>
      <c r="CV56" s="446"/>
      <c r="CW56" s="233" t="s">
        <v>97</v>
      </c>
      <c r="CX56" s="1048" t="str">
        <f>CX37</f>
        <v>Interest outside capital</v>
      </c>
      <c r="CY56" s="446"/>
      <c r="CZ56" s="446"/>
      <c r="DA56" s="446"/>
      <c r="DB56" s="446"/>
      <c r="DC56" s="446"/>
      <c r="DD56" s="446"/>
      <c r="DE56" s="446"/>
      <c r="DF56" s="446"/>
      <c r="DG56" s="446"/>
      <c r="DH56" s="446"/>
      <c r="DI56" s="446"/>
      <c r="DJ56" s="446"/>
      <c r="DK56" s="446"/>
      <c r="DL56" s="446"/>
      <c r="DM56" s="446"/>
      <c r="DN56" s="446"/>
      <c r="DO56" s="446"/>
      <c r="DP56" s="258"/>
      <c r="DQ56" s="258"/>
      <c r="DR56" s="258"/>
      <c r="DS56" s="258"/>
      <c r="DT56" s="258"/>
      <c r="DU56" s="258"/>
      <c r="DV56" s="258"/>
      <c r="DW56" s="258"/>
      <c r="DX56" s="258"/>
      <c r="DY56" s="258"/>
      <c r="DZ56" s="282"/>
      <c r="EA56" s="229"/>
      <c r="EB56" s="229"/>
    </row>
    <row r="57" spans="2:132" s="219" customFormat="1" ht="15" thickBot="1" x14ac:dyDescent="0.25">
      <c r="B57" s="761" t="str">
        <f>B46</f>
        <v>Tilgung Fremdkapital</v>
      </c>
      <c r="C57" s="761"/>
      <c r="D57" s="762">
        <f>SUM(E143:E154)</f>
        <v>0</v>
      </c>
      <c r="E57" s="168">
        <f>SUM(E155:E166)</f>
        <v>0</v>
      </c>
      <c r="F57" s="168">
        <f>SUM(E167:E178)</f>
        <v>0</v>
      </c>
      <c r="G57" s="168">
        <f>SUM(E179:E190)</f>
        <v>0</v>
      </c>
      <c r="H57" s="366">
        <f>SUM(E191:E202)</f>
        <v>0</v>
      </c>
      <c r="S57" s="756"/>
      <c r="BO57" s="258"/>
      <c r="BP57" s="258"/>
      <c r="BQ57" s="258"/>
      <c r="BR57" s="258"/>
      <c r="BS57" s="258"/>
      <c r="BT57" s="258"/>
      <c r="BU57" s="258"/>
      <c r="BV57" s="258"/>
      <c r="BW57" s="258"/>
      <c r="BX57" s="258"/>
      <c r="BY57" s="258"/>
      <c r="BZ57" s="446"/>
      <c r="CA57" s="446"/>
      <c r="CB57" s="446"/>
      <c r="CC57" s="446"/>
      <c r="CD57" s="446"/>
      <c r="CE57" s="446"/>
      <c r="CF57" s="446"/>
      <c r="CG57" s="446"/>
      <c r="CH57" s="446"/>
      <c r="CI57" s="446"/>
      <c r="CJ57" s="446"/>
      <c r="CK57" s="446"/>
      <c r="CL57" s="446"/>
      <c r="CM57" s="446"/>
      <c r="CN57" s="446"/>
      <c r="CO57" s="446"/>
      <c r="CP57" s="446"/>
      <c r="CQ57" s="446"/>
      <c r="CR57" s="446"/>
      <c r="CS57" s="446"/>
      <c r="CT57" s="446"/>
      <c r="CU57" s="446"/>
      <c r="CV57" s="446"/>
      <c r="CW57" s="233" t="s">
        <v>98</v>
      </c>
      <c r="CX57" s="1048" t="str">
        <f t="shared" ref="CX57:CX58" si="5">CX38</f>
        <v>Repayment outside capital</v>
      </c>
      <c r="CY57" s="446"/>
      <c r="CZ57" s="446"/>
      <c r="DA57" s="446"/>
      <c r="DB57" s="446"/>
      <c r="DC57" s="446"/>
      <c r="DD57" s="446"/>
      <c r="DE57" s="446"/>
      <c r="DF57" s="446"/>
      <c r="DG57" s="446"/>
      <c r="DH57" s="446"/>
      <c r="DI57" s="446"/>
      <c r="DJ57" s="446"/>
      <c r="DK57" s="446"/>
      <c r="DL57" s="446"/>
      <c r="DM57" s="446"/>
      <c r="DN57" s="446"/>
      <c r="DO57" s="446"/>
      <c r="DP57" s="258"/>
      <c r="DQ57" s="258"/>
      <c r="DR57" s="258"/>
      <c r="DS57" s="258"/>
      <c r="DT57" s="258"/>
      <c r="DU57" s="258"/>
      <c r="DV57" s="258"/>
      <c r="DW57" s="258"/>
      <c r="DX57" s="258"/>
      <c r="DY57" s="258"/>
      <c r="DZ57" s="282"/>
      <c r="EA57" s="229"/>
      <c r="EB57" s="229"/>
    </row>
    <row r="58" spans="2:132" s="219" customFormat="1" ht="15.75" thickTop="1" thickBot="1" x14ac:dyDescent="0.25">
      <c r="B58" s="1656" t="str">
        <f>B39</f>
        <v>Belastung gesamt</v>
      </c>
      <c r="C58" s="1657"/>
      <c r="D58" s="765">
        <f>D57+D56</f>
        <v>0</v>
      </c>
      <c r="E58" s="375">
        <f>E57+E56</f>
        <v>0</v>
      </c>
      <c r="F58" s="375">
        <f>F57+F56</f>
        <v>0</v>
      </c>
      <c r="G58" s="375">
        <f>G57+G56</f>
        <v>0</v>
      </c>
      <c r="H58" s="376">
        <f>H57+H56</f>
        <v>0</v>
      </c>
      <c r="I58" s="769"/>
      <c r="J58" s="769"/>
      <c r="K58" s="769"/>
      <c r="L58" s="769"/>
      <c r="M58" s="769"/>
      <c r="N58" s="769"/>
      <c r="O58" s="769"/>
      <c r="P58" s="769"/>
      <c r="Q58" s="771"/>
      <c r="R58" s="771"/>
      <c r="S58" s="756"/>
      <c r="BD58" s="594"/>
      <c r="BE58" s="594"/>
      <c r="BF58" s="594"/>
      <c r="BG58" s="594"/>
      <c r="BH58" s="594"/>
      <c r="BI58" s="594"/>
      <c r="BJ58" s="594"/>
      <c r="BK58" s="594"/>
      <c r="BL58" s="594"/>
      <c r="BM58" s="594"/>
      <c r="BN58" s="594"/>
      <c r="BO58" s="258"/>
      <c r="BP58" s="258"/>
      <c r="BQ58" s="258"/>
      <c r="BR58" s="258"/>
      <c r="BS58" s="258"/>
      <c r="BT58" s="258"/>
      <c r="BU58" s="258"/>
      <c r="BV58" s="258"/>
      <c r="BW58" s="258"/>
      <c r="BX58" s="258"/>
      <c r="BY58" s="258"/>
      <c r="BZ58" s="446"/>
      <c r="CA58" s="446"/>
      <c r="CB58" s="446"/>
      <c r="CC58" s="446"/>
      <c r="CD58" s="446"/>
      <c r="CE58" s="446"/>
      <c r="CF58" s="446"/>
      <c r="CG58" s="446"/>
      <c r="CH58" s="446"/>
      <c r="CI58" s="446"/>
      <c r="CJ58" s="446"/>
      <c r="CK58" s="446"/>
      <c r="CL58" s="446"/>
      <c r="CM58" s="446"/>
      <c r="CN58" s="446"/>
      <c r="CO58" s="446"/>
      <c r="CP58" s="446"/>
      <c r="CQ58" s="446"/>
      <c r="CR58" s="446"/>
      <c r="CS58" s="446"/>
      <c r="CT58" s="446"/>
      <c r="CU58" s="446"/>
      <c r="CV58" s="446"/>
      <c r="CW58" s="470" t="s">
        <v>99</v>
      </c>
      <c r="CX58" s="1048" t="str">
        <f t="shared" si="5"/>
        <v>Total load</v>
      </c>
      <c r="CY58" s="446"/>
      <c r="CZ58" s="446"/>
      <c r="DA58" s="446"/>
      <c r="DB58" s="446"/>
      <c r="DC58" s="446"/>
      <c r="DD58" s="446"/>
      <c r="DE58" s="446"/>
      <c r="DF58" s="446"/>
      <c r="DG58" s="446"/>
      <c r="DH58" s="446"/>
      <c r="DI58" s="446"/>
      <c r="DJ58" s="446"/>
      <c r="DK58" s="446"/>
      <c r="DL58" s="446"/>
      <c r="DM58" s="446"/>
      <c r="DN58" s="446"/>
      <c r="DO58" s="446"/>
      <c r="DP58" s="258"/>
      <c r="DQ58" s="258"/>
      <c r="DR58" s="258"/>
      <c r="DS58" s="258"/>
      <c r="DT58" s="258"/>
      <c r="DU58" s="258"/>
      <c r="DV58" s="258"/>
      <c r="DW58" s="258"/>
      <c r="DX58" s="258"/>
      <c r="DY58" s="258"/>
      <c r="DZ58" s="282"/>
      <c r="EA58" s="229"/>
      <c r="EB58" s="229"/>
    </row>
    <row r="59" spans="2:132" s="219" customFormat="1" x14ac:dyDescent="0.2">
      <c r="D59" s="251"/>
      <c r="E59" s="251"/>
      <c r="F59" s="251"/>
      <c r="G59" s="251"/>
      <c r="H59" s="251"/>
      <c r="I59" s="251"/>
      <c r="J59" s="251"/>
      <c r="K59" s="251"/>
      <c r="L59" s="251"/>
      <c r="M59" s="251"/>
      <c r="N59" s="253"/>
      <c r="O59" s="251"/>
      <c r="P59" s="251"/>
      <c r="Q59" s="707"/>
      <c r="R59" s="707"/>
      <c r="S59" s="756"/>
      <c r="BD59" s="258"/>
      <c r="BE59" s="258"/>
      <c r="BF59" s="258"/>
      <c r="BG59" s="258"/>
      <c r="BH59" s="258"/>
      <c r="BI59" s="258"/>
      <c r="BJ59" s="258"/>
      <c r="BK59" s="258"/>
      <c r="BL59" s="258"/>
      <c r="BM59" s="258"/>
      <c r="BN59" s="258"/>
      <c r="BO59" s="258"/>
      <c r="BP59" s="258"/>
      <c r="BQ59" s="258"/>
      <c r="BR59" s="258"/>
      <c r="BS59" s="258"/>
      <c r="BT59" s="258"/>
      <c r="BU59" s="257"/>
      <c r="BV59" s="258"/>
      <c r="BW59" s="258"/>
      <c r="BX59" s="258"/>
      <c r="BY59" s="258"/>
      <c r="BZ59" s="446"/>
      <c r="CA59" s="446"/>
      <c r="CB59" s="446"/>
      <c r="CC59" s="446"/>
      <c r="CD59" s="446"/>
      <c r="CE59" s="446"/>
      <c r="CF59" s="446"/>
      <c r="CG59" s="446"/>
      <c r="CH59" s="446"/>
      <c r="CI59" s="446"/>
      <c r="CJ59" s="446"/>
      <c r="CK59" s="446"/>
      <c r="CL59" s="446"/>
      <c r="CM59" s="446"/>
      <c r="CN59" s="446"/>
      <c r="CO59" s="446"/>
      <c r="CP59" s="446"/>
      <c r="CQ59" s="446"/>
      <c r="CR59" s="446"/>
      <c r="CS59" s="446"/>
      <c r="CT59" s="446"/>
      <c r="CU59" s="446"/>
      <c r="CV59" s="446"/>
      <c r="CW59" s="233"/>
      <c r="CX59" s="446"/>
      <c r="CY59" s="446"/>
      <c r="CZ59" s="446"/>
      <c r="DA59" s="446"/>
      <c r="DB59" s="446"/>
      <c r="DC59" s="446"/>
      <c r="DD59" s="446"/>
      <c r="DE59" s="446"/>
      <c r="DF59" s="446"/>
      <c r="DG59" s="446"/>
      <c r="DH59" s="446"/>
      <c r="DI59" s="446"/>
      <c r="DJ59" s="446"/>
      <c r="DK59" s="446"/>
      <c r="DL59" s="446"/>
      <c r="DM59" s="446"/>
      <c r="DN59" s="446"/>
      <c r="DO59" s="446"/>
      <c r="DP59" s="258"/>
      <c r="DQ59" s="258"/>
      <c r="DR59" s="258"/>
      <c r="DS59" s="258"/>
      <c r="DT59" s="258"/>
      <c r="DU59" s="258"/>
      <c r="DV59" s="258"/>
      <c r="DW59" s="258"/>
      <c r="DX59" s="258"/>
      <c r="DY59" s="258"/>
      <c r="DZ59" s="282"/>
      <c r="EA59" s="229"/>
      <c r="EB59" s="229"/>
    </row>
    <row r="60" spans="2:132" s="219" customFormat="1" x14ac:dyDescent="0.2">
      <c r="I60" s="55"/>
      <c r="J60" s="55"/>
      <c r="K60" s="55"/>
      <c r="L60" s="55"/>
      <c r="M60" s="55"/>
      <c r="N60" s="55"/>
      <c r="O60" s="55"/>
      <c r="P60" s="55"/>
      <c r="Q60" s="707"/>
      <c r="R60" s="707"/>
      <c r="S60" s="756"/>
      <c r="BD60" s="258"/>
      <c r="BE60" s="258"/>
      <c r="BF60" s="258"/>
      <c r="BG60" s="258"/>
      <c r="BH60" s="258"/>
      <c r="BI60" s="258"/>
      <c r="BJ60" s="258"/>
      <c r="BK60" s="258"/>
      <c r="BL60" s="258"/>
      <c r="BM60" s="258"/>
      <c r="BN60" s="258"/>
      <c r="BO60" s="258"/>
      <c r="BP60" s="258"/>
      <c r="BQ60" s="258"/>
      <c r="BR60" s="258"/>
      <c r="BS60" s="258"/>
      <c r="BT60" s="258"/>
      <c r="BU60" s="257"/>
      <c r="BV60" s="258"/>
      <c r="BW60" s="258"/>
      <c r="BX60" s="258"/>
      <c r="BY60" s="258"/>
      <c r="BZ60" s="446"/>
      <c r="CA60" s="446"/>
      <c r="CB60" s="446"/>
      <c r="CC60" s="446"/>
      <c r="CD60" s="446"/>
      <c r="CE60" s="446"/>
      <c r="CF60" s="446"/>
      <c r="CG60" s="446"/>
      <c r="CH60" s="446"/>
      <c r="CI60" s="446"/>
      <c r="CJ60" s="446"/>
      <c r="CK60" s="446"/>
      <c r="CL60" s="446"/>
      <c r="CM60" s="446"/>
      <c r="CN60" s="446"/>
      <c r="CO60" s="446"/>
      <c r="CP60" s="446"/>
      <c r="CQ60" s="446"/>
      <c r="CR60" s="446"/>
      <c r="CS60" s="446"/>
      <c r="CT60" s="446"/>
      <c r="CU60" s="446"/>
      <c r="CV60" s="446"/>
      <c r="CW60" s="233"/>
      <c r="CX60" s="446"/>
      <c r="CY60" s="446"/>
      <c r="CZ60" s="446"/>
      <c r="DA60" s="446"/>
      <c r="DB60" s="446"/>
      <c r="DC60" s="446"/>
      <c r="DD60" s="446"/>
      <c r="DE60" s="446"/>
      <c r="DF60" s="446"/>
      <c r="DG60" s="446"/>
      <c r="DH60" s="446"/>
      <c r="DI60" s="446"/>
      <c r="DJ60" s="446"/>
      <c r="DK60" s="446"/>
      <c r="DL60" s="446"/>
      <c r="DM60" s="446"/>
      <c r="DN60" s="446"/>
      <c r="DO60" s="446"/>
      <c r="DP60" s="258"/>
      <c r="DQ60" s="258"/>
      <c r="DR60" s="258"/>
      <c r="DS60" s="258"/>
      <c r="DT60" s="258"/>
      <c r="DU60" s="258"/>
      <c r="DV60" s="258"/>
      <c r="DW60" s="258"/>
      <c r="DX60" s="258"/>
      <c r="DY60" s="258"/>
      <c r="DZ60" s="282"/>
      <c r="EA60" s="229"/>
      <c r="EB60" s="229"/>
    </row>
    <row r="61" spans="2:132" s="219" customFormat="1" x14ac:dyDescent="0.2">
      <c r="I61" s="55"/>
      <c r="J61" s="55"/>
      <c r="K61" s="55"/>
      <c r="L61" s="55"/>
      <c r="M61" s="55"/>
      <c r="N61" s="55"/>
      <c r="O61" s="55"/>
      <c r="P61" s="55"/>
      <c r="Q61" s="707"/>
      <c r="R61" s="707"/>
      <c r="S61" s="756"/>
      <c r="BD61" s="258"/>
      <c r="BE61" s="258"/>
      <c r="BF61" s="258"/>
      <c r="BG61" s="258"/>
      <c r="BH61" s="258"/>
      <c r="BI61" s="258"/>
      <c r="BJ61" s="258"/>
      <c r="BK61" s="258"/>
      <c r="BL61" s="258"/>
      <c r="BM61" s="258"/>
      <c r="BN61" s="258"/>
      <c r="BO61" s="258"/>
      <c r="BP61" s="258"/>
      <c r="BQ61" s="258"/>
      <c r="BR61" s="258"/>
      <c r="BS61" s="258"/>
      <c r="BT61" s="258"/>
      <c r="BU61" s="257"/>
      <c r="BV61" s="258"/>
      <c r="BW61" s="258"/>
      <c r="BX61" s="258"/>
      <c r="BY61" s="258"/>
      <c r="BZ61" s="446"/>
      <c r="CA61" s="446"/>
      <c r="CB61" s="446"/>
      <c r="CC61" s="446"/>
      <c r="CD61" s="446"/>
      <c r="CE61" s="446"/>
      <c r="CF61" s="446"/>
      <c r="CG61" s="446"/>
      <c r="CH61" s="446"/>
      <c r="CI61" s="446"/>
      <c r="CJ61" s="446"/>
      <c r="CK61" s="446"/>
      <c r="CL61" s="446"/>
      <c r="CM61" s="446"/>
      <c r="CN61" s="446"/>
      <c r="CO61" s="446"/>
      <c r="CP61" s="446"/>
      <c r="CQ61" s="446"/>
      <c r="CR61" s="446"/>
      <c r="CS61" s="446"/>
      <c r="CT61" s="446"/>
      <c r="CU61" s="446"/>
      <c r="CV61" s="446"/>
      <c r="CW61" s="233"/>
      <c r="CX61" s="446"/>
      <c r="CY61" s="446"/>
      <c r="CZ61" s="446"/>
      <c r="DA61" s="446"/>
      <c r="DB61" s="446"/>
      <c r="DC61" s="446"/>
      <c r="DD61" s="446"/>
      <c r="DE61" s="446"/>
      <c r="DF61" s="446"/>
      <c r="DG61" s="446"/>
      <c r="DH61" s="446"/>
      <c r="DI61" s="446"/>
      <c r="DJ61" s="446"/>
      <c r="DK61" s="446"/>
      <c r="DL61" s="446"/>
      <c r="DM61" s="446"/>
      <c r="DN61" s="446"/>
      <c r="DO61" s="446"/>
      <c r="DP61" s="258"/>
      <c r="DQ61" s="258"/>
      <c r="DR61" s="258"/>
      <c r="DS61" s="258"/>
      <c r="DT61" s="258"/>
      <c r="DU61" s="258"/>
      <c r="DV61" s="258"/>
      <c r="DW61" s="258"/>
      <c r="DX61" s="258"/>
      <c r="DY61" s="258"/>
      <c r="DZ61" s="282"/>
      <c r="EA61" s="229"/>
      <c r="EB61" s="229"/>
    </row>
    <row r="62" spans="2:132" s="219" customFormat="1" ht="22.5" x14ac:dyDescent="0.3">
      <c r="I62" s="447" t="str">
        <f ca="1">IF($C$2="English",CX62,CW62)</f>
        <v>Monatliche Zins- und Tilgungsraten für die Jahre 2017 und 2018 (EUR)</v>
      </c>
      <c r="J62" s="251"/>
      <c r="K62" s="251"/>
      <c r="L62" s="251"/>
      <c r="M62" s="251"/>
      <c r="N62" s="253"/>
      <c r="O62" s="251"/>
      <c r="P62" s="251"/>
      <c r="Q62" s="707"/>
      <c r="R62" s="707"/>
      <c r="S62" s="756"/>
      <c r="BD62" s="258"/>
      <c r="BE62" s="258"/>
      <c r="BF62" s="258"/>
      <c r="BG62" s="258"/>
      <c r="BH62" s="258"/>
      <c r="BI62" s="258"/>
      <c r="BJ62" s="258"/>
      <c r="BK62" s="258"/>
      <c r="BL62" s="258"/>
      <c r="BM62" s="258"/>
      <c r="BN62" s="258"/>
      <c r="BO62" s="258"/>
      <c r="BP62" s="258"/>
      <c r="BQ62" s="258"/>
      <c r="BR62" s="258"/>
      <c r="BS62" s="258"/>
      <c r="BT62" s="258"/>
      <c r="BU62" s="257"/>
      <c r="BV62" s="258"/>
      <c r="BW62" s="258"/>
      <c r="BX62" s="258"/>
      <c r="BY62" s="258"/>
      <c r="BZ62" s="446"/>
      <c r="CA62" s="446"/>
      <c r="CB62" s="446"/>
      <c r="CC62" s="446"/>
      <c r="CD62" s="446"/>
      <c r="CE62" s="446"/>
      <c r="CF62" s="446"/>
      <c r="CG62" s="446"/>
      <c r="CH62" s="446"/>
      <c r="CI62" s="446"/>
      <c r="CJ62" s="446"/>
      <c r="CK62" s="446"/>
      <c r="CL62" s="446"/>
      <c r="CM62" s="446"/>
      <c r="CN62" s="446"/>
      <c r="CO62" s="446"/>
      <c r="CP62" s="446"/>
      <c r="CQ62" s="446"/>
      <c r="CR62" s="446"/>
      <c r="CS62" s="446"/>
      <c r="CT62" s="446"/>
      <c r="CU62" s="446"/>
      <c r="CV62" s="446"/>
      <c r="CW62" s="233" t="str">
        <f ca="1">"Monatliche Zins- und Tilgungsraten für die Jahre " &amp;'1 Pers.Ausgaben|Pers Expenses'!$C$4 &amp; " und " &amp; '1 Pers.Ausgaben|Pers Expenses'!$C$4+1 &amp;" (EUR)"</f>
        <v>Monatliche Zins- und Tilgungsraten für die Jahre 2017 und 2018 (EUR)</v>
      </c>
      <c r="CX62" s="446" t="str">
        <f ca="1">"Monthly  Rate of Interest and Repayment for the Year " &amp;'1 Pers.Ausgaben|Pers Expenses'!$C$4 &amp; " and " &amp; '1 Pers.Ausgaben|Pers Expenses'!$C$4+1&amp; " (EUR)"</f>
        <v>Monthly  Rate of Interest and Repayment for the Year 2017 and 2018 (EUR)</v>
      </c>
      <c r="CY62" s="446"/>
      <c r="CZ62" s="446"/>
      <c r="DA62" s="446"/>
      <c r="DB62" s="446"/>
      <c r="DC62" s="446"/>
      <c r="DD62" s="446"/>
      <c r="DE62" s="446"/>
      <c r="DF62" s="446"/>
      <c r="DG62" s="446"/>
      <c r="DH62" s="446"/>
      <c r="DI62" s="446"/>
      <c r="DJ62" s="446"/>
      <c r="DK62" s="446"/>
      <c r="DL62" s="446"/>
      <c r="DM62" s="446"/>
      <c r="DN62" s="446"/>
      <c r="DO62" s="446"/>
      <c r="DP62" s="258"/>
      <c r="DQ62" s="258"/>
      <c r="DR62" s="258"/>
      <c r="DS62" s="258"/>
      <c r="DT62" s="258"/>
      <c r="DU62" s="258"/>
      <c r="DV62" s="258"/>
      <c r="DW62" s="258"/>
      <c r="DX62" s="258"/>
      <c r="DY62" s="258"/>
      <c r="DZ62" s="282"/>
      <c r="EA62" s="229"/>
      <c r="EB62" s="229"/>
    </row>
    <row r="63" spans="2:132" s="219" customFormat="1" x14ac:dyDescent="0.2">
      <c r="I63" s="251"/>
      <c r="J63" s="251"/>
      <c r="K63" s="251"/>
      <c r="L63" s="251"/>
      <c r="M63" s="251"/>
      <c r="N63" s="253"/>
      <c r="O63" s="251"/>
      <c r="P63" s="251"/>
      <c r="Q63" s="707"/>
      <c r="R63" s="707"/>
      <c r="S63" s="756"/>
      <c r="BD63" s="258"/>
      <c r="BE63" s="258"/>
      <c r="BF63" s="258"/>
      <c r="BG63" s="258"/>
      <c r="BH63" s="258"/>
      <c r="BI63" s="258"/>
      <c r="BJ63" s="258"/>
      <c r="BK63" s="258"/>
      <c r="BL63" s="258"/>
      <c r="BM63" s="258"/>
      <c r="BN63" s="258"/>
      <c r="BO63" s="258"/>
      <c r="BP63" s="258"/>
      <c r="BQ63" s="258"/>
      <c r="BR63" s="258"/>
      <c r="BS63" s="258"/>
      <c r="BT63" s="258"/>
      <c r="BU63" s="257"/>
      <c r="BV63" s="258"/>
      <c r="BW63" s="258"/>
      <c r="BX63" s="258"/>
      <c r="BY63" s="258"/>
      <c r="BZ63" s="446"/>
      <c r="CA63" s="446"/>
      <c r="CB63" s="446"/>
      <c r="CC63" s="446"/>
      <c r="CD63" s="446"/>
      <c r="CE63" s="446"/>
      <c r="CF63" s="446"/>
      <c r="CG63" s="446"/>
      <c r="CH63" s="446"/>
      <c r="CI63" s="446"/>
      <c r="CJ63" s="446"/>
      <c r="CK63" s="446"/>
      <c r="CL63" s="446"/>
      <c r="CM63" s="446"/>
      <c r="CN63" s="446"/>
      <c r="CO63" s="446"/>
      <c r="CP63" s="446"/>
      <c r="CQ63" s="446"/>
      <c r="CR63" s="446"/>
      <c r="CS63" s="446"/>
      <c r="CT63" s="446"/>
      <c r="CU63" s="446"/>
      <c r="CV63" s="446"/>
      <c r="CW63" s="233"/>
      <c r="CX63" s="446"/>
      <c r="CY63" s="446"/>
      <c r="CZ63" s="446"/>
      <c r="DA63" s="446"/>
      <c r="DB63" s="446"/>
      <c r="DC63" s="446"/>
      <c r="DD63" s="446"/>
      <c r="DE63" s="446"/>
      <c r="DF63" s="446"/>
      <c r="DG63" s="446"/>
      <c r="DH63" s="446"/>
      <c r="DI63" s="446"/>
      <c r="DJ63" s="446"/>
      <c r="DK63" s="446"/>
      <c r="DL63" s="446"/>
      <c r="DM63" s="446"/>
      <c r="DN63" s="446"/>
      <c r="DO63" s="446"/>
      <c r="DP63" s="258"/>
      <c r="DQ63" s="258"/>
      <c r="DR63" s="258"/>
      <c r="DS63" s="258"/>
      <c r="DT63" s="258"/>
      <c r="DU63" s="258"/>
      <c r="DV63" s="258"/>
      <c r="DW63" s="258"/>
      <c r="DX63" s="258"/>
      <c r="DY63" s="258"/>
      <c r="DZ63" s="282"/>
      <c r="EA63" s="229"/>
      <c r="EB63" s="229"/>
    </row>
    <row r="64" spans="2:132" s="219" customFormat="1" x14ac:dyDescent="0.2">
      <c r="P64" s="251"/>
      <c r="Q64" s="707"/>
      <c r="R64" s="707"/>
      <c r="S64" s="756"/>
      <c r="BD64" s="258"/>
      <c r="BE64" s="258"/>
      <c r="BF64" s="258"/>
      <c r="BG64" s="258"/>
      <c r="BH64" s="258"/>
      <c r="BI64" s="258"/>
      <c r="BJ64" s="258"/>
      <c r="BK64" s="258"/>
      <c r="BL64" s="258"/>
      <c r="BM64" s="258"/>
      <c r="BN64" s="258"/>
      <c r="BO64" s="258"/>
      <c r="BP64" s="258"/>
      <c r="BQ64" s="258"/>
      <c r="BR64" s="258"/>
      <c r="BS64" s="258"/>
      <c r="BT64" s="258"/>
      <c r="BU64" s="257"/>
      <c r="BV64" s="258"/>
      <c r="BW64" s="258"/>
      <c r="BX64" s="258"/>
      <c r="BY64" s="258"/>
      <c r="BZ64" s="446"/>
      <c r="CA64" s="446"/>
      <c r="CB64" s="446"/>
      <c r="CC64" s="446"/>
      <c r="CD64" s="446"/>
      <c r="CE64" s="446"/>
      <c r="CF64" s="446"/>
      <c r="CG64" s="446"/>
      <c r="CH64" s="446"/>
      <c r="CI64" s="446"/>
      <c r="CJ64" s="446"/>
      <c r="CK64" s="446"/>
      <c r="CL64" s="446"/>
      <c r="CM64" s="446"/>
      <c r="CN64" s="446"/>
      <c r="CO64" s="446"/>
      <c r="CP64" s="446"/>
      <c r="CQ64" s="446"/>
      <c r="CR64" s="446"/>
      <c r="CS64" s="446"/>
      <c r="CT64" s="446"/>
      <c r="CU64" s="446"/>
      <c r="CV64" s="446"/>
      <c r="CW64" s="233"/>
      <c r="CX64" s="446"/>
      <c r="CY64" s="446"/>
      <c r="CZ64" s="446"/>
      <c r="DA64" s="446"/>
      <c r="DB64" s="446"/>
      <c r="DC64" s="446"/>
      <c r="DD64" s="446"/>
      <c r="DE64" s="446"/>
      <c r="DF64" s="446"/>
      <c r="DG64" s="446"/>
      <c r="DH64" s="446"/>
      <c r="DI64" s="446"/>
      <c r="DJ64" s="446"/>
      <c r="DK64" s="446"/>
      <c r="DL64" s="446"/>
      <c r="DM64" s="446"/>
      <c r="DN64" s="446"/>
      <c r="DO64" s="446"/>
      <c r="DP64" s="258"/>
      <c r="DQ64" s="258"/>
      <c r="DR64" s="258"/>
      <c r="DS64" s="258"/>
      <c r="DT64" s="258"/>
      <c r="DU64" s="258"/>
      <c r="DV64" s="258"/>
      <c r="DW64" s="258"/>
      <c r="DX64" s="258"/>
      <c r="DY64" s="258"/>
      <c r="DZ64" s="282"/>
      <c r="EA64" s="229"/>
      <c r="EB64" s="229"/>
    </row>
    <row r="65" spans="2:132" s="55" customFormat="1" ht="16.350000000000001" customHeight="1" x14ac:dyDescent="0.2">
      <c r="I65" s="65"/>
      <c r="J65" s="65"/>
      <c r="P65" s="65"/>
      <c r="Q65" s="772"/>
      <c r="R65" s="772"/>
      <c r="S65" s="727"/>
      <c r="BD65" s="629"/>
      <c r="BE65" s="629"/>
      <c r="BF65" s="629"/>
      <c r="BG65" s="629"/>
      <c r="BH65" s="629"/>
      <c r="BI65" s="629"/>
      <c r="BJ65" s="629"/>
      <c r="BK65" s="629"/>
      <c r="BL65" s="629"/>
      <c r="BM65" s="629"/>
      <c r="BN65" s="629"/>
      <c r="BO65" s="629"/>
      <c r="BP65" s="629"/>
      <c r="BQ65" s="629"/>
      <c r="BR65" s="629"/>
      <c r="BS65" s="629"/>
      <c r="BT65" s="629"/>
      <c r="BU65" s="662"/>
      <c r="BV65" s="629"/>
      <c r="BW65" s="629"/>
      <c r="BX65" s="629"/>
      <c r="BY65" s="629"/>
      <c r="BZ65" s="492"/>
      <c r="CA65" s="492"/>
      <c r="CB65" s="492"/>
      <c r="CC65" s="492"/>
      <c r="CD65" s="492"/>
      <c r="CE65" s="492"/>
      <c r="CF65" s="492"/>
      <c r="CG65" s="492"/>
      <c r="CH65" s="492"/>
      <c r="CI65" s="492"/>
      <c r="CJ65" s="492"/>
      <c r="CK65" s="492"/>
      <c r="CL65" s="492"/>
      <c r="CM65" s="492"/>
      <c r="CN65" s="492"/>
      <c r="CO65" s="492"/>
      <c r="CP65" s="492"/>
      <c r="CQ65" s="492"/>
      <c r="CR65" s="492"/>
      <c r="CS65" s="492"/>
      <c r="CT65" s="492"/>
      <c r="CU65" s="492"/>
      <c r="CV65" s="492"/>
      <c r="CW65" s="39"/>
      <c r="CX65" s="492"/>
      <c r="CY65" s="492"/>
      <c r="CZ65" s="492"/>
      <c r="DA65" s="492"/>
      <c r="DB65" s="492"/>
      <c r="DC65" s="492"/>
      <c r="DD65" s="492"/>
      <c r="DE65" s="492"/>
      <c r="DF65" s="492"/>
      <c r="DG65" s="492"/>
      <c r="DH65" s="492"/>
      <c r="DI65" s="492"/>
      <c r="DJ65" s="492"/>
      <c r="DK65" s="492"/>
      <c r="DL65" s="492"/>
      <c r="DM65" s="492"/>
      <c r="DN65" s="492"/>
      <c r="DO65" s="492"/>
      <c r="DP65" s="629"/>
      <c r="DQ65" s="629"/>
      <c r="DR65" s="629"/>
      <c r="DS65" s="629"/>
      <c r="DT65" s="629"/>
      <c r="DU65" s="629"/>
      <c r="DV65" s="629"/>
      <c r="DW65" s="629"/>
      <c r="DX65" s="629"/>
      <c r="DY65" s="629"/>
      <c r="DZ65" s="773"/>
      <c r="EA65" s="155"/>
      <c r="EB65" s="155"/>
    </row>
    <row r="66" spans="2:132" x14ac:dyDescent="0.2">
      <c r="B66" s="219"/>
      <c r="C66" s="219"/>
      <c r="D66" s="251"/>
      <c r="E66" s="251"/>
      <c r="F66" s="251"/>
      <c r="G66" s="251"/>
      <c r="H66" s="251"/>
      <c r="I66" s="251"/>
      <c r="J66" s="251"/>
      <c r="K66" s="251"/>
      <c r="L66" s="251"/>
      <c r="M66" s="251"/>
      <c r="N66" s="253"/>
      <c r="O66" s="251"/>
      <c r="P66" s="251"/>
    </row>
    <row r="67" spans="2:132" x14ac:dyDescent="0.2">
      <c r="B67" s="219"/>
      <c r="C67" s="219"/>
      <c r="D67" s="251"/>
      <c r="E67" s="251"/>
      <c r="F67" s="251"/>
      <c r="G67" s="251"/>
      <c r="H67" s="251"/>
      <c r="I67" s="251"/>
      <c r="J67" s="251"/>
      <c r="K67" s="251"/>
      <c r="L67" s="251"/>
      <c r="M67" s="251"/>
      <c r="N67" s="253"/>
      <c r="O67" s="251"/>
      <c r="P67" s="251"/>
    </row>
    <row r="68" spans="2:132" x14ac:dyDescent="0.2">
      <c r="B68" s="219"/>
      <c r="C68" s="219"/>
      <c r="D68" s="251"/>
      <c r="E68" s="251"/>
      <c r="F68" s="251"/>
      <c r="G68" s="251"/>
      <c r="H68" s="251"/>
      <c r="I68" s="251"/>
      <c r="J68" s="251"/>
      <c r="K68" s="251"/>
      <c r="L68" s="251"/>
      <c r="M68" s="251"/>
      <c r="N68" s="253"/>
      <c r="O68" s="251"/>
      <c r="P68" s="251"/>
    </row>
    <row r="69" spans="2:132" x14ac:dyDescent="0.2">
      <c r="B69" s="219"/>
      <c r="C69" s="219"/>
      <c r="D69" s="251"/>
      <c r="E69" s="251"/>
      <c r="F69" s="251"/>
      <c r="G69" s="251"/>
      <c r="H69" s="251"/>
      <c r="I69" s="251"/>
      <c r="J69" s="251"/>
      <c r="K69" s="251"/>
      <c r="L69" s="251"/>
      <c r="M69" s="251"/>
      <c r="N69" s="253"/>
      <c r="O69" s="251"/>
      <c r="P69" s="251"/>
    </row>
    <row r="70" spans="2:132" x14ac:dyDescent="0.2">
      <c r="B70" s="219"/>
      <c r="C70" s="219"/>
      <c r="D70" s="251"/>
      <c r="E70" s="251"/>
      <c r="F70" s="251"/>
      <c r="G70" s="251"/>
      <c r="H70" s="251"/>
      <c r="I70" s="251"/>
      <c r="J70" s="251"/>
      <c r="K70" s="251"/>
      <c r="L70" s="251"/>
      <c r="M70" s="251"/>
      <c r="N70" s="253"/>
      <c r="O70" s="251"/>
      <c r="P70" s="251"/>
    </row>
    <row r="71" spans="2:132" x14ac:dyDescent="0.2">
      <c r="B71" s="219"/>
      <c r="C71" s="219"/>
      <c r="D71" s="251"/>
      <c r="E71" s="251"/>
      <c r="F71" s="251"/>
      <c r="G71" s="251"/>
      <c r="H71" s="251"/>
      <c r="I71" s="251"/>
      <c r="J71" s="251"/>
      <c r="K71" s="251"/>
      <c r="L71" s="251"/>
      <c r="M71" s="251"/>
      <c r="N71" s="253"/>
      <c r="O71" s="251"/>
      <c r="P71" s="251"/>
    </row>
    <row r="72" spans="2:132" x14ac:dyDescent="0.2">
      <c r="B72" s="219"/>
      <c r="C72" s="219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3"/>
      <c r="O72" s="251"/>
      <c r="P72" s="251"/>
    </row>
    <row r="73" spans="2:132" x14ac:dyDescent="0.2">
      <c r="B73" s="219"/>
      <c r="C73" s="219"/>
      <c r="D73" s="251"/>
      <c r="E73" s="251"/>
      <c r="F73" s="251"/>
      <c r="G73" s="251"/>
      <c r="H73" s="251"/>
      <c r="I73" s="251"/>
      <c r="J73" s="251"/>
      <c r="K73" s="251"/>
      <c r="L73" s="251"/>
      <c r="M73" s="251"/>
      <c r="N73" s="253"/>
      <c r="O73" s="251"/>
      <c r="P73" s="251"/>
    </row>
    <row r="74" spans="2:132" x14ac:dyDescent="0.2">
      <c r="B74" s="219"/>
      <c r="C74" s="219"/>
      <c r="D74" s="251"/>
      <c r="E74" s="251"/>
      <c r="F74" s="251"/>
      <c r="G74" s="251"/>
      <c r="H74" s="251"/>
      <c r="I74" s="251"/>
      <c r="J74" s="251"/>
      <c r="K74" s="251"/>
      <c r="L74" s="251"/>
      <c r="M74" s="251"/>
      <c r="N74" s="253"/>
      <c r="O74" s="251"/>
      <c r="P74" s="251"/>
      <c r="S74" s="774" t="s">
        <v>251</v>
      </c>
    </row>
    <row r="75" spans="2:132" s="219" customFormat="1" x14ac:dyDescent="0.2">
      <c r="I75" s="769"/>
      <c r="J75" s="769"/>
      <c r="K75" s="769"/>
      <c r="L75" s="769"/>
      <c r="M75" s="769"/>
      <c r="N75" s="769"/>
      <c r="O75" s="769"/>
      <c r="P75" s="769"/>
      <c r="Q75" s="771"/>
      <c r="R75" s="771"/>
      <c r="S75" s="775"/>
      <c r="BD75" s="594"/>
      <c r="BE75" s="594"/>
      <c r="BF75" s="594"/>
      <c r="BG75" s="594"/>
      <c r="BH75" s="594"/>
      <c r="BI75" s="594"/>
      <c r="BJ75" s="594"/>
      <c r="BK75" s="594"/>
      <c r="BL75" s="594"/>
      <c r="BM75" s="594"/>
      <c r="BN75" s="594"/>
      <c r="BO75" s="258"/>
      <c r="BP75" s="258"/>
      <c r="BQ75" s="258"/>
      <c r="BR75" s="258"/>
      <c r="BS75" s="258"/>
      <c r="BT75" s="258"/>
      <c r="BU75" s="258"/>
      <c r="BV75" s="258"/>
      <c r="BW75" s="258"/>
      <c r="BX75" s="258"/>
      <c r="BY75" s="258"/>
      <c r="BZ75" s="446"/>
      <c r="CA75" s="446"/>
      <c r="CB75" s="446"/>
      <c r="CC75" s="446"/>
      <c r="CD75" s="446"/>
      <c r="CE75" s="446"/>
      <c r="CF75" s="446"/>
      <c r="CG75" s="446"/>
      <c r="CH75" s="446"/>
      <c r="CI75" s="446"/>
      <c r="CJ75" s="446"/>
      <c r="CK75" s="446"/>
      <c r="CL75" s="446"/>
      <c r="CM75" s="446"/>
      <c r="CN75" s="446"/>
      <c r="CO75" s="446"/>
      <c r="CP75" s="446"/>
      <c r="CQ75" s="446"/>
      <c r="CR75" s="446"/>
      <c r="CS75" s="446"/>
      <c r="CT75" s="446"/>
      <c r="CU75" s="446"/>
      <c r="CV75" s="446"/>
      <c r="CW75" s="233"/>
      <c r="CX75" s="446"/>
      <c r="CY75" s="446"/>
      <c r="CZ75" s="446"/>
      <c r="DA75" s="446"/>
      <c r="DB75" s="446"/>
      <c r="DC75" s="446"/>
      <c r="DD75" s="446"/>
      <c r="DE75" s="446"/>
      <c r="DF75" s="446"/>
      <c r="DG75" s="446"/>
      <c r="DH75" s="446"/>
      <c r="DI75" s="446"/>
      <c r="DJ75" s="446"/>
      <c r="DK75" s="446"/>
      <c r="DL75" s="446"/>
      <c r="DM75" s="446"/>
      <c r="DN75" s="446"/>
      <c r="DO75" s="446"/>
      <c r="DP75" s="258"/>
      <c r="DQ75" s="258"/>
      <c r="DR75" s="258"/>
      <c r="DS75" s="258"/>
      <c r="DT75" s="258"/>
      <c r="DU75" s="258"/>
      <c r="DV75" s="258"/>
      <c r="DW75" s="258"/>
      <c r="DX75" s="258"/>
      <c r="DY75" s="258"/>
      <c r="DZ75" s="282"/>
      <c r="EA75" s="229"/>
      <c r="EB75" s="229"/>
    </row>
    <row r="76" spans="2:132" s="219" customFormat="1" x14ac:dyDescent="0.2">
      <c r="I76" s="769"/>
      <c r="J76" s="769"/>
      <c r="K76" s="769"/>
      <c r="L76" s="769"/>
      <c r="M76" s="769"/>
      <c r="N76" s="769"/>
      <c r="O76" s="769"/>
      <c r="P76" s="769"/>
      <c r="Q76" s="771"/>
      <c r="R76" s="771"/>
      <c r="S76" s="770"/>
      <c r="T76" s="769"/>
      <c r="U76" s="769"/>
      <c r="V76" s="769"/>
      <c r="W76" s="769"/>
      <c r="X76" s="769"/>
      <c r="Y76" s="769"/>
      <c r="Z76" s="769"/>
      <c r="AA76" s="776"/>
      <c r="BD76" s="594"/>
      <c r="BE76" s="594"/>
      <c r="BF76" s="594"/>
      <c r="BG76" s="594"/>
      <c r="BH76" s="594"/>
      <c r="BI76" s="594"/>
      <c r="BJ76" s="594"/>
      <c r="BK76" s="594"/>
      <c r="BL76" s="594"/>
      <c r="BM76" s="594"/>
      <c r="BN76" s="594"/>
      <c r="BO76" s="258"/>
      <c r="BP76" s="258"/>
      <c r="BQ76" s="258"/>
      <c r="BR76" s="258"/>
      <c r="BS76" s="258"/>
      <c r="BT76" s="258"/>
      <c r="BU76" s="258"/>
      <c r="BV76" s="258"/>
      <c r="BW76" s="258"/>
      <c r="BX76" s="258"/>
      <c r="BY76" s="258"/>
      <c r="BZ76" s="446"/>
      <c r="CA76" s="446"/>
      <c r="CB76" s="446"/>
      <c r="CC76" s="446"/>
      <c r="CD76" s="446"/>
      <c r="CE76" s="446"/>
      <c r="CF76" s="446"/>
      <c r="CG76" s="446"/>
      <c r="CH76" s="446"/>
      <c r="CI76" s="446"/>
      <c r="CJ76" s="446"/>
      <c r="CK76" s="446"/>
      <c r="CL76" s="446"/>
      <c r="CM76" s="446"/>
      <c r="CN76" s="446"/>
      <c r="CO76" s="446"/>
      <c r="CP76" s="446"/>
      <c r="CQ76" s="446"/>
      <c r="CR76" s="446"/>
      <c r="CS76" s="446"/>
      <c r="CT76" s="446"/>
      <c r="CU76" s="446"/>
      <c r="CV76" s="446"/>
      <c r="CW76" s="233"/>
      <c r="CX76" s="446"/>
      <c r="CY76" s="446"/>
      <c r="CZ76" s="446"/>
      <c r="DA76" s="446"/>
      <c r="DB76" s="446"/>
      <c r="DC76" s="446"/>
      <c r="DD76" s="446"/>
      <c r="DE76" s="446"/>
      <c r="DF76" s="446"/>
      <c r="DG76" s="446"/>
      <c r="DH76" s="446"/>
      <c r="DI76" s="446"/>
      <c r="DJ76" s="446"/>
      <c r="DK76" s="446"/>
      <c r="DL76" s="446"/>
      <c r="DM76" s="446"/>
      <c r="DN76" s="446"/>
      <c r="DO76" s="446"/>
      <c r="DP76" s="258"/>
      <c r="DQ76" s="258"/>
      <c r="DR76" s="258"/>
      <c r="DS76" s="258"/>
      <c r="DT76" s="258"/>
      <c r="DU76" s="258"/>
      <c r="DV76" s="258"/>
      <c r="DW76" s="258"/>
      <c r="DX76" s="258"/>
      <c r="DY76" s="258"/>
      <c r="DZ76" s="282"/>
      <c r="EA76" s="229"/>
      <c r="EB76" s="229"/>
    </row>
    <row r="77" spans="2:132" s="219" customFormat="1" x14ac:dyDescent="0.2">
      <c r="D77" s="594"/>
      <c r="E77" s="769"/>
      <c r="F77" s="769"/>
      <c r="G77" s="769"/>
      <c r="H77" s="769"/>
      <c r="I77" s="769"/>
      <c r="J77" s="769"/>
      <c r="K77" s="769"/>
      <c r="L77" s="769"/>
      <c r="M77" s="769"/>
      <c r="N77" s="769"/>
      <c r="O77" s="769"/>
      <c r="P77" s="769"/>
      <c r="Q77" s="771"/>
      <c r="R77" s="771"/>
      <c r="S77" s="770"/>
      <c r="T77" s="769"/>
      <c r="U77" s="769"/>
      <c r="V77" s="769"/>
      <c r="W77" s="769"/>
      <c r="X77" s="769"/>
      <c r="Y77" s="769"/>
      <c r="Z77" s="769"/>
      <c r="AA77" s="776"/>
      <c r="BD77" s="594"/>
      <c r="BE77" s="594"/>
      <c r="BF77" s="594"/>
      <c r="BG77" s="594"/>
      <c r="BH77" s="594"/>
      <c r="BI77" s="594"/>
      <c r="BJ77" s="594"/>
      <c r="BK77" s="594"/>
      <c r="BL77" s="594"/>
      <c r="BM77" s="594"/>
      <c r="BN77" s="594"/>
      <c r="BO77" s="258"/>
      <c r="BP77" s="258"/>
      <c r="BQ77" s="258"/>
      <c r="BR77" s="258"/>
      <c r="BS77" s="258"/>
      <c r="BT77" s="258"/>
      <c r="BU77" s="258"/>
      <c r="BV77" s="258"/>
      <c r="BW77" s="258"/>
      <c r="BX77" s="258"/>
      <c r="BY77" s="258"/>
      <c r="BZ77" s="446"/>
      <c r="CA77" s="446"/>
      <c r="CB77" s="446"/>
      <c r="CC77" s="446"/>
      <c r="CD77" s="446"/>
      <c r="CE77" s="446"/>
      <c r="CF77" s="446"/>
      <c r="CG77" s="446"/>
      <c r="CH77" s="446"/>
      <c r="CI77" s="446"/>
      <c r="CJ77" s="446"/>
      <c r="CK77" s="446"/>
      <c r="CL77" s="446"/>
      <c r="CM77" s="446"/>
      <c r="CN77" s="446"/>
      <c r="CO77" s="446"/>
      <c r="CP77" s="446"/>
      <c r="CQ77" s="446"/>
      <c r="CR77" s="446"/>
      <c r="CS77" s="446"/>
      <c r="CT77" s="446"/>
      <c r="CU77" s="446"/>
      <c r="CV77" s="446"/>
      <c r="CW77" s="233"/>
      <c r="CX77" s="446"/>
      <c r="CY77" s="446"/>
      <c r="CZ77" s="446"/>
      <c r="DA77" s="446"/>
      <c r="DB77" s="446"/>
      <c r="DC77" s="446"/>
      <c r="DD77" s="446"/>
      <c r="DE77" s="446"/>
      <c r="DF77" s="446"/>
      <c r="DG77" s="446"/>
      <c r="DH77" s="446"/>
      <c r="DI77" s="446"/>
      <c r="DJ77" s="446"/>
      <c r="DK77" s="446"/>
      <c r="DL77" s="446"/>
      <c r="DM77" s="446"/>
      <c r="DN77" s="446"/>
      <c r="DO77" s="446"/>
      <c r="DP77" s="258"/>
      <c r="DQ77" s="258"/>
      <c r="DR77" s="258"/>
      <c r="DS77" s="258"/>
      <c r="DT77" s="258"/>
      <c r="DU77" s="258"/>
      <c r="DV77" s="258"/>
      <c r="DW77" s="258"/>
      <c r="DX77" s="258"/>
      <c r="DY77" s="258"/>
      <c r="DZ77" s="282"/>
      <c r="EA77" s="229"/>
      <c r="EB77" s="229"/>
    </row>
    <row r="78" spans="2:132" s="219" customFormat="1" x14ac:dyDescent="0.2">
      <c r="D78" s="594"/>
      <c r="E78" s="769"/>
      <c r="F78" s="769"/>
      <c r="G78" s="769"/>
      <c r="H78" s="769"/>
      <c r="I78" s="769"/>
      <c r="J78" s="769"/>
      <c r="K78" s="769"/>
      <c r="L78" s="769"/>
      <c r="M78" s="769"/>
      <c r="N78" s="769"/>
      <c r="O78" s="769"/>
      <c r="P78" s="769"/>
      <c r="Q78" s="771"/>
      <c r="R78" s="771"/>
      <c r="S78" s="770"/>
      <c r="T78" s="769"/>
      <c r="U78" s="769"/>
      <c r="V78" s="769"/>
      <c r="W78" s="769"/>
      <c r="X78" s="769"/>
      <c r="Y78" s="769"/>
      <c r="Z78" s="769"/>
      <c r="AA78" s="776"/>
      <c r="BD78" s="594"/>
      <c r="BE78" s="594"/>
      <c r="BF78" s="594"/>
      <c r="BG78" s="594"/>
      <c r="BH78" s="594"/>
      <c r="BI78" s="594"/>
      <c r="BJ78" s="594"/>
      <c r="BK78" s="594"/>
      <c r="BL78" s="594"/>
      <c r="BM78" s="594"/>
      <c r="BN78" s="594"/>
      <c r="BO78" s="258"/>
      <c r="BP78" s="258"/>
      <c r="BQ78" s="258"/>
      <c r="BR78" s="258"/>
      <c r="BS78" s="258"/>
      <c r="BT78" s="258"/>
      <c r="BU78" s="258"/>
      <c r="BV78" s="258"/>
      <c r="BW78" s="258"/>
      <c r="BX78" s="258"/>
      <c r="BY78" s="258"/>
      <c r="BZ78" s="446"/>
      <c r="CA78" s="446"/>
      <c r="CB78" s="446"/>
      <c r="CC78" s="446"/>
      <c r="CD78" s="446"/>
      <c r="CE78" s="446"/>
      <c r="CF78" s="446"/>
      <c r="CG78" s="446"/>
      <c r="CH78" s="446"/>
      <c r="CI78" s="446"/>
      <c r="CJ78" s="446"/>
      <c r="CK78" s="446"/>
      <c r="CL78" s="446"/>
      <c r="CM78" s="446"/>
      <c r="CN78" s="446"/>
      <c r="CO78" s="446"/>
      <c r="CP78" s="446"/>
      <c r="CQ78" s="446"/>
      <c r="CR78" s="446"/>
      <c r="CS78" s="446"/>
      <c r="CT78" s="446"/>
      <c r="CU78" s="446"/>
      <c r="CV78" s="446"/>
      <c r="CW78" s="233"/>
      <c r="CX78" s="446"/>
      <c r="CY78" s="446"/>
      <c r="CZ78" s="446"/>
      <c r="DA78" s="446"/>
      <c r="DB78" s="446"/>
      <c r="DC78" s="446"/>
      <c r="DD78" s="446"/>
      <c r="DE78" s="446"/>
      <c r="DF78" s="446"/>
      <c r="DG78" s="446"/>
      <c r="DH78" s="446"/>
      <c r="DI78" s="446"/>
      <c r="DJ78" s="446"/>
      <c r="DK78" s="446"/>
      <c r="DL78" s="446"/>
      <c r="DM78" s="446"/>
      <c r="DN78" s="446"/>
      <c r="DO78" s="446"/>
      <c r="DP78" s="258"/>
      <c r="DQ78" s="258"/>
      <c r="DR78" s="258"/>
      <c r="DS78" s="258"/>
      <c r="DT78" s="258"/>
      <c r="DU78" s="258"/>
      <c r="DV78" s="258"/>
      <c r="DW78" s="258"/>
      <c r="DX78" s="258"/>
      <c r="DY78" s="258"/>
      <c r="DZ78" s="282"/>
      <c r="EA78" s="229"/>
      <c r="EB78" s="229"/>
    </row>
    <row r="79" spans="2:132" s="219" customFormat="1" x14ac:dyDescent="0.2">
      <c r="D79" s="594"/>
      <c r="E79" s="769"/>
      <c r="F79" s="769"/>
      <c r="G79" s="769"/>
      <c r="H79" s="769"/>
      <c r="I79" s="769"/>
      <c r="J79" s="769"/>
      <c r="K79" s="769"/>
      <c r="L79" s="769"/>
      <c r="M79" s="769"/>
      <c r="N79" s="769"/>
      <c r="O79" s="769"/>
      <c r="P79" s="769"/>
      <c r="Q79" s="771"/>
      <c r="R79" s="771"/>
      <c r="S79" s="770"/>
      <c r="T79" s="769"/>
      <c r="U79" s="769"/>
      <c r="V79" s="769"/>
      <c r="W79" s="769"/>
      <c r="X79" s="769"/>
      <c r="Y79" s="769"/>
      <c r="Z79" s="769"/>
      <c r="AA79" s="776"/>
      <c r="BD79" s="594"/>
      <c r="BE79" s="594"/>
      <c r="BF79" s="594"/>
      <c r="BG79" s="594"/>
      <c r="BH79" s="594"/>
      <c r="BI79" s="594"/>
      <c r="BJ79" s="594"/>
      <c r="BK79" s="594"/>
      <c r="BL79" s="594"/>
      <c r="BM79" s="594"/>
      <c r="BN79" s="594"/>
      <c r="BO79" s="258"/>
      <c r="BP79" s="258"/>
      <c r="BQ79" s="258"/>
      <c r="BR79" s="258"/>
      <c r="BS79" s="258"/>
      <c r="BT79" s="258"/>
      <c r="BU79" s="258"/>
      <c r="BV79" s="258"/>
      <c r="BW79" s="258"/>
      <c r="BX79" s="258"/>
      <c r="BY79" s="258"/>
      <c r="BZ79" s="446"/>
      <c r="CA79" s="446"/>
      <c r="CB79" s="446"/>
      <c r="CC79" s="446"/>
      <c r="CD79" s="446"/>
      <c r="CE79" s="446"/>
      <c r="CF79" s="446"/>
      <c r="CG79" s="446"/>
      <c r="CH79" s="446"/>
      <c r="CI79" s="446"/>
      <c r="CJ79" s="446"/>
      <c r="CK79" s="446"/>
      <c r="CL79" s="446"/>
      <c r="CM79" s="446"/>
      <c r="CN79" s="446"/>
      <c r="CO79" s="446"/>
      <c r="CP79" s="446"/>
      <c r="CQ79" s="446"/>
      <c r="CR79" s="446"/>
      <c r="CS79" s="446"/>
      <c r="CT79" s="446"/>
      <c r="CU79" s="446"/>
      <c r="CV79" s="446"/>
      <c r="CW79" s="233"/>
      <c r="CX79" s="446"/>
      <c r="CY79" s="446"/>
      <c r="CZ79" s="446"/>
      <c r="DA79" s="446"/>
      <c r="DB79" s="446"/>
      <c r="DC79" s="446"/>
      <c r="DD79" s="446"/>
      <c r="DE79" s="446"/>
      <c r="DF79" s="446"/>
      <c r="DG79" s="446"/>
      <c r="DH79" s="446"/>
      <c r="DI79" s="446"/>
      <c r="DJ79" s="446"/>
      <c r="DK79" s="446"/>
      <c r="DL79" s="446"/>
      <c r="DM79" s="446"/>
      <c r="DN79" s="446"/>
      <c r="DO79" s="446"/>
      <c r="DP79" s="258"/>
      <c r="DQ79" s="258"/>
      <c r="DR79" s="258"/>
      <c r="DS79" s="258"/>
      <c r="DT79" s="258"/>
      <c r="DU79" s="258"/>
      <c r="DV79" s="258"/>
      <c r="DW79" s="258"/>
      <c r="DX79" s="258"/>
      <c r="DY79" s="258"/>
      <c r="DZ79" s="282"/>
      <c r="EA79" s="229"/>
      <c r="EB79" s="229"/>
    </row>
    <row r="80" spans="2:132" s="219" customFormat="1" x14ac:dyDescent="0.2">
      <c r="D80" s="594"/>
      <c r="E80" s="769"/>
      <c r="F80" s="769"/>
      <c r="G80" s="769"/>
      <c r="H80" s="769"/>
      <c r="I80" s="769"/>
      <c r="J80" s="769"/>
      <c r="K80" s="769"/>
      <c r="L80" s="769"/>
      <c r="M80" s="769"/>
      <c r="N80" s="769"/>
      <c r="O80" s="769"/>
      <c r="P80" s="769"/>
      <c r="Q80" s="771"/>
      <c r="R80" s="771"/>
      <c r="S80" s="770"/>
      <c r="T80" s="769"/>
      <c r="U80" s="769"/>
      <c r="V80" s="769"/>
      <c r="W80" s="769"/>
      <c r="X80" s="769"/>
      <c r="Y80" s="769"/>
      <c r="Z80" s="769"/>
      <c r="AA80" s="776"/>
      <c r="BD80" s="594"/>
      <c r="BE80" s="594"/>
      <c r="BF80" s="594"/>
      <c r="BG80" s="594"/>
      <c r="BH80" s="594"/>
      <c r="BI80" s="594"/>
      <c r="BJ80" s="594"/>
      <c r="BK80" s="594"/>
      <c r="BL80" s="594"/>
      <c r="BM80" s="594"/>
      <c r="BN80" s="594"/>
      <c r="BO80" s="258"/>
      <c r="BP80" s="258"/>
      <c r="BQ80" s="258"/>
      <c r="BR80" s="258"/>
      <c r="BS80" s="258"/>
      <c r="BT80" s="258"/>
      <c r="BU80" s="258"/>
      <c r="BV80" s="258"/>
      <c r="BW80" s="258"/>
      <c r="BX80" s="258"/>
      <c r="BY80" s="258"/>
      <c r="BZ80" s="446"/>
      <c r="CA80" s="446"/>
      <c r="CB80" s="446"/>
      <c r="CC80" s="446"/>
      <c r="CD80" s="446"/>
      <c r="CE80" s="446"/>
      <c r="CF80" s="446"/>
      <c r="CG80" s="446"/>
      <c r="CH80" s="446"/>
      <c r="CI80" s="446"/>
      <c r="CJ80" s="446"/>
      <c r="CK80" s="446"/>
      <c r="CL80" s="446"/>
      <c r="CM80" s="446"/>
      <c r="CN80" s="446"/>
      <c r="CO80" s="446"/>
      <c r="CP80" s="446"/>
      <c r="CQ80" s="446"/>
      <c r="CR80" s="446"/>
      <c r="CS80" s="446"/>
      <c r="CT80" s="446"/>
      <c r="CU80" s="446"/>
      <c r="CV80" s="446"/>
      <c r="CW80" s="233"/>
      <c r="CX80" s="446"/>
      <c r="CY80" s="446"/>
      <c r="CZ80" s="446"/>
      <c r="DA80" s="446"/>
      <c r="DB80" s="446"/>
      <c r="DC80" s="446"/>
      <c r="DD80" s="446"/>
      <c r="DE80" s="446"/>
      <c r="DF80" s="446"/>
      <c r="DG80" s="446"/>
      <c r="DH80" s="446"/>
      <c r="DI80" s="446"/>
      <c r="DJ80" s="446"/>
      <c r="DK80" s="446"/>
      <c r="DL80" s="446"/>
      <c r="DM80" s="446"/>
      <c r="DN80" s="446"/>
      <c r="DO80" s="446"/>
      <c r="DP80" s="258"/>
      <c r="DQ80" s="258"/>
      <c r="DR80" s="258"/>
      <c r="DS80" s="258"/>
      <c r="DT80" s="258"/>
      <c r="DU80" s="258"/>
      <c r="DV80" s="258"/>
      <c r="DW80" s="258"/>
      <c r="DX80" s="258"/>
      <c r="DY80" s="258"/>
      <c r="DZ80" s="282"/>
      <c r="EA80" s="229"/>
      <c r="EB80" s="229"/>
    </row>
    <row r="81" spans="4:132" s="219" customFormat="1" x14ac:dyDescent="0.2">
      <c r="D81" s="251"/>
      <c r="E81" s="251"/>
      <c r="F81" s="251"/>
      <c r="G81" s="251"/>
      <c r="H81" s="251"/>
      <c r="I81" s="251"/>
      <c r="J81" s="251"/>
      <c r="K81" s="251"/>
      <c r="L81" s="251"/>
      <c r="M81" s="251"/>
      <c r="N81" s="253"/>
      <c r="O81" s="251"/>
      <c r="P81" s="251"/>
      <c r="Q81" s="707"/>
      <c r="R81" s="707"/>
      <c r="S81" s="252"/>
      <c r="T81" s="251"/>
      <c r="U81" s="251"/>
      <c r="V81" s="251"/>
      <c r="W81" s="251"/>
      <c r="X81" s="251"/>
      <c r="Y81" s="255"/>
      <c r="AB81" s="256"/>
      <c r="AC81" s="256"/>
      <c r="AD81" s="257"/>
      <c r="AE81" s="258"/>
      <c r="AF81" s="258"/>
      <c r="AG81" s="258"/>
      <c r="AH81" s="258"/>
      <c r="AI81" s="258"/>
      <c r="AJ81" s="258"/>
      <c r="AK81" s="258"/>
      <c r="AL81" s="258"/>
      <c r="AM81" s="258"/>
      <c r="AN81" s="258"/>
      <c r="AO81" s="258"/>
      <c r="AP81" s="258"/>
      <c r="AQ81" s="258"/>
      <c r="AR81" s="258"/>
      <c r="AS81" s="258"/>
      <c r="AT81" s="258"/>
      <c r="AU81" s="258"/>
      <c r="AV81" s="258"/>
      <c r="AW81" s="258"/>
      <c r="AX81" s="258"/>
      <c r="AY81" s="258"/>
      <c r="AZ81" s="258"/>
      <c r="BA81" s="258"/>
      <c r="BB81" s="258"/>
      <c r="BC81" s="258"/>
      <c r="BD81" s="258"/>
      <c r="BE81" s="258"/>
      <c r="BF81" s="258"/>
      <c r="BG81" s="258"/>
      <c r="BH81" s="258"/>
      <c r="BI81" s="258"/>
      <c r="BJ81" s="258"/>
      <c r="BK81" s="258"/>
      <c r="BL81" s="258"/>
      <c r="BM81" s="258"/>
      <c r="BN81" s="258"/>
      <c r="BO81" s="258"/>
      <c r="BP81" s="258"/>
      <c r="BQ81" s="258"/>
      <c r="BR81" s="258"/>
      <c r="BS81" s="258"/>
      <c r="BT81" s="258"/>
      <c r="BU81" s="257"/>
      <c r="BV81" s="258"/>
      <c r="BW81" s="258"/>
      <c r="BX81" s="258"/>
      <c r="BY81" s="258"/>
      <c r="BZ81" s="446"/>
      <c r="CA81" s="446"/>
      <c r="CB81" s="446"/>
      <c r="CC81" s="446"/>
      <c r="CD81" s="446"/>
      <c r="CE81" s="446"/>
      <c r="CF81" s="446"/>
      <c r="CG81" s="446"/>
      <c r="CH81" s="446"/>
      <c r="CI81" s="446"/>
      <c r="CJ81" s="446"/>
      <c r="CK81" s="446"/>
      <c r="CL81" s="446"/>
      <c r="CM81" s="446"/>
      <c r="CN81" s="446"/>
      <c r="CO81" s="446"/>
      <c r="CP81" s="446"/>
      <c r="CQ81" s="446"/>
      <c r="CR81" s="446"/>
      <c r="CS81" s="446"/>
      <c r="CT81" s="446"/>
      <c r="CU81" s="446"/>
      <c r="CV81" s="446"/>
      <c r="CW81" s="233"/>
      <c r="CX81" s="446"/>
      <c r="CY81" s="446"/>
      <c r="CZ81" s="446"/>
      <c r="DA81" s="446"/>
      <c r="DB81" s="446"/>
      <c r="DC81" s="446"/>
      <c r="DD81" s="446"/>
      <c r="DE81" s="446"/>
      <c r="DF81" s="446"/>
      <c r="DG81" s="446"/>
      <c r="DH81" s="446"/>
      <c r="DI81" s="446"/>
      <c r="DJ81" s="446"/>
      <c r="DK81" s="446"/>
      <c r="DL81" s="446"/>
      <c r="DM81" s="446"/>
      <c r="DN81" s="446"/>
      <c r="DO81" s="446"/>
      <c r="DP81" s="258"/>
      <c r="DQ81" s="258"/>
      <c r="DR81" s="258"/>
      <c r="DS81" s="258"/>
      <c r="DT81" s="258"/>
      <c r="DU81" s="258"/>
      <c r="DV81" s="258"/>
      <c r="DW81" s="258"/>
      <c r="DX81" s="258"/>
      <c r="DY81" s="258"/>
      <c r="DZ81" s="282"/>
      <c r="EA81" s="229"/>
      <c r="EB81" s="229"/>
    </row>
    <row r="82" spans="4:132" s="219" customFormat="1" x14ac:dyDescent="0.2">
      <c r="D82" s="251"/>
      <c r="E82" s="251"/>
      <c r="F82" s="251"/>
      <c r="G82" s="251"/>
      <c r="H82" s="251"/>
      <c r="I82" s="251"/>
      <c r="J82" s="251"/>
      <c r="K82" s="251"/>
      <c r="L82" s="251"/>
      <c r="M82" s="251"/>
      <c r="N82" s="253"/>
      <c r="O82" s="251"/>
      <c r="P82" s="251"/>
      <c r="Q82" s="707"/>
      <c r="R82" s="707"/>
      <c r="S82" s="252"/>
      <c r="T82" s="251"/>
      <c r="U82" s="251"/>
      <c r="V82" s="251"/>
      <c r="W82" s="251"/>
      <c r="X82" s="251"/>
      <c r="Y82" s="255"/>
      <c r="AB82" s="256"/>
      <c r="AC82" s="256"/>
      <c r="AD82" s="257"/>
      <c r="AE82" s="258"/>
      <c r="AF82" s="258"/>
      <c r="AG82" s="258"/>
      <c r="AH82" s="258"/>
      <c r="AI82" s="258"/>
      <c r="AJ82" s="258"/>
      <c r="AK82" s="258"/>
      <c r="AL82" s="258"/>
      <c r="AM82" s="258"/>
      <c r="AN82" s="258"/>
      <c r="AO82" s="258"/>
      <c r="AP82" s="258"/>
      <c r="AQ82" s="258"/>
      <c r="AR82" s="258"/>
      <c r="AS82" s="258"/>
      <c r="AT82" s="258"/>
      <c r="AU82" s="258"/>
      <c r="AV82" s="258"/>
      <c r="AW82" s="258"/>
      <c r="AX82" s="258"/>
      <c r="AY82" s="258"/>
      <c r="AZ82" s="258"/>
      <c r="BA82" s="258"/>
      <c r="BB82" s="258"/>
      <c r="BC82" s="258"/>
      <c r="BD82" s="258"/>
      <c r="BE82" s="258"/>
      <c r="BF82" s="258"/>
      <c r="BG82" s="258"/>
      <c r="BH82" s="258"/>
      <c r="BI82" s="258"/>
      <c r="BJ82" s="258"/>
      <c r="BK82" s="258"/>
      <c r="BL82" s="258"/>
      <c r="BM82" s="258"/>
      <c r="BN82" s="258"/>
      <c r="BO82" s="258"/>
      <c r="BP82" s="258"/>
      <c r="BQ82" s="258"/>
      <c r="BR82" s="258"/>
      <c r="BS82" s="258"/>
      <c r="BT82" s="258"/>
      <c r="BU82" s="257"/>
      <c r="BV82" s="258"/>
      <c r="BW82" s="258"/>
      <c r="BX82" s="258"/>
      <c r="BY82" s="258"/>
      <c r="BZ82" s="446"/>
      <c r="CA82" s="446"/>
      <c r="CB82" s="446"/>
      <c r="CC82" s="446"/>
      <c r="CD82" s="446"/>
      <c r="CE82" s="446"/>
      <c r="CF82" s="446"/>
      <c r="CG82" s="446"/>
      <c r="CH82" s="446"/>
      <c r="CI82" s="446"/>
      <c r="CJ82" s="446"/>
      <c r="CK82" s="446"/>
      <c r="CL82" s="446"/>
      <c r="CM82" s="446"/>
      <c r="CN82" s="446"/>
      <c r="CO82" s="446"/>
      <c r="CP82" s="446"/>
      <c r="CQ82" s="446"/>
      <c r="CR82" s="446"/>
      <c r="CS82" s="446"/>
      <c r="CT82" s="446"/>
      <c r="CU82" s="446"/>
      <c r="CV82" s="446"/>
      <c r="CW82" s="233"/>
      <c r="CX82" s="446"/>
      <c r="CY82" s="446"/>
      <c r="CZ82" s="446"/>
      <c r="DA82" s="446"/>
      <c r="DB82" s="446"/>
      <c r="DC82" s="446"/>
      <c r="DD82" s="446"/>
      <c r="DE82" s="446"/>
      <c r="DF82" s="446"/>
      <c r="DG82" s="446"/>
      <c r="DH82" s="446"/>
      <c r="DI82" s="446"/>
      <c r="DJ82" s="446"/>
      <c r="DK82" s="446"/>
      <c r="DL82" s="446"/>
      <c r="DM82" s="446"/>
      <c r="DN82" s="446"/>
      <c r="DO82" s="446"/>
      <c r="DP82" s="258"/>
      <c r="DQ82" s="258"/>
      <c r="DR82" s="258"/>
      <c r="DS82" s="258"/>
      <c r="DT82" s="258"/>
      <c r="DU82" s="258"/>
      <c r="DV82" s="258"/>
      <c r="DW82" s="258"/>
      <c r="DX82" s="258"/>
      <c r="DY82" s="258"/>
      <c r="DZ82" s="282"/>
      <c r="EA82" s="229"/>
      <c r="EB82" s="229"/>
    </row>
    <row r="83" spans="4:132" s="219" customFormat="1" x14ac:dyDescent="0.2">
      <c r="D83" s="251"/>
      <c r="E83" s="251"/>
      <c r="F83" s="251"/>
      <c r="G83" s="251"/>
      <c r="H83" s="251"/>
      <c r="I83" s="251"/>
      <c r="J83" s="251"/>
      <c r="K83" s="251"/>
      <c r="L83" s="251"/>
      <c r="M83" s="251"/>
      <c r="N83" s="253"/>
      <c r="O83" s="251"/>
      <c r="P83" s="251"/>
      <c r="Q83" s="707"/>
      <c r="R83" s="707"/>
      <c r="S83" s="252"/>
      <c r="T83" s="251"/>
      <c r="U83" s="251"/>
      <c r="V83" s="251"/>
      <c r="W83" s="251"/>
      <c r="X83" s="251"/>
      <c r="Y83" s="255"/>
      <c r="AB83" s="256"/>
      <c r="AC83" s="256"/>
      <c r="AD83" s="257"/>
      <c r="AE83" s="258"/>
      <c r="AF83" s="258"/>
      <c r="AG83" s="258"/>
      <c r="AH83" s="258"/>
      <c r="AI83" s="258"/>
      <c r="AJ83" s="258"/>
      <c r="AK83" s="258"/>
      <c r="AL83" s="258"/>
      <c r="AM83" s="258"/>
      <c r="AN83" s="258"/>
      <c r="AO83" s="258"/>
      <c r="AP83" s="258"/>
      <c r="AQ83" s="258"/>
      <c r="AR83" s="258"/>
      <c r="AS83" s="258"/>
      <c r="AT83" s="258"/>
      <c r="AU83" s="258"/>
      <c r="AV83" s="258"/>
      <c r="AW83" s="258"/>
      <c r="AX83" s="258"/>
      <c r="AY83" s="258"/>
      <c r="AZ83" s="258"/>
      <c r="BA83" s="258"/>
      <c r="BB83" s="258"/>
      <c r="BC83" s="258"/>
      <c r="BD83" s="258"/>
      <c r="BE83" s="258"/>
      <c r="BF83" s="258"/>
      <c r="BG83" s="258"/>
      <c r="BH83" s="258"/>
      <c r="BI83" s="258"/>
      <c r="BJ83" s="258"/>
      <c r="BK83" s="258"/>
      <c r="BL83" s="258"/>
      <c r="BM83" s="258"/>
      <c r="BN83" s="258"/>
      <c r="BO83" s="258"/>
      <c r="BP83" s="258"/>
      <c r="BQ83" s="258"/>
      <c r="BR83" s="258"/>
      <c r="BS83" s="258"/>
      <c r="BT83" s="258"/>
      <c r="BU83" s="257"/>
      <c r="BV83" s="258"/>
      <c r="BW83" s="258"/>
      <c r="BX83" s="258"/>
      <c r="BY83" s="258"/>
      <c r="BZ83" s="446"/>
      <c r="CA83" s="446"/>
      <c r="CB83" s="446"/>
      <c r="CC83" s="446"/>
      <c r="CD83" s="446"/>
      <c r="CE83" s="446"/>
      <c r="CF83" s="446"/>
      <c r="CG83" s="446"/>
      <c r="CH83" s="446"/>
      <c r="CI83" s="446"/>
      <c r="CJ83" s="446"/>
      <c r="CK83" s="446"/>
      <c r="CL83" s="446"/>
      <c r="CM83" s="446"/>
      <c r="CN83" s="446"/>
      <c r="CO83" s="446"/>
      <c r="CP83" s="446"/>
      <c r="CQ83" s="446"/>
      <c r="CR83" s="446"/>
      <c r="CS83" s="446"/>
      <c r="CT83" s="446"/>
      <c r="CU83" s="446"/>
      <c r="CV83" s="446"/>
      <c r="CW83" s="233"/>
      <c r="CX83" s="446"/>
      <c r="CY83" s="446"/>
      <c r="CZ83" s="446"/>
      <c r="DA83" s="446"/>
      <c r="DB83" s="446"/>
      <c r="DC83" s="446"/>
      <c r="DD83" s="446"/>
      <c r="DE83" s="446"/>
      <c r="DF83" s="446"/>
      <c r="DG83" s="446"/>
      <c r="DH83" s="446"/>
      <c r="DI83" s="446"/>
      <c r="DJ83" s="446"/>
      <c r="DK83" s="446"/>
      <c r="DL83" s="446"/>
      <c r="DM83" s="446"/>
      <c r="DN83" s="446"/>
      <c r="DO83" s="446"/>
      <c r="DP83" s="258"/>
      <c r="DQ83" s="258"/>
      <c r="DR83" s="258"/>
      <c r="DS83" s="258"/>
      <c r="DT83" s="258"/>
      <c r="DU83" s="258"/>
      <c r="DV83" s="258"/>
      <c r="DW83" s="258"/>
      <c r="DX83" s="258"/>
      <c r="DY83" s="258"/>
      <c r="DZ83" s="282"/>
      <c r="EA83" s="229"/>
      <c r="EB83" s="229"/>
    </row>
    <row r="84" spans="4:132" s="219" customFormat="1" x14ac:dyDescent="0.2">
      <c r="D84" s="251"/>
      <c r="E84" s="251"/>
      <c r="F84" s="251"/>
      <c r="G84" s="251"/>
      <c r="H84" s="251"/>
      <c r="I84" s="251"/>
      <c r="J84" s="251"/>
      <c r="K84" s="251"/>
      <c r="L84" s="251"/>
      <c r="M84" s="251"/>
      <c r="N84" s="253"/>
      <c r="O84" s="251"/>
      <c r="P84" s="251"/>
      <c r="Q84" s="707"/>
      <c r="R84" s="707"/>
      <c r="S84" s="252"/>
      <c r="T84" s="251"/>
      <c r="U84" s="251"/>
      <c r="V84" s="251"/>
      <c r="W84" s="251"/>
      <c r="X84" s="251"/>
      <c r="Y84" s="255"/>
      <c r="BD84" s="258"/>
      <c r="BE84" s="258"/>
      <c r="BF84" s="258"/>
      <c r="BG84" s="258"/>
      <c r="BH84" s="258"/>
      <c r="BI84" s="258"/>
      <c r="BJ84" s="258"/>
      <c r="BK84" s="258"/>
      <c r="BL84" s="258"/>
      <c r="BM84" s="258"/>
      <c r="BN84" s="258"/>
      <c r="BO84" s="258"/>
      <c r="BP84" s="258"/>
      <c r="BQ84" s="258"/>
      <c r="BR84" s="258"/>
      <c r="BS84" s="258"/>
      <c r="BT84" s="258"/>
      <c r="BU84" s="257"/>
      <c r="BV84" s="258"/>
      <c r="BW84" s="258"/>
      <c r="BX84" s="258"/>
      <c r="BY84" s="258"/>
      <c r="BZ84" s="446"/>
      <c r="CA84" s="446"/>
      <c r="CB84" s="446"/>
      <c r="CC84" s="446"/>
      <c r="CD84" s="446"/>
      <c r="CE84" s="446"/>
      <c r="CF84" s="446"/>
      <c r="CG84" s="446"/>
      <c r="CH84" s="446"/>
      <c r="CI84" s="446"/>
      <c r="CJ84" s="446"/>
      <c r="CK84" s="446"/>
      <c r="CL84" s="446"/>
      <c r="CM84" s="446"/>
      <c r="CN84" s="446"/>
      <c r="CO84" s="446"/>
      <c r="CP84" s="446"/>
      <c r="CQ84" s="446"/>
      <c r="CR84" s="446"/>
      <c r="CS84" s="446"/>
      <c r="CT84" s="446"/>
      <c r="CU84" s="446"/>
      <c r="CV84" s="446"/>
      <c r="CW84" s="233"/>
      <c r="CX84" s="446"/>
      <c r="CY84" s="446"/>
      <c r="CZ84" s="446"/>
      <c r="DA84" s="446"/>
      <c r="DB84" s="446"/>
      <c r="DC84" s="446"/>
      <c r="DD84" s="446"/>
      <c r="DE84" s="446"/>
      <c r="DF84" s="446"/>
      <c r="DG84" s="446"/>
      <c r="DH84" s="446"/>
      <c r="DI84" s="446"/>
      <c r="DJ84" s="446"/>
      <c r="DK84" s="446"/>
      <c r="DL84" s="446"/>
      <c r="DM84" s="446"/>
      <c r="DN84" s="446"/>
      <c r="DO84" s="446"/>
      <c r="DP84" s="258"/>
      <c r="DQ84" s="258"/>
      <c r="DR84" s="258"/>
      <c r="DS84" s="258"/>
      <c r="DT84" s="258"/>
      <c r="DU84" s="258"/>
      <c r="DV84" s="258"/>
      <c r="DW84" s="258"/>
      <c r="DX84" s="258"/>
      <c r="DY84" s="258"/>
      <c r="DZ84" s="282"/>
      <c r="EA84" s="229"/>
      <c r="EB84" s="229"/>
    </row>
    <row r="85" spans="4:132" s="219" customFormat="1" x14ac:dyDescent="0.2">
      <c r="D85" s="251"/>
      <c r="E85" s="251"/>
      <c r="F85" s="251"/>
      <c r="G85" s="251"/>
      <c r="H85" s="251"/>
      <c r="I85" s="251"/>
      <c r="J85" s="251"/>
      <c r="K85" s="251"/>
      <c r="L85" s="251"/>
      <c r="M85" s="251"/>
      <c r="N85" s="253"/>
      <c r="O85" s="251"/>
      <c r="P85" s="251"/>
      <c r="Q85" s="707"/>
      <c r="R85" s="707"/>
      <c r="S85" s="252"/>
      <c r="T85" s="251"/>
      <c r="U85" s="251"/>
      <c r="V85" s="251"/>
      <c r="W85" s="251"/>
      <c r="X85" s="251"/>
      <c r="Y85" s="255"/>
      <c r="BD85" s="258"/>
      <c r="BE85" s="258"/>
      <c r="BF85" s="258"/>
      <c r="BG85" s="258"/>
      <c r="BH85" s="258"/>
      <c r="BI85" s="258"/>
      <c r="BJ85" s="258"/>
      <c r="BK85" s="258"/>
      <c r="BL85" s="258"/>
      <c r="BM85" s="258"/>
      <c r="BN85" s="258"/>
      <c r="BO85" s="258"/>
      <c r="BP85" s="258"/>
      <c r="BQ85" s="258"/>
      <c r="BR85" s="258"/>
      <c r="BS85" s="258"/>
      <c r="BT85" s="258"/>
      <c r="BU85" s="257"/>
      <c r="BV85" s="258"/>
      <c r="BW85" s="258"/>
      <c r="BX85" s="258"/>
      <c r="BY85" s="258"/>
      <c r="BZ85" s="446"/>
      <c r="CA85" s="446"/>
      <c r="CB85" s="446"/>
      <c r="CC85" s="446"/>
      <c r="CD85" s="446"/>
      <c r="CE85" s="446"/>
      <c r="CF85" s="446"/>
      <c r="CG85" s="446"/>
      <c r="CH85" s="446"/>
      <c r="CI85" s="446"/>
      <c r="CJ85" s="446"/>
      <c r="CK85" s="446"/>
      <c r="CL85" s="446"/>
      <c r="CM85" s="446"/>
      <c r="CN85" s="446"/>
      <c r="CO85" s="446"/>
      <c r="CP85" s="446"/>
      <c r="CQ85" s="446"/>
      <c r="CR85" s="446"/>
      <c r="CS85" s="446"/>
      <c r="CT85" s="446"/>
      <c r="CU85" s="446"/>
      <c r="CV85" s="446"/>
      <c r="CW85" s="233"/>
      <c r="CX85" s="446"/>
      <c r="CY85" s="446"/>
      <c r="CZ85" s="446"/>
      <c r="DA85" s="446"/>
      <c r="DB85" s="446"/>
      <c r="DC85" s="446"/>
      <c r="DD85" s="446"/>
      <c r="DE85" s="446"/>
      <c r="DF85" s="446"/>
      <c r="DG85" s="446"/>
      <c r="DH85" s="446"/>
      <c r="DI85" s="446"/>
      <c r="DJ85" s="446"/>
      <c r="DK85" s="446"/>
      <c r="DL85" s="446"/>
      <c r="DM85" s="446"/>
      <c r="DN85" s="446"/>
      <c r="DO85" s="446"/>
      <c r="DP85" s="258"/>
      <c r="DQ85" s="258"/>
      <c r="DR85" s="258"/>
      <c r="DS85" s="258"/>
      <c r="DT85" s="258"/>
      <c r="DU85" s="258"/>
      <c r="DV85" s="258"/>
      <c r="DW85" s="258"/>
      <c r="DX85" s="258"/>
      <c r="DY85" s="258"/>
      <c r="DZ85" s="282"/>
      <c r="EA85" s="229"/>
      <c r="EB85" s="229"/>
    </row>
    <row r="86" spans="4:132" s="219" customFormat="1" x14ac:dyDescent="0.2">
      <c r="D86" s="251"/>
      <c r="E86" s="251"/>
      <c r="F86" s="251"/>
      <c r="G86" s="251"/>
      <c r="H86" s="251"/>
      <c r="I86" s="251"/>
      <c r="J86" s="251"/>
      <c r="K86" s="251"/>
      <c r="L86" s="251"/>
      <c r="M86" s="251"/>
      <c r="N86" s="253"/>
      <c r="O86" s="251"/>
      <c r="P86" s="251"/>
      <c r="Q86" s="707"/>
      <c r="R86" s="707"/>
      <c r="S86" s="252"/>
      <c r="T86" s="251"/>
      <c r="U86" s="251"/>
      <c r="V86" s="251"/>
      <c r="W86" s="251"/>
      <c r="X86" s="251"/>
      <c r="Y86" s="255"/>
      <c r="BD86" s="258"/>
      <c r="BE86" s="258"/>
      <c r="BF86" s="258"/>
      <c r="BG86" s="258"/>
      <c r="BH86" s="258"/>
      <c r="BI86" s="258"/>
      <c r="BJ86" s="258"/>
      <c r="BK86" s="258"/>
      <c r="BL86" s="258"/>
      <c r="BM86" s="258"/>
      <c r="BN86" s="258"/>
      <c r="BO86" s="258"/>
      <c r="BP86" s="258"/>
      <c r="BQ86" s="258"/>
      <c r="BR86" s="258"/>
      <c r="BS86" s="258"/>
      <c r="BT86" s="258"/>
      <c r="BU86" s="257"/>
      <c r="BV86" s="258"/>
      <c r="BW86" s="258"/>
      <c r="BX86" s="258"/>
      <c r="BY86" s="258"/>
      <c r="BZ86" s="446"/>
      <c r="CA86" s="446"/>
      <c r="CB86" s="446"/>
      <c r="CC86" s="446"/>
      <c r="CD86" s="446"/>
      <c r="CE86" s="446"/>
      <c r="CF86" s="446"/>
      <c r="CG86" s="446"/>
      <c r="CH86" s="446"/>
      <c r="CI86" s="446"/>
      <c r="CJ86" s="446"/>
      <c r="CK86" s="446"/>
      <c r="CL86" s="446"/>
      <c r="CM86" s="446"/>
      <c r="CN86" s="446"/>
      <c r="CO86" s="446"/>
      <c r="CP86" s="446"/>
      <c r="CQ86" s="446"/>
      <c r="CR86" s="446"/>
      <c r="CS86" s="446"/>
      <c r="CT86" s="446"/>
      <c r="CU86" s="446"/>
      <c r="CV86" s="446"/>
      <c r="CW86" s="233"/>
      <c r="CX86" s="446"/>
      <c r="CY86" s="446"/>
      <c r="CZ86" s="446"/>
      <c r="DA86" s="446"/>
      <c r="DB86" s="446"/>
      <c r="DC86" s="446"/>
      <c r="DD86" s="446"/>
      <c r="DE86" s="446"/>
      <c r="DF86" s="446"/>
      <c r="DG86" s="446"/>
      <c r="DH86" s="446"/>
      <c r="DI86" s="446"/>
      <c r="DJ86" s="446"/>
      <c r="DK86" s="446"/>
      <c r="DL86" s="446"/>
      <c r="DM86" s="446"/>
      <c r="DN86" s="446"/>
      <c r="DO86" s="446"/>
      <c r="DP86" s="258"/>
      <c r="DQ86" s="258"/>
      <c r="DR86" s="258"/>
      <c r="DS86" s="258"/>
      <c r="DT86" s="258"/>
      <c r="DU86" s="258"/>
      <c r="DV86" s="258"/>
      <c r="DW86" s="258"/>
      <c r="DX86" s="258"/>
      <c r="DY86" s="258"/>
      <c r="DZ86" s="282"/>
      <c r="EA86" s="229"/>
      <c r="EB86" s="229"/>
    </row>
    <row r="87" spans="4:132" s="219" customFormat="1" x14ac:dyDescent="0.2">
      <c r="D87" s="251"/>
      <c r="E87" s="251"/>
      <c r="F87" s="251"/>
      <c r="G87" s="251"/>
      <c r="H87" s="251"/>
      <c r="I87" s="251"/>
      <c r="J87" s="251"/>
      <c r="K87" s="251"/>
      <c r="L87" s="251"/>
      <c r="M87" s="251"/>
      <c r="N87" s="253"/>
      <c r="O87" s="251"/>
      <c r="P87" s="251"/>
      <c r="Q87" s="707"/>
      <c r="R87" s="707"/>
      <c r="S87" s="252"/>
      <c r="T87" s="251"/>
      <c r="U87" s="251"/>
      <c r="V87" s="251"/>
      <c r="W87" s="251"/>
      <c r="X87" s="251"/>
      <c r="Y87" s="255"/>
      <c r="BD87" s="258"/>
      <c r="BE87" s="258"/>
      <c r="BF87" s="258"/>
      <c r="BG87" s="258"/>
      <c r="BH87" s="258"/>
      <c r="BI87" s="258"/>
      <c r="BJ87" s="258"/>
      <c r="BK87" s="258"/>
      <c r="BL87" s="258"/>
      <c r="BM87" s="258"/>
      <c r="BN87" s="258"/>
      <c r="BO87" s="258"/>
      <c r="BP87" s="258"/>
      <c r="BQ87" s="258"/>
      <c r="BR87" s="258"/>
      <c r="BS87" s="258"/>
      <c r="BT87" s="258"/>
      <c r="BU87" s="257"/>
      <c r="BV87" s="258"/>
      <c r="BW87" s="258"/>
      <c r="BX87" s="258"/>
      <c r="BY87" s="258"/>
      <c r="BZ87" s="446"/>
      <c r="CA87" s="446"/>
      <c r="CB87" s="446"/>
      <c r="CC87" s="446"/>
      <c r="CD87" s="446"/>
      <c r="CE87" s="446"/>
      <c r="CF87" s="446"/>
      <c r="CG87" s="446"/>
      <c r="CH87" s="446"/>
      <c r="CI87" s="446"/>
      <c r="CJ87" s="446"/>
      <c r="CK87" s="446"/>
      <c r="CL87" s="446"/>
      <c r="CM87" s="446"/>
      <c r="CN87" s="446"/>
      <c r="CO87" s="446"/>
      <c r="CP87" s="446"/>
      <c r="CQ87" s="446"/>
      <c r="CR87" s="446"/>
      <c r="CS87" s="446"/>
      <c r="CT87" s="446"/>
      <c r="CU87" s="446"/>
      <c r="CV87" s="446"/>
      <c r="CW87" s="233"/>
      <c r="CX87" s="446"/>
      <c r="CY87" s="446"/>
      <c r="CZ87" s="446"/>
      <c r="DA87" s="446"/>
      <c r="DB87" s="446"/>
      <c r="DC87" s="446"/>
      <c r="DD87" s="446"/>
      <c r="DE87" s="446"/>
      <c r="DF87" s="446"/>
      <c r="DG87" s="446"/>
      <c r="DH87" s="446"/>
      <c r="DI87" s="446"/>
      <c r="DJ87" s="446"/>
      <c r="DK87" s="446"/>
      <c r="DL87" s="446"/>
      <c r="DM87" s="446"/>
      <c r="DN87" s="446"/>
      <c r="DO87" s="446"/>
      <c r="DP87" s="258"/>
      <c r="DQ87" s="258"/>
      <c r="DR87" s="258"/>
      <c r="DS87" s="258"/>
      <c r="DT87" s="258"/>
      <c r="DU87" s="258"/>
      <c r="DV87" s="258"/>
      <c r="DW87" s="258"/>
      <c r="DX87" s="258"/>
      <c r="DY87" s="258"/>
      <c r="DZ87" s="282"/>
      <c r="EA87" s="229"/>
      <c r="EB87" s="229"/>
    </row>
    <row r="88" spans="4:132" s="219" customFormat="1" x14ac:dyDescent="0.2">
      <c r="D88" s="251"/>
      <c r="E88" s="251"/>
      <c r="F88" s="251"/>
      <c r="G88" s="251"/>
      <c r="H88" s="251"/>
      <c r="I88" s="251"/>
      <c r="J88" s="251"/>
      <c r="K88" s="251"/>
      <c r="L88" s="251"/>
      <c r="M88" s="251"/>
      <c r="N88" s="253"/>
      <c r="O88" s="251"/>
      <c r="P88" s="251"/>
      <c r="Q88" s="707"/>
      <c r="R88" s="707"/>
      <c r="S88" s="252"/>
      <c r="T88" s="251"/>
      <c r="U88" s="251"/>
      <c r="V88" s="251"/>
      <c r="W88" s="251"/>
      <c r="X88" s="251"/>
      <c r="Y88" s="255"/>
      <c r="BD88" s="258"/>
      <c r="BE88" s="258"/>
      <c r="BF88" s="258"/>
      <c r="BG88" s="258"/>
      <c r="BH88" s="258"/>
      <c r="BI88" s="258"/>
      <c r="BJ88" s="258"/>
      <c r="BK88" s="258"/>
      <c r="BL88" s="258"/>
      <c r="BM88" s="258"/>
      <c r="BN88" s="258"/>
      <c r="BO88" s="258"/>
      <c r="BP88" s="258"/>
      <c r="BQ88" s="258"/>
      <c r="BR88" s="258"/>
      <c r="BS88" s="258"/>
      <c r="BT88" s="258"/>
      <c r="BU88" s="257"/>
      <c r="BV88" s="258"/>
      <c r="BW88" s="258"/>
      <c r="BX88" s="258"/>
      <c r="BY88" s="258"/>
      <c r="BZ88" s="446"/>
      <c r="CA88" s="446"/>
      <c r="CB88" s="446"/>
      <c r="CC88" s="446"/>
      <c r="CD88" s="446"/>
      <c r="CE88" s="446"/>
      <c r="CF88" s="446"/>
      <c r="CG88" s="446"/>
      <c r="CH88" s="446"/>
      <c r="CI88" s="446"/>
      <c r="CJ88" s="446"/>
      <c r="CK88" s="446"/>
      <c r="CL88" s="446"/>
      <c r="CM88" s="446"/>
      <c r="CN88" s="446"/>
      <c r="CO88" s="446"/>
      <c r="CP88" s="446"/>
      <c r="CQ88" s="446"/>
      <c r="CR88" s="446"/>
      <c r="CS88" s="446"/>
      <c r="CT88" s="446"/>
      <c r="CU88" s="446"/>
      <c r="CV88" s="446"/>
      <c r="CW88" s="233"/>
      <c r="CX88" s="446"/>
      <c r="CY88" s="446"/>
      <c r="CZ88" s="446"/>
      <c r="DA88" s="446"/>
      <c r="DB88" s="446"/>
      <c r="DC88" s="446"/>
      <c r="DD88" s="446"/>
      <c r="DE88" s="446"/>
      <c r="DF88" s="446"/>
      <c r="DG88" s="446"/>
      <c r="DH88" s="446"/>
      <c r="DI88" s="446"/>
      <c r="DJ88" s="446"/>
      <c r="DK88" s="446"/>
      <c r="DL88" s="446"/>
      <c r="DM88" s="446"/>
      <c r="DN88" s="446"/>
      <c r="DO88" s="446"/>
      <c r="DP88" s="258"/>
      <c r="DQ88" s="258"/>
      <c r="DR88" s="258"/>
      <c r="DS88" s="258"/>
      <c r="DT88" s="258"/>
      <c r="DU88" s="258"/>
      <c r="DV88" s="258"/>
      <c r="DW88" s="258"/>
      <c r="DX88" s="258"/>
      <c r="DY88" s="258"/>
      <c r="DZ88" s="282"/>
      <c r="EA88" s="229"/>
      <c r="EB88" s="229"/>
    </row>
    <row r="89" spans="4:132" s="219" customFormat="1" x14ac:dyDescent="0.2">
      <c r="D89" s="251"/>
      <c r="E89" s="251"/>
      <c r="F89" s="251"/>
      <c r="G89" s="251"/>
      <c r="H89" s="251"/>
      <c r="I89" s="251"/>
      <c r="J89" s="251"/>
      <c r="K89" s="251"/>
      <c r="L89" s="251"/>
      <c r="M89" s="251"/>
      <c r="N89" s="253"/>
      <c r="O89" s="251"/>
      <c r="P89" s="251"/>
      <c r="Q89" s="707"/>
      <c r="R89" s="707"/>
      <c r="S89" s="252"/>
      <c r="T89" s="251"/>
      <c r="U89" s="251"/>
      <c r="V89" s="251"/>
      <c r="W89" s="251"/>
      <c r="X89" s="251"/>
      <c r="Y89" s="255"/>
      <c r="BD89" s="258"/>
      <c r="BE89" s="258"/>
      <c r="BF89" s="258"/>
      <c r="BG89" s="258"/>
      <c r="BH89" s="258"/>
      <c r="BI89" s="258"/>
      <c r="BJ89" s="258"/>
      <c r="BK89" s="258"/>
      <c r="BL89" s="258"/>
      <c r="BM89" s="258"/>
      <c r="BN89" s="258"/>
      <c r="BO89" s="258"/>
      <c r="BP89" s="258"/>
      <c r="BQ89" s="258"/>
      <c r="BR89" s="258"/>
      <c r="BS89" s="258"/>
      <c r="BT89" s="258"/>
      <c r="BU89" s="257"/>
      <c r="BV89" s="258"/>
      <c r="BW89" s="258"/>
      <c r="BX89" s="258"/>
      <c r="BY89" s="258"/>
      <c r="BZ89" s="446"/>
      <c r="CA89" s="446"/>
      <c r="CB89" s="446"/>
      <c r="CC89" s="446"/>
      <c r="CD89" s="446"/>
      <c r="CE89" s="446"/>
      <c r="CF89" s="446"/>
      <c r="CG89" s="446"/>
      <c r="CH89" s="446"/>
      <c r="CI89" s="446"/>
      <c r="CJ89" s="446"/>
      <c r="CK89" s="446"/>
      <c r="CL89" s="446"/>
      <c r="CM89" s="446"/>
      <c r="CN89" s="446"/>
      <c r="CO89" s="446"/>
      <c r="CP89" s="446"/>
      <c r="CQ89" s="446"/>
      <c r="CR89" s="446"/>
      <c r="CS89" s="446"/>
      <c r="CT89" s="446"/>
      <c r="CU89" s="446"/>
      <c r="CV89" s="446"/>
      <c r="CW89" s="233"/>
      <c r="CX89" s="446"/>
      <c r="CY89" s="446"/>
      <c r="CZ89" s="446"/>
      <c r="DA89" s="446"/>
      <c r="DB89" s="446"/>
      <c r="DC89" s="446"/>
      <c r="DD89" s="446"/>
      <c r="DE89" s="446"/>
      <c r="DF89" s="446"/>
      <c r="DG89" s="446"/>
      <c r="DH89" s="446"/>
      <c r="DI89" s="446"/>
      <c r="DJ89" s="446"/>
      <c r="DK89" s="446"/>
      <c r="DL89" s="446"/>
      <c r="DM89" s="446"/>
      <c r="DN89" s="446"/>
      <c r="DO89" s="446"/>
      <c r="DP89" s="258"/>
      <c r="DQ89" s="258"/>
      <c r="DR89" s="258"/>
      <c r="DS89" s="258"/>
      <c r="DT89" s="258"/>
      <c r="DU89" s="258"/>
      <c r="DV89" s="258"/>
      <c r="DW89" s="258"/>
      <c r="DX89" s="258"/>
      <c r="DY89" s="258"/>
      <c r="DZ89" s="282"/>
      <c r="EA89" s="229"/>
      <c r="EB89" s="229"/>
    </row>
    <row r="90" spans="4:132" s="219" customFormat="1" x14ac:dyDescent="0.2">
      <c r="D90" s="251"/>
      <c r="E90" s="251"/>
      <c r="F90" s="251"/>
      <c r="G90" s="251"/>
      <c r="H90" s="251"/>
      <c r="I90" s="251"/>
      <c r="J90" s="251"/>
      <c r="K90" s="251"/>
      <c r="L90" s="251"/>
      <c r="M90" s="251"/>
      <c r="N90" s="253"/>
      <c r="O90" s="251"/>
      <c r="P90" s="251"/>
      <c r="Q90" s="707"/>
      <c r="R90" s="707"/>
      <c r="S90" s="252"/>
      <c r="T90" s="251"/>
      <c r="U90" s="251"/>
      <c r="V90" s="251"/>
      <c r="W90" s="251"/>
      <c r="X90" s="251"/>
      <c r="Y90" s="255"/>
      <c r="BD90" s="258"/>
      <c r="BE90" s="258"/>
      <c r="BF90" s="258"/>
      <c r="BG90" s="258"/>
      <c r="BH90" s="258"/>
      <c r="BI90" s="258"/>
      <c r="BJ90" s="258"/>
      <c r="BK90" s="258"/>
      <c r="BL90" s="258"/>
      <c r="BM90" s="258"/>
      <c r="BN90" s="258"/>
      <c r="BO90" s="258"/>
      <c r="BP90" s="258"/>
      <c r="BQ90" s="258"/>
      <c r="BR90" s="258"/>
      <c r="BS90" s="258"/>
      <c r="BT90" s="258"/>
      <c r="BU90" s="257"/>
      <c r="BV90" s="258"/>
      <c r="BW90" s="258"/>
      <c r="BX90" s="258"/>
      <c r="BY90" s="258"/>
      <c r="BZ90" s="446"/>
      <c r="CA90" s="446"/>
      <c r="CB90" s="446"/>
      <c r="CC90" s="446"/>
      <c r="CD90" s="446"/>
      <c r="CE90" s="446"/>
      <c r="CF90" s="446"/>
      <c r="CG90" s="446"/>
      <c r="CH90" s="446"/>
      <c r="CI90" s="446"/>
      <c r="CJ90" s="446"/>
      <c r="CK90" s="446"/>
      <c r="CL90" s="446"/>
      <c r="CM90" s="446"/>
      <c r="CN90" s="446"/>
      <c r="CO90" s="446"/>
      <c r="CP90" s="446"/>
      <c r="CQ90" s="446"/>
      <c r="CR90" s="446"/>
      <c r="CS90" s="446"/>
      <c r="CT90" s="446"/>
      <c r="CU90" s="446"/>
      <c r="CV90" s="446"/>
      <c r="CW90" s="233"/>
      <c r="CX90" s="446"/>
      <c r="CY90" s="446"/>
      <c r="CZ90" s="446"/>
      <c r="DA90" s="446"/>
      <c r="DB90" s="446"/>
      <c r="DC90" s="446"/>
      <c r="DD90" s="446"/>
      <c r="DE90" s="446"/>
      <c r="DF90" s="446"/>
      <c r="DG90" s="446"/>
      <c r="DH90" s="446"/>
      <c r="DI90" s="446"/>
      <c r="DJ90" s="446"/>
      <c r="DK90" s="446"/>
      <c r="DL90" s="446"/>
      <c r="DM90" s="446"/>
      <c r="DN90" s="446"/>
      <c r="DO90" s="446"/>
      <c r="DP90" s="258"/>
      <c r="DQ90" s="258"/>
      <c r="DR90" s="258"/>
      <c r="DS90" s="258"/>
      <c r="DT90" s="258"/>
      <c r="DU90" s="258"/>
      <c r="DV90" s="258"/>
      <c r="DW90" s="258"/>
      <c r="DX90" s="258"/>
      <c r="DY90" s="258"/>
      <c r="DZ90" s="282"/>
      <c r="EA90" s="229"/>
      <c r="EB90" s="229"/>
    </row>
    <row r="91" spans="4:132" s="219" customFormat="1" x14ac:dyDescent="0.2">
      <c r="D91" s="251"/>
      <c r="E91" s="251"/>
      <c r="F91" s="251"/>
      <c r="G91" s="251"/>
      <c r="H91" s="251"/>
      <c r="I91" s="251"/>
      <c r="J91" s="251"/>
      <c r="K91" s="251"/>
      <c r="L91" s="251"/>
      <c r="M91" s="251"/>
      <c r="N91" s="253"/>
      <c r="O91" s="251"/>
      <c r="P91" s="251"/>
      <c r="Q91" s="707"/>
      <c r="R91" s="707"/>
      <c r="S91" s="252"/>
      <c r="T91" s="251"/>
      <c r="U91" s="251"/>
      <c r="V91" s="251"/>
      <c r="W91" s="251"/>
      <c r="X91" s="251"/>
      <c r="Y91" s="255"/>
      <c r="BD91" s="258"/>
      <c r="BE91" s="258"/>
      <c r="BF91" s="258"/>
      <c r="BG91" s="258"/>
      <c r="BH91" s="258"/>
      <c r="BI91" s="258"/>
      <c r="BJ91" s="258"/>
      <c r="BK91" s="258"/>
      <c r="BL91" s="258"/>
      <c r="BM91" s="258"/>
      <c r="BN91" s="258"/>
      <c r="BO91" s="258"/>
      <c r="BP91" s="258"/>
      <c r="BQ91" s="258"/>
      <c r="BR91" s="258"/>
      <c r="BS91" s="258"/>
      <c r="BT91" s="258"/>
      <c r="BU91" s="257"/>
      <c r="BV91" s="258"/>
      <c r="BW91" s="258"/>
      <c r="BX91" s="258"/>
      <c r="BY91" s="258"/>
      <c r="BZ91" s="446"/>
      <c r="CA91" s="446"/>
      <c r="CB91" s="446"/>
      <c r="CC91" s="446"/>
      <c r="CD91" s="446"/>
      <c r="CE91" s="446"/>
      <c r="CF91" s="446"/>
      <c r="CG91" s="446"/>
      <c r="CH91" s="446"/>
      <c r="CI91" s="446"/>
      <c r="CJ91" s="446"/>
      <c r="CK91" s="446"/>
      <c r="CL91" s="446"/>
      <c r="CM91" s="446"/>
      <c r="CN91" s="446"/>
      <c r="CO91" s="446"/>
      <c r="CP91" s="446"/>
      <c r="CQ91" s="446"/>
      <c r="CR91" s="446"/>
      <c r="CS91" s="446"/>
      <c r="CT91" s="446"/>
      <c r="CU91" s="446"/>
      <c r="CV91" s="446"/>
      <c r="CW91" s="233"/>
      <c r="CX91" s="446"/>
      <c r="CY91" s="446"/>
      <c r="CZ91" s="446"/>
      <c r="DA91" s="446"/>
      <c r="DB91" s="446"/>
      <c r="DC91" s="446"/>
      <c r="DD91" s="446"/>
      <c r="DE91" s="446"/>
      <c r="DF91" s="446"/>
      <c r="DG91" s="446"/>
      <c r="DH91" s="446"/>
      <c r="DI91" s="446"/>
      <c r="DJ91" s="446"/>
      <c r="DK91" s="446"/>
      <c r="DL91" s="446"/>
      <c r="DM91" s="446"/>
      <c r="DN91" s="446"/>
      <c r="DO91" s="446"/>
      <c r="DP91" s="258"/>
      <c r="DQ91" s="258"/>
      <c r="DR91" s="258"/>
      <c r="DS91" s="258"/>
      <c r="DT91" s="258"/>
      <c r="DU91" s="258"/>
      <c r="DV91" s="258"/>
      <c r="DW91" s="258"/>
      <c r="DX91" s="258"/>
      <c r="DY91" s="258"/>
      <c r="DZ91" s="282"/>
      <c r="EA91" s="229"/>
      <c r="EB91" s="229"/>
    </row>
    <row r="92" spans="4:132" s="219" customFormat="1" x14ac:dyDescent="0.2">
      <c r="D92" s="251"/>
      <c r="E92" s="251"/>
      <c r="F92" s="251"/>
      <c r="G92" s="251"/>
      <c r="H92" s="251"/>
      <c r="I92" s="251"/>
      <c r="J92" s="251"/>
      <c r="K92" s="251"/>
      <c r="L92" s="251"/>
      <c r="M92" s="251"/>
      <c r="N92" s="253"/>
      <c r="O92" s="251"/>
      <c r="P92" s="251"/>
      <c r="Q92" s="707"/>
      <c r="R92" s="707"/>
      <c r="S92" s="252"/>
      <c r="T92" s="251"/>
      <c r="U92" s="251"/>
      <c r="V92" s="251"/>
      <c r="W92" s="251"/>
      <c r="X92" s="251"/>
      <c r="Y92" s="255"/>
      <c r="BD92" s="258"/>
      <c r="BE92" s="258"/>
      <c r="BF92" s="258"/>
      <c r="BG92" s="258"/>
      <c r="BH92" s="258"/>
      <c r="BI92" s="258"/>
      <c r="BJ92" s="258"/>
      <c r="BK92" s="258"/>
      <c r="BL92" s="258"/>
      <c r="BM92" s="258"/>
      <c r="BN92" s="258"/>
      <c r="BO92" s="258"/>
      <c r="BP92" s="258"/>
      <c r="BQ92" s="258"/>
      <c r="BR92" s="258"/>
      <c r="BS92" s="258"/>
      <c r="BT92" s="258"/>
      <c r="BU92" s="257"/>
      <c r="BV92" s="258"/>
      <c r="BW92" s="258"/>
      <c r="BX92" s="258"/>
      <c r="BY92" s="258"/>
      <c r="BZ92" s="446"/>
      <c r="CA92" s="446"/>
      <c r="CB92" s="446"/>
      <c r="CC92" s="446"/>
      <c r="CD92" s="446"/>
      <c r="CE92" s="446"/>
      <c r="CF92" s="446"/>
      <c r="CG92" s="446"/>
      <c r="CH92" s="446"/>
      <c r="CI92" s="446"/>
      <c r="CJ92" s="446"/>
      <c r="CK92" s="446"/>
      <c r="CL92" s="446"/>
      <c r="CM92" s="446"/>
      <c r="CN92" s="446"/>
      <c r="CO92" s="446"/>
      <c r="CP92" s="446"/>
      <c r="CQ92" s="446"/>
      <c r="CR92" s="446"/>
      <c r="CS92" s="446"/>
      <c r="CT92" s="446"/>
      <c r="CU92" s="446"/>
      <c r="CV92" s="446"/>
      <c r="CW92" s="233"/>
      <c r="CX92" s="446"/>
      <c r="CY92" s="446"/>
      <c r="CZ92" s="446"/>
      <c r="DA92" s="446"/>
      <c r="DB92" s="446"/>
      <c r="DC92" s="446"/>
      <c r="DD92" s="446"/>
      <c r="DE92" s="446"/>
      <c r="DF92" s="446"/>
      <c r="DG92" s="446"/>
      <c r="DH92" s="446"/>
      <c r="DI92" s="446"/>
      <c r="DJ92" s="446"/>
      <c r="DK92" s="446"/>
      <c r="DL92" s="446"/>
      <c r="DM92" s="446"/>
      <c r="DN92" s="446"/>
      <c r="DO92" s="446"/>
      <c r="DP92" s="258"/>
      <c r="DQ92" s="258"/>
      <c r="DR92" s="258"/>
      <c r="DS92" s="258"/>
      <c r="DT92" s="258"/>
      <c r="DU92" s="258"/>
      <c r="DV92" s="258"/>
      <c r="DW92" s="258"/>
      <c r="DX92" s="258"/>
      <c r="DY92" s="258"/>
      <c r="DZ92" s="282"/>
      <c r="EA92" s="229"/>
      <c r="EB92" s="229"/>
    </row>
    <row r="93" spans="4:132" s="219" customFormat="1" x14ac:dyDescent="0.2">
      <c r="D93" s="251"/>
      <c r="E93" s="251"/>
      <c r="F93" s="251"/>
      <c r="G93" s="251"/>
      <c r="H93" s="251"/>
      <c r="I93" s="251"/>
      <c r="J93" s="251"/>
      <c r="K93" s="251"/>
      <c r="L93" s="251"/>
      <c r="M93" s="251"/>
      <c r="N93" s="253"/>
      <c r="O93" s="251"/>
      <c r="P93" s="251"/>
      <c r="Q93" s="707"/>
      <c r="R93" s="707"/>
      <c r="S93" s="252"/>
      <c r="T93" s="251"/>
      <c r="U93" s="251"/>
      <c r="V93" s="251"/>
      <c r="W93" s="251"/>
      <c r="X93" s="251"/>
      <c r="Y93" s="255"/>
      <c r="BD93" s="258"/>
      <c r="BE93" s="258"/>
      <c r="BF93" s="258"/>
      <c r="BG93" s="258"/>
      <c r="BH93" s="258"/>
      <c r="BI93" s="258"/>
      <c r="BJ93" s="258"/>
      <c r="BK93" s="258"/>
      <c r="BL93" s="258"/>
      <c r="BM93" s="258"/>
      <c r="BN93" s="258"/>
      <c r="BO93" s="258"/>
      <c r="BP93" s="258"/>
      <c r="BQ93" s="258"/>
      <c r="BR93" s="258"/>
      <c r="BS93" s="258"/>
      <c r="BT93" s="258"/>
      <c r="BU93" s="257"/>
      <c r="BV93" s="258"/>
      <c r="BW93" s="258"/>
      <c r="BX93" s="258"/>
      <c r="BY93" s="258"/>
      <c r="BZ93" s="446"/>
      <c r="CA93" s="446"/>
      <c r="CB93" s="446"/>
      <c r="CC93" s="446"/>
      <c r="CD93" s="446"/>
      <c r="CE93" s="446"/>
      <c r="CF93" s="446"/>
      <c r="CG93" s="446"/>
      <c r="CH93" s="446"/>
      <c r="CI93" s="446"/>
      <c r="CJ93" s="446"/>
      <c r="CK93" s="446"/>
      <c r="CL93" s="446"/>
      <c r="CM93" s="446"/>
      <c r="CN93" s="446"/>
      <c r="CO93" s="446"/>
      <c r="CP93" s="446"/>
      <c r="CQ93" s="446"/>
      <c r="CR93" s="446"/>
      <c r="CS93" s="446"/>
      <c r="CT93" s="446"/>
      <c r="CU93" s="446"/>
      <c r="CV93" s="446"/>
      <c r="CW93" s="233"/>
      <c r="CX93" s="446"/>
      <c r="CY93" s="446"/>
      <c r="CZ93" s="446"/>
      <c r="DA93" s="446"/>
      <c r="DB93" s="446"/>
      <c r="DC93" s="446"/>
      <c r="DD93" s="446"/>
      <c r="DE93" s="446"/>
      <c r="DF93" s="446"/>
      <c r="DG93" s="446"/>
      <c r="DH93" s="446"/>
      <c r="DI93" s="446"/>
      <c r="DJ93" s="446"/>
      <c r="DK93" s="446"/>
      <c r="DL93" s="446"/>
      <c r="DM93" s="446"/>
      <c r="DN93" s="446"/>
      <c r="DO93" s="446"/>
      <c r="DP93" s="258"/>
      <c r="DQ93" s="258"/>
      <c r="DR93" s="258"/>
      <c r="DS93" s="258"/>
      <c r="DT93" s="258"/>
      <c r="DU93" s="258"/>
      <c r="DV93" s="258"/>
      <c r="DW93" s="258"/>
      <c r="DX93" s="258"/>
      <c r="DY93" s="258"/>
      <c r="DZ93" s="282"/>
      <c r="EA93" s="229"/>
      <c r="EB93" s="229"/>
    </row>
    <row r="94" spans="4:132" s="219" customFormat="1" ht="15.75" customHeight="1" x14ac:dyDescent="0.2">
      <c r="D94" s="251"/>
      <c r="E94" s="251"/>
      <c r="F94" s="251"/>
      <c r="G94" s="251"/>
      <c r="H94" s="251"/>
      <c r="I94" s="251"/>
      <c r="J94" s="251"/>
      <c r="K94" s="251"/>
      <c r="L94" s="251"/>
      <c r="M94" s="251"/>
      <c r="N94" s="253"/>
      <c r="O94" s="251"/>
      <c r="P94" s="251"/>
      <c r="Q94" s="707"/>
      <c r="R94" s="707"/>
      <c r="S94" s="252"/>
      <c r="T94" s="251"/>
      <c r="U94" s="251"/>
      <c r="V94" s="251"/>
      <c r="W94" s="251"/>
      <c r="X94" s="251"/>
      <c r="BD94" s="258"/>
      <c r="BE94" s="258"/>
      <c r="BF94" s="258"/>
      <c r="BG94" s="258"/>
      <c r="BH94" s="258"/>
      <c r="BI94" s="258"/>
      <c r="BJ94" s="258"/>
      <c r="BK94" s="258"/>
      <c r="BL94" s="258"/>
      <c r="BM94" s="258"/>
      <c r="BN94" s="258"/>
      <c r="BO94" s="258"/>
      <c r="BP94" s="258"/>
      <c r="BQ94" s="258"/>
      <c r="BR94" s="258"/>
      <c r="BS94" s="258"/>
      <c r="BT94" s="258"/>
      <c r="BU94" s="257"/>
      <c r="BV94" s="258"/>
      <c r="BW94" s="258"/>
      <c r="BX94" s="258"/>
      <c r="BY94" s="258"/>
      <c r="BZ94" s="446"/>
      <c r="CA94" s="446"/>
      <c r="CB94" s="446"/>
      <c r="CC94" s="446"/>
      <c r="CD94" s="446"/>
      <c r="CE94" s="446"/>
      <c r="CF94" s="446"/>
      <c r="CG94" s="446"/>
      <c r="CH94" s="446"/>
      <c r="CI94" s="446"/>
      <c r="CJ94" s="446"/>
      <c r="CK94" s="446"/>
      <c r="CL94" s="446"/>
      <c r="CM94" s="446"/>
      <c r="CN94" s="446"/>
      <c r="CO94" s="446"/>
      <c r="CP94" s="446"/>
      <c r="CQ94" s="446"/>
      <c r="CR94" s="446"/>
      <c r="CS94" s="446"/>
      <c r="CT94" s="446"/>
      <c r="CU94" s="446"/>
      <c r="CV94" s="446"/>
      <c r="CW94" s="233"/>
      <c r="CX94" s="446"/>
      <c r="CY94" s="446"/>
      <c r="CZ94" s="446"/>
      <c r="DA94" s="446"/>
      <c r="DB94" s="446"/>
      <c r="DC94" s="446"/>
      <c r="DD94" s="446"/>
      <c r="DE94" s="446"/>
      <c r="DF94" s="446"/>
      <c r="DG94" s="446"/>
      <c r="DH94" s="446"/>
      <c r="DI94" s="446"/>
      <c r="DJ94" s="446"/>
      <c r="DK94" s="446"/>
      <c r="DL94" s="446"/>
      <c r="DM94" s="446"/>
      <c r="DN94" s="446"/>
      <c r="DO94" s="446"/>
      <c r="DP94" s="258"/>
      <c r="DQ94" s="258"/>
      <c r="DR94" s="258"/>
      <c r="DS94" s="258"/>
      <c r="DT94" s="258"/>
      <c r="DU94" s="258"/>
      <c r="DV94" s="258"/>
      <c r="DW94" s="258"/>
      <c r="DX94" s="258"/>
      <c r="DY94" s="258"/>
      <c r="DZ94" s="282"/>
      <c r="EA94" s="229"/>
      <c r="EB94" s="229"/>
    </row>
    <row r="95" spans="4:132" s="219" customFormat="1" ht="15.75" customHeight="1" x14ac:dyDescent="0.2">
      <c r="D95" s="251"/>
      <c r="E95" s="251"/>
      <c r="F95" s="251"/>
      <c r="G95" s="251"/>
      <c r="H95" s="251"/>
      <c r="I95" s="251"/>
      <c r="J95" s="251"/>
      <c r="K95" s="251"/>
      <c r="L95" s="251"/>
      <c r="M95" s="251"/>
      <c r="N95" s="253"/>
      <c r="O95" s="251"/>
      <c r="P95" s="251"/>
      <c r="Q95" s="707"/>
      <c r="R95" s="707"/>
      <c r="S95" s="252"/>
      <c r="T95" s="251"/>
      <c r="U95" s="251"/>
      <c r="V95" s="251"/>
      <c r="W95" s="251"/>
      <c r="X95" s="251"/>
      <c r="BD95" s="258"/>
      <c r="BE95" s="258"/>
      <c r="BF95" s="258"/>
      <c r="BG95" s="258"/>
      <c r="BH95" s="258"/>
      <c r="BI95" s="258"/>
      <c r="BJ95" s="258"/>
      <c r="BK95" s="258"/>
      <c r="BL95" s="258"/>
      <c r="BM95" s="258"/>
      <c r="BN95" s="258"/>
      <c r="BO95" s="258"/>
      <c r="BP95" s="258"/>
      <c r="BQ95" s="258"/>
      <c r="BR95" s="258"/>
      <c r="BS95" s="258"/>
      <c r="BT95" s="258"/>
      <c r="BU95" s="257"/>
      <c r="BV95" s="258"/>
      <c r="BW95" s="258"/>
      <c r="BX95" s="258"/>
      <c r="BY95" s="258"/>
      <c r="BZ95" s="446"/>
      <c r="CA95" s="446"/>
      <c r="CB95" s="446"/>
      <c r="CC95" s="446"/>
      <c r="CD95" s="446"/>
      <c r="CE95" s="446"/>
      <c r="CF95" s="446"/>
      <c r="CG95" s="446"/>
      <c r="CH95" s="446"/>
      <c r="CI95" s="446"/>
      <c r="CJ95" s="446"/>
      <c r="CK95" s="446"/>
      <c r="CL95" s="446"/>
      <c r="CM95" s="446"/>
      <c r="CN95" s="446"/>
      <c r="CO95" s="446"/>
      <c r="CP95" s="446"/>
      <c r="CQ95" s="446"/>
      <c r="CR95" s="446"/>
      <c r="CS95" s="446"/>
      <c r="CT95" s="446"/>
      <c r="CU95" s="446"/>
      <c r="CV95" s="446"/>
      <c r="CW95" s="233"/>
      <c r="CX95" s="446"/>
      <c r="CY95" s="446"/>
      <c r="CZ95" s="446"/>
      <c r="DA95" s="446"/>
      <c r="DB95" s="446"/>
      <c r="DC95" s="446"/>
      <c r="DD95" s="446"/>
      <c r="DE95" s="446"/>
      <c r="DF95" s="446"/>
      <c r="DG95" s="446"/>
      <c r="DH95" s="446"/>
      <c r="DI95" s="446"/>
      <c r="DJ95" s="446"/>
      <c r="DK95" s="446"/>
      <c r="DL95" s="446"/>
      <c r="DM95" s="446"/>
      <c r="DN95" s="446"/>
      <c r="DO95" s="446"/>
      <c r="DP95" s="258"/>
      <c r="DQ95" s="258"/>
      <c r="DR95" s="258"/>
      <c r="DS95" s="258"/>
      <c r="DT95" s="258"/>
      <c r="DU95" s="258"/>
      <c r="DV95" s="258"/>
      <c r="DW95" s="258"/>
      <c r="DX95" s="258"/>
      <c r="DY95" s="258"/>
      <c r="DZ95" s="282"/>
      <c r="EA95" s="229"/>
      <c r="EB95" s="229"/>
    </row>
    <row r="96" spans="4:132" s="219" customFormat="1" ht="15.75" customHeight="1" x14ac:dyDescent="0.2">
      <c r="D96" s="251"/>
      <c r="E96" s="251"/>
      <c r="F96" s="251"/>
      <c r="G96" s="251"/>
      <c r="H96" s="251"/>
      <c r="I96" s="251"/>
      <c r="J96" s="251"/>
      <c r="K96" s="251"/>
      <c r="L96" s="251"/>
      <c r="M96" s="251"/>
      <c r="N96" s="253"/>
      <c r="O96" s="251"/>
      <c r="P96" s="251"/>
      <c r="Q96" s="707"/>
      <c r="R96" s="707"/>
      <c r="S96" s="252"/>
      <c r="T96" s="251"/>
      <c r="U96" s="251"/>
      <c r="V96" s="251"/>
      <c r="W96" s="251"/>
      <c r="X96" s="251"/>
      <c r="BD96" s="258"/>
      <c r="BE96" s="258"/>
      <c r="BF96" s="258"/>
      <c r="BG96" s="258"/>
      <c r="BH96" s="258"/>
      <c r="BI96" s="258"/>
      <c r="BJ96" s="258"/>
      <c r="BK96" s="258"/>
      <c r="BL96" s="258"/>
      <c r="BM96" s="258"/>
      <c r="BN96" s="258"/>
      <c r="BO96" s="258"/>
      <c r="BP96" s="258"/>
      <c r="BQ96" s="258"/>
      <c r="BR96" s="258"/>
      <c r="BS96" s="258"/>
      <c r="BT96" s="258"/>
      <c r="BU96" s="257"/>
      <c r="BV96" s="258"/>
      <c r="BW96" s="258"/>
      <c r="BX96" s="258"/>
      <c r="BY96" s="258"/>
      <c r="BZ96" s="446"/>
      <c r="CA96" s="446"/>
      <c r="CB96" s="446"/>
      <c r="CC96" s="446"/>
      <c r="CD96" s="446"/>
      <c r="CE96" s="446"/>
      <c r="CF96" s="446"/>
      <c r="CG96" s="446"/>
      <c r="CH96" s="446"/>
      <c r="CI96" s="446"/>
      <c r="CJ96" s="446"/>
      <c r="CK96" s="446"/>
      <c r="CL96" s="446"/>
      <c r="CM96" s="446"/>
      <c r="CN96" s="446"/>
      <c r="CO96" s="446"/>
      <c r="CP96" s="446"/>
      <c r="CQ96" s="446"/>
      <c r="CR96" s="446"/>
      <c r="CS96" s="446"/>
      <c r="CT96" s="446"/>
      <c r="CU96" s="446"/>
      <c r="CV96" s="446"/>
      <c r="CW96" s="233"/>
      <c r="CX96" s="446"/>
      <c r="CY96" s="446"/>
      <c r="CZ96" s="446"/>
      <c r="DA96" s="446"/>
      <c r="DB96" s="446"/>
      <c r="DC96" s="446"/>
      <c r="DD96" s="446"/>
      <c r="DE96" s="446"/>
      <c r="DF96" s="446"/>
      <c r="DG96" s="446"/>
      <c r="DH96" s="446"/>
      <c r="DI96" s="446"/>
      <c r="DJ96" s="446"/>
      <c r="DK96" s="446"/>
      <c r="DL96" s="446"/>
      <c r="DM96" s="446"/>
      <c r="DN96" s="446"/>
      <c r="DO96" s="446"/>
      <c r="DP96" s="258"/>
      <c r="DQ96" s="258"/>
      <c r="DR96" s="258"/>
      <c r="DS96" s="258"/>
      <c r="DT96" s="258"/>
      <c r="DU96" s="258"/>
      <c r="DV96" s="258"/>
      <c r="DW96" s="258"/>
      <c r="DX96" s="258"/>
      <c r="DY96" s="258"/>
      <c r="DZ96" s="282"/>
      <c r="EA96" s="229"/>
      <c r="EB96" s="229"/>
    </row>
    <row r="97" spans="2:132" s="219" customFormat="1" ht="15.75" customHeight="1" x14ac:dyDescent="0.2">
      <c r="D97" s="251"/>
      <c r="E97" s="251"/>
      <c r="F97" s="251"/>
      <c r="G97" s="251"/>
      <c r="H97" s="251"/>
      <c r="I97" s="251"/>
      <c r="J97" s="251"/>
      <c r="K97" s="251"/>
      <c r="L97" s="251"/>
      <c r="M97" s="251"/>
      <c r="N97" s="253"/>
      <c r="O97" s="251"/>
      <c r="P97" s="251"/>
      <c r="Q97" s="707"/>
      <c r="R97" s="707"/>
      <c r="S97" s="252"/>
      <c r="T97" s="251"/>
      <c r="U97" s="251"/>
      <c r="V97" s="251"/>
      <c r="W97" s="251"/>
      <c r="X97" s="251"/>
      <c r="BD97" s="258"/>
      <c r="BE97" s="258"/>
      <c r="BF97" s="258"/>
      <c r="BG97" s="258"/>
      <c r="BH97" s="258"/>
      <c r="BI97" s="258"/>
      <c r="BJ97" s="258"/>
      <c r="BK97" s="258"/>
      <c r="BL97" s="258"/>
      <c r="BM97" s="258"/>
      <c r="BN97" s="258"/>
      <c r="BO97" s="258"/>
      <c r="BP97" s="258"/>
      <c r="BQ97" s="258"/>
      <c r="BR97" s="258"/>
      <c r="BS97" s="258"/>
      <c r="BT97" s="258"/>
      <c r="BU97" s="257"/>
      <c r="BV97" s="258"/>
      <c r="BW97" s="258"/>
      <c r="BX97" s="258"/>
      <c r="BY97" s="258"/>
      <c r="BZ97" s="446"/>
      <c r="CA97" s="446"/>
      <c r="CB97" s="446"/>
      <c r="CC97" s="446"/>
      <c r="CD97" s="446"/>
      <c r="CE97" s="446"/>
      <c r="CF97" s="446"/>
      <c r="CG97" s="446"/>
      <c r="CH97" s="446"/>
      <c r="CI97" s="446"/>
      <c r="CJ97" s="446"/>
      <c r="CK97" s="446"/>
      <c r="CL97" s="446"/>
      <c r="CM97" s="446"/>
      <c r="CN97" s="446"/>
      <c r="CO97" s="446"/>
      <c r="CP97" s="446"/>
      <c r="CQ97" s="446"/>
      <c r="CR97" s="446"/>
      <c r="CS97" s="446"/>
      <c r="CT97" s="446"/>
      <c r="CU97" s="446"/>
      <c r="CV97" s="446"/>
      <c r="CW97" s="233"/>
      <c r="CX97" s="446"/>
      <c r="CY97" s="446"/>
      <c r="CZ97" s="446"/>
      <c r="DA97" s="446"/>
      <c r="DB97" s="446"/>
      <c r="DC97" s="446"/>
      <c r="DD97" s="446"/>
      <c r="DE97" s="446"/>
      <c r="DF97" s="446"/>
      <c r="DG97" s="446"/>
      <c r="DH97" s="446"/>
      <c r="DI97" s="446"/>
      <c r="DJ97" s="446"/>
      <c r="DK97" s="446"/>
      <c r="DL97" s="446"/>
      <c r="DM97" s="446"/>
      <c r="DN97" s="446"/>
      <c r="DO97" s="446"/>
      <c r="DP97" s="258"/>
      <c r="DQ97" s="258"/>
      <c r="DR97" s="258"/>
      <c r="DS97" s="258"/>
      <c r="DT97" s="258"/>
      <c r="DU97" s="258"/>
      <c r="DV97" s="258"/>
      <c r="DW97" s="258"/>
      <c r="DX97" s="258"/>
      <c r="DY97" s="258"/>
      <c r="DZ97" s="282"/>
      <c r="EA97" s="229"/>
      <c r="EB97" s="229"/>
    </row>
    <row r="98" spans="2:132" s="219" customFormat="1" ht="15.75" customHeight="1" x14ac:dyDescent="0.2">
      <c r="D98" s="251"/>
      <c r="E98" s="251"/>
      <c r="F98" s="251"/>
      <c r="G98" s="251"/>
      <c r="H98" s="251"/>
      <c r="I98" s="251"/>
      <c r="J98" s="251"/>
      <c r="K98" s="251"/>
      <c r="L98" s="251"/>
      <c r="M98" s="251"/>
      <c r="N98" s="253"/>
      <c r="O98" s="251"/>
      <c r="P98" s="251"/>
      <c r="Q98" s="707"/>
      <c r="R98" s="707"/>
      <c r="S98" s="252"/>
      <c r="T98" s="251"/>
      <c r="U98" s="251"/>
      <c r="V98" s="251"/>
      <c r="W98" s="251"/>
      <c r="X98" s="251"/>
      <c r="BD98" s="258"/>
      <c r="BE98" s="258"/>
      <c r="BF98" s="258"/>
      <c r="BG98" s="258"/>
      <c r="BH98" s="258"/>
      <c r="BI98" s="258"/>
      <c r="BJ98" s="258"/>
      <c r="BK98" s="258"/>
      <c r="BL98" s="258"/>
      <c r="BM98" s="258"/>
      <c r="BN98" s="258"/>
      <c r="BO98" s="258"/>
      <c r="BP98" s="258"/>
      <c r="BQ98" s="258"/>
      <c r="BR98" s="258"/>
      <c r="BS98" s="258"/>
      <c r="BT98" s="258"/>
      <c r="BU98" s="257"/>
      <c r="BV98" s="258"/>
      <c r="BW98" s="258"/>
      <c r="BX98" s="258"/>
      <c r="BY98" s="258"/>
      <c r="BZ98" s="446"/>
      <c r="CA98" s="446"/>
      <c r="CB98" s="446"/>
      <c r="CC98" s="446"/>
      <c r="CD98" s="446"/>
      <c r="CE98" s="446"/>
      <c r="CF98" s="446"/>
      <c r="CG98" s="446"/>
      <c r="CH98" s="446"/>
      <c r="CI98" s="446"/>
      <c r="CJ98" s="446"/>
      <c r="CK98" s="446"/>
      <c r="CL98" s="446"/>
      <c r="CM98" s="446"/>
      <c r="CN98" s="446"/>
      <c r="CO98" s="446"/>
      <c r="CP98" s="446"/>
      <c r="CQ98" s="446"/>
      <c r="CR98" s="446"/>
      <c r="CS98" s="446"/>
      <c r="CT98" s="446"/>
      <c r="CU98" s="446"/>
      <c r="CV98" s="446"/>
      <c r="CW98" s="233"/>
      <c r="CX98" s="446"/>
      <c r="CY98" s="446"/>
      <c r="CZ98" s="446"/>
      <c r="DA98" s="446"/>
      <c r="DB98" s="446"/>
      <c r="DC98" s="446"/>
      <c r="DD98" s="446"/>
      <c r="DE98" s="446"/>
      <c r="DF98" s="446"/>
      <c r="DG98" s="446"/>
      <c r="DH98" s="446"/>
      <c r="DI98" s="446"/>
      <c r="DJ98" s="446"/>
      <c r="DK98" s="446"/>
      <c r="DL98" s="446"/>
      <c r="DM98" s="446"/>
      <c r="DN98" s="446"/>
      <c r="DO98" s="446"/>
      <c r="DP98" s="258"/>
      <c r="DQ98" s="258"/>
      <c r="DR98" s="258"/>
      <c r="DS98" s="258"/>
      <c r="DT98" s="258"/>
      <c r="DU98" s="258"/>
      <c r="DV98" s="258"/>
      <c r="DW98" s="258"/>
      <c r="DX98" s="258"/>
      <c r="DY98" s="258"/>
      <c r="DZ98" s="282"/>
      <c r="EA98" s="229"/>
      <c r="EB98" s="229"/>
    </row>
    <row r="99" spans="2:132" s="219" customFormat="1" ht="15.75" customHeight="1" x14ac:dyDescent="0.2">
      <c r="D99" s="251"/>
      <c r="E99" s="251"/>
      <c r="F99" s="251"/>
      <c r="G99" s="251"/>
      <c r="H99" s="251"/>
      <c r="I99" s="251"/>
      <c r="J99" s="251"/>
      <c r="K99" s="251"/>
      <c r="L99" s="251"/>
      <c r="M99" s="251"/>
      <c r="N99" s="253"/>
      <c r="O99" s="251"/>
      <c r="P99" s="251"/>
      <c r="Q99" s="707"/>
      <c r="R99" s="707"/>
      <c r="S99" s="252"/>
      <c r="T99" s="251"/>
      <c r="U99" s="251"/>
      <c r="V99" s="251"/>
      <c r="W99" s="251"/>
      <c r="X99" s="251"/>
      <c r="BD99" s="258"/>
      <c r="BE99" s="258"/>
      <c r="BF99" s="258"/>
      <c r="BG99" s="258"/>
      <c r="BH99" s="258"/>
      <c r="BI99" s="258"/>
      <c r="BJ99" s="258"/>
      <c r="BK99" s="258"/>
      <c r="BL99" s="258"/>
      <c r="BM99" s="258"/>
      <c r="BN99" s="258"/>
      <c r="BO99" s="258"/>
      <c r="BP99" s="258"/>
      <c r="BQ99" s="258"/>
      <c r="BR99" s="258"/>
      <c r="BS99" s="258"/>
      <c r="BT99" s="258"/>
      <c r="BU99" s="257"/>
      <c r="BV99" s="258"/>
      <c r="BW99" s="258"/>
      <c r="BX99" s="258"/>
      <c r="BY99" s="258"/>
      <c r="BZ99" s="446"/>
      <c r="CA99" s="446"/>
      <c r="CB99" s="446"/>
      <c r="CC99" s="446"/>
      <c r="CD99" s="446"/>
      <c r="CE99" s="446"/>
      <c r="CF99" s="446"/>
      <c r="CG99" s="446"/>
      <c r="CH99" s="446"/>
      <c r="CI99" s="446"/>
      <c r="CJ99" s="446"/>
      <c r="CK99" s="446"/>
      <c r="CL99" s="446"/>
      <c r="CM99" s="446"/>
      <c r="CN99" s="446"/>
      <c r="CO99" s="446"/>
      <c r="CP99" s="446"/>
      <c r="CQ99" s="446"/>
      <c r="CR99" s="446"/>
      <c r="CS99" s="446"/>
      <c r="CT99" s="903"/>
      <c r="CU99" s="903"/>
      <c r="CV99" s="903"/>
      <c r="CW99" s="541"/>
      <c r="CX99" s="446"/>
      <c r="CY99" s="446"/>
      <c r="CZ99" s="446"/>
      <c r="DA99" s="446"/>
      <c r="DB99" s="446"/>
      <c r="DC99" s="446"/>
      <c r="DD99" s="446"/>
      <c r="DE99" s="446"/>
      <c r="DF99" s="446"/>
      <c r="DG99" s="446"/>
      <c r="DH99" s="446"/>
      <c r="DI99" s="446"/>
      <c r="DJ99" s="446"/>
      <c r="DK99" s="446"/>
      <c r="DL99" s="446"/>
      <c r="DM99" s="446"/>
      <c r="DN99" s="446"/>
      <c r="DO99" s="446"/>
      <c r="DP99" s="258"/>
      <c r="DQ99" s="258"/>
      <c r="DR99" s="258"/>
      <c r="DS99" s="258"/>
      <c r="DT99" s="258"/>
      <c r="DU99" s="258"/>
      <c r="DV99" s="258"/>
      <c r="DW99" s="258"/>
      <c r="DX99" s="258"/>
      <c r="DY99" s="258"/>
      <c r="DZ99" s="282"/>
      <c r="EA99" s="229"/>
      <c r="EB99" s="229"/>
    </row>
    <row r="100" spans="2:132" s="219" customFormat="1" ht="15.75" customHeight="1" x14ac:dyDescent="0.2">
      <c r="D100" s="251"/>
      <c r="E100" s="251"/>
      <c r="F100" s="251"/>
      <c r="G100" s="251"/>
      <c r="H100" s="251"/>
      <c r="I100" s="251"/>
      <c r="J100" s="251"/>
      <c r="K100" s="251"/>
      <c r="L100" s="251"/>
      <c r="M100" s="251"/>
      <c r="N100" s="253"/>
      <c r="O100" s="251"/>
      <c r="P100" s="251"/>
      <c r="Q100" s="707"/>
      <c r="R100" s="707"/>
      <c r="S100" s="252"/>
      <c r="T100" s="251"/>
      <c r="U100" s="251"/>
      <c r="V100" s="251"/>
      <c r="W100" s="251"/>
      <c r="X100" s="251"/>
      <c r="BD100" s="258"/>
      <c r="BE100" s="258"/>
      <c r="BF100" s="258"/>
      <c r="BG100" s="258"/>
      <c r="BH100" s="258"/>
      <c r="BI100" s="258"/>
      <c r="BJ100" s="258"/>
      <c r="BK100" s="258"/>
      <c r="BL100" s="258"/>
      <c r="BM100" s="258"/>
      <c r="BN100" s="258"/>
      <c r="BO100" s="258"/>
      <c r="BP100" s="258"/>
      <c r="BQ100" s="258"/>
      <c r="BR100" s="258"/>
      <c r="BS100" s="258"/>
      <c r="BT100" s="258"/>
      <c r="BU100" s="257"/>
      <c r="BV100" s="258"/>
      <c r="BW100" s="258"/>
      <c r="BX100" s="258"/>
      <c r="BY100" s="258"/>
      <c r="BZ100" s="446"/>
      <c r="CA100" s="446"/>
      <c r="CB100" s="446"/>
      <c r="CC100" s="446"/>
      <c r="CD100" s="446"/>
      <c r="CE100" s="446"/>
      <c r="CF100" s="446"/>
      <c r="CG100" s="446"/>
      <c r="CH100" s="446"/>
      <c r="CI100" s="446"/>
      <c r="CJ100" s="446"/>
      <c r="CK100" s="446"/>
      <c r="CL100" s="446"/>
      <c r="CM100" s="446"/>
      <c r="CN100" s="446"/>
      <c r="CO100" s="446"/>
      <c r="CP100" s="446"/>
      <c r="CQ100" s="446"/>
      <c r="CR100" s="446"/>
      <c r="CS100" s="446"/>
      <c r="CT100" s="903"/>
      <c r="CU100" s="903"/>
      <c r="CV100" s="903"/>
      <c r="CW100" s="541"/>
      <c r="CX100" s="446"/>
      <c r="CY100" s="446"/>
      <c r="CZ100" s="446"/>
      <c r="DA100" s="446"/>
      <c r="DB100" s="446"/>
      <c r="DC100" s="446"/>
      <c r="DD100" s="446"/>
      <c r="DE100" s="446"/>
      <c r="DF100" s="446"/>
      <c r="DG100" s="446"/>
      <c r="DH100" s="446"/>
      <c r="DI100" s="446"/>
      <c r="DJ100" s="446"/>
      <c r="DK100" s="446"/>
      <c r="DL100" s="446"/>
      <c r="DM100" s="446"/>
      <c r="DN100" s="446"/>
      <c r="DO100" s="446"/>
      <c r="DP100" s="258"/>
      <c r="DQ100" s="258"/>
      <c r="DR100" s="258"/>
      <c r="DS100" s="258"/>
      <c r="DT100" s="258"/>
      <c r="DU100" s="258"/>
      <c r="DV100" s="258"/>
      <c r="DW100" s="258"/>
      <c r="DX100" s="258"/>
      <c r="DY100" s="258"/>
      <c r="DZ100" s="282"/>
      <c r="EA100" s="229"/>
      <c r="EB100" s="229"/>
    </row>
    <row r="101" spans="2:132" s="220" customFormat="1" ht="15.75" customHeight="1" x14ac:dyDescent="0.2">
      <c r="D101" s="777"/>
      <c r="E101" s="777"/>
      <c r="F101" s="777"/>
      <c r="G101" s="777"/>
      <c r="H101" s="777"/>
      <c r="I101" s="777"/>
      <c r="J101" s="777"/>
      <c r="K101" s="777"/>
      <c r="L101" s="777"/>
      <c r="M101" s="777"/>
      <c r="N101" s="778"/>
      <c r="O101" s="777"/>
      <c r="P101" s="777"/>
      <c r="Q101" s="779"/>
      <c r="R101" s="779"/>
      <c r="S101" s="774"/>
      <c r="T101" s="777"/>
      <c r="U101" s="777"/>
      <c r="V101" s="777"/>
      <c r="W101" s="777"/>
      <c r="X101" s="777"/>
      <c r="BD101" s="546"/>
      <c r="BE101" s="546"/>
      <c r="BF101" s="546"/>
      <c r="BG101" s="546"/>
      <c r="BH101" s="546"/>
      <c r="BI101" s="546"/>
      <c r="BJ101" s="546"/>
      <c r="BK101" s="546"/>
      <c r="BL101" s="546"/>
      <c r="BM101" s="546"/>
      <c r="BN101" s="546"/>
      <c r="BO101" s="546"/>
      <c r="BP101" s="546"/>
      <c r="BQ101" s="546"/>
      <c r="BR101" s="546"/>
      <c r="BS101" s="546"/>
      <c r="BT101" s="546"/>
      <c r="BU101" s="780"/>
      <c r="BV101" s="546"/>
      <c r="BW101" s="546"/>
      <c r="BX101" s="546"/>
      <c r="BY101" s="546"/>
      <c r="BZ101" s="462"/>
      <c r="CA101" s="462"/>
      <c r="CB101" s="462"/>
      <c r="CC101" s="462"/>
      <c r="CD101" s="462"/>
      <c r="CE101" s="462"/>
      <c r="CF101" s="462"/>
      <c r="CG101" s="462"/>
      <c r="CH101" s="462"/>
      <c r="CI101" s="462"/>
      <c r="CJ101" s="462"/>
      <c r="CK101" s="462"/>
      <c r="CL101" s="462"/>
      <c r="CM101" s="462"/>
      <c r="CN101" s="462"/>
      <c r="CO101" s="462"/>
      <c r="CP101" s="462"/>
      <c r="CQ101" s="462"/>
      <c r="CR101" s="462"/>
      <c r="CS101" s="462"/>
      <c r="CT101" s="903"/>
      <c r="CU101" s="903"/>
      <c r="CV101" s="903"/>
      <c r="CW101" s="541"/>
      <c r="CX101" s="446"/>
      <c r="CY101" s="446"/>
      <c r="CZ101" s="446"/>
      <c r="DA101" s="462"/>
      <c r="DB101" s="462"/>
      <c r="DC101" s="462"/>
      <c r="DD101" s="462"/>
      <c r="DE101" s="462"/>
      <c r="DF101" s="462"/>
      <c r="DG101" s="462"/>
      <c r="DH101" s="462"/>
      <c r="DI101" s="462"/>
      <c r="DJ101" s="462"/>
      <c r="DK101" s="462"/>
      <c r="DL101" s="462"/>
      <c r="DM101" s="462"/>
      <c r="DN101" s="462"/>
      <c r="DO101" s="462"/>
      <c r="DP101" s="546"/>
      <c r="DQ101" s="546"/>
      <c r="DR101" s="546"/>
      <c r="DS101" s="546"/>
      <c r="DT101" s="546"/>
      <c r="DU101" s="546"/>
      <c r="DV101" s="546"/>
      <c r="DW101" s="546"/>
      <c r="DX101" s="546"/>
      <c r="DY101" s="546"/>
      <c r="DZ101" s="781"/>
      <c r="EA101" s="544"/>
      <c r="EB101" s="544"/>
    </row>
    <row r="102" spans="2:132" s="220" customFormat="1" x14ac:dyDescent="0.2">
      <c r="B102" s="782" t="str">
        <f ca="1">B36</f>
        <v>Monatsbeträge für  2017</v>
      </c>
      <c r="C102" s="782" t="str">
        <f ca="1">D35 &amp;  "." &amp; '1 Pers.Ausgaben|Pers Expenses'!$C$4</f>
        <v>1.2017</v>
      </c>
      <c r="D102" s="782" t="str">
        <f ca="1">E35 &amp;  "." &amp; '1 Pers.Ausgaben|Pers Expenses'!$C$4</f>
        <v>2.2017</v>
      </c>
      <c r="E102" s="782" t="str">
        <f ca="1">F35 &amp;  "." &amp; '1 Pers.Ausgaben|Pers Expenses'!$C$4</f>
        <v>3.2017</v>
      </c>
      <c r="F102" s="782" t="str">
        <f ca="1">G35 &amp;  "." &amp; '1 Pers.Ausgaben|Pers Expenses'!$C$4</f>
        <v>4.2017</v>
      </c>
      <c r="G102" s="782" t="str">
        <f ca="1">H35 &amp;  "." &amp; '1 Pers.Ausgaben|Pers Expenses'!$C$4</f>
        <v>5.2017</v>
      </c>
      <c r="H102" s="782" t="str">
        <f ca="1">I35 &amp;  "." &amp; '1 Pers.Ausgaben|Pers Expenses'!$C$4</f>
        <v>6.2017</v>
      </c>
      <c r="I102" s="782" t="str">
        <f ca="1">J35 &amp;  "." &amp; '1 Pers.Ausgaben|Pers Expenses'!$C$4</f>
        <v>7.2017</v>
      </c>
      <c r="J102" s="782" t="str">
        <f ca="1">K35 &amp;  "." &amp; '1 Pers.Ausgaben|Pers Expenses'!$C$4</f>
        <v>8.2017</v>
      </c>
      <c r="K102" s="782" t="str">
        <f ca="1">L35 &amp;  "." &amp; '1 Pers.Ausgaben|Pers Expenses'!$C$4</f>
        <v>9.2017</v>
      </c>
      <c r="L102" s="782" t="str">
        <f ca="1">M35 &amp;  "." &amp; '1 Pers.Ausgaben|Pers Expenses'!$C$4</f>
        <v>10.2017</v>
      </c>
      <c r="M102" s="782" t="str">
        <f ca="1">N35 &amp;  "." &amp; '1 Pers.Ausgaben|Pers Expenses'!$C$4</f>
        <v>11.2017</v>
      </c>
      <c r="N102" s="782" t="str">
        <f ca="1">O35 &amp;  "." &amp; '1 Pers.Ausgaben|Pers Expenses'!$C$4</f>
        <v>12.2017</v>
      </c>
      <c r="O102" s="778" t="str">
        <f ca="1">D43 &amp;  "." &amp; '1 Pers.Ausgaben|Pers Expenses'!$C$4+1</f>
        <v>1.2018</v>
      </c>
      <c r="P102" s="778" t="str">
        <f ca="1">E43 &amp;  "." &amp; '1 Pers.Ausgaben|Pers Expenses'!$C$4+1</f>
        <v>2.2018</v>
      </c>
      <c r="Q102" s="778" t="str">
        <f ca="1">F43 &amp;  "." &amp; '1 Pers.Ausgaben|Pers Expenses'!$C$4+1</f>
        <v>3.2018</v>
      </c>
      <c r="R102" s="778" t="str">
        <f ca="1">G43 &amp;  "." &amp; '1 Pers.Ausgaben|Pers Expenses'!$C$4+1</f>
        <v>4.2018</v>
      </c>
      <c r="S102" s="778" t="str">
        <f ca="1">H43 &amp;  "." &amp; '1 Pers.Ausgaben|Pers Expenses'!$C$4+1</f>
        <v>5.2018</v>
      </c>
      <c r="T102" s="778" t="str">
        <f ca="1">I43 &amp;  "." &amp; '1 Pers.Ausgaben|Pers Expenses'!$C$4+1</f>
        <v>6.2018</v>
      </c>
      <c r="U102" s="778" t="str">
        <f ca="1">J43 &amp;  "." &amp; '1 Pers.Ausgaben|Pers Expenses'!$C$4+1</f>
        <v>7.2018</v>
      </c>
      <c r="V102" s="778" t="str">
        <f ca="1">K43 &amp;  "." &amp; '1 Pers.Ausgaben|Pers Expenses'!$C$4+1</f>
        <v>8.2018</v>
      </c>
      <c r="W102" s="778" t="str">
        <f ca="1">L43 &amp;  "." &amp; '1 Pers.Ausgaben|Pers Expenses'!$C$4+1</f>
        <v>9.2018</v>
      </c>
      <c r="X102" s="778" t="str">
        <f ca="1">M43 &amp;  "." &amp; '1 Pers.Ausgaben|Pers Expenses'!$C$4+1</f>
        <v>10.2018</v>
      </c>
      <c r="Y102" s="778" t="str">
        <f ca="1">N43 &amp;  "." &amp; '1 Pers.Ausgaben|Pers Expenses'!$C$4+1</f>
        <v>11.2018</v>
      </c>
      <c r="Z102" s="778" t="str">
        <f ca="1">O43 &amp;  "." &amp; '1 Pers.Ausgaben|Pers Expenses'!$C$4+1</f>
        <v>12.2018</v>
      </c>
      <c r="BD102" s="546"/>
      <c r="BE102" s="546"/>
      <c r="BF102" s="546"/>
      <c r="BG102" s="546"/>
      <c r="BH102" s="546"/>
      <c r="BI102" s="546"/>
      <c r="BJ102" s="546"/>
      <c r="BK102" s="546"/>
      <c r="BL102" s="546"/>
      <c r="BM102" s="546"/>
      <c r="BN102" s="546"/>
      <c r="BO102" s="546"/>
      <c r="BP102" s="546"/>
      <c r="BQ102" s="546"/>
      <c r="BR102" s="546"/>
      <c r="BS102" s="546"/>
      <c r="BT102" s="546"/>
      <c r="BU102" s="780"/>
      <c r="BV102" s="546"/>
      <c r="BW102" s="546"/>
      <c r="BX102" s="546"/>
      <c r="BY102" s="546"/>
      <c r="BZ102" s="462"/>
      <c r="CA102" s="462"/>
      <c r="CB102" s="462"/>
      <c r="CC102" s="462"/>
      <c r="CD102" s="462"/>
      <c r="CE102" s="462"/>
      <c r="CF102" s="462"/>
      <c r="CG102" s="462"/>
      <c r="CH102" s="462"/>
      <c r="CI102" s="462"/>
      <c r="CJ102" s="462"/>
      <c r="CK102" s="462"/>
      <c r="CL102" s="462"/>
      <c r="CM102" s="462"/>
      <c r="CN102" s="462"/>
      <c r="CO102" s="462"/>
      <c r="CP102" s="462"/>
      <c r="CQ102" s="462"/>
      <c r="CR102" s="462"/>
      <c r="CS102" s="462"/>
      <c r="CT102" s="903"/>
      <c r="CU102" s="903"/>
      <c r="CV102" s="903"/>
      <c r="CW102" s="1286"/>
      <c r="CX102" s="446"/>
      <c r="CY102" s="446"/>
      <c r="CZ102" s="446"/>
      <c r="DA102" s="462"/>
      <c r="DB102" s="462"/>
      <c r="DC102" s="462"/>
      <c r="DD102" s="462"/>
      <c r="DE102" s="462"/>
      <c r="DF102" s="462"/>
      <c r="DG102" s="462"/>
      <c r="DH102" s="462"/>
      <c r="DI102" s="462"/>
      <c r="DJ102" s="462"/>
      <c r="DK102" s="462"/>
      <c r="DL102" s="462"/>
      <c r="DM102" s="462"/>
      <c r="DN102" s="462"/>
      <c r="DO102" s="462"/>
      <c r="DP102" s="546"/>
      <c r="DQ102" s="546"/>
      <c r="DR102" s="546"/>
      <c r="DS102" s="546"/>
      <c r="DT102" s="546"/>
      <c r="DU102" s="546"/>
      <c r="DV102" s="546"/>
      <c r="DW102" s="546"/>
      <c r="DX102" s="546"/>
      <c r="DY102" s="546"/>
      <c r="DZ102" s="781"/>
      <c r="EA102" s="544"/>
      <c r="EB102" s="544"/>
    </row>
    <row r="103" spans="2:132" s="220" customFormat="1" x14ac:dyDescent="0.2">
      <c r="B103" s="782" t="str">
        <f>B37</f>
        <v>Zins Fremdkapital</v>
      </c>
      <c r="C103" s="782">
        <f t="shared" ref="C103:N103" si="6">D37</f>
        <v>0</v>
      </c>
      <c r="D103" s="782">
        <f t="shared" si="6"/>
        <v>0</v>
      </c>
      <c r="E103" s="782">
        <f t="shared" si="6"/>
        <v>0</v>
      </c>
      <c r="F103" s="782">
        <f t="shared" si="6"/>
        <v>0</v>
      </c>
      <c r="G103" s="782">
        <f t="shared" si="6"/>
        <v>0</v>
      </c>
      <c r="H103" s="782">
        <f t="shared" si="6"/>
        <v>0</v>
      </c>
      <c r="I103" s="782">
        <f t="shared" si="6"/>
        <v>0</v>
      </c>
      <c r="J103" s="782">
        <f t="shared" si="6"/>
        <v>0</v>
      </c>
      <c r="K103" s="782">
        <f t="shared" si="6"/>
        <v>0</v>
      </c>
      <c r="L103" s="782">
        <f t="shared" si="6"/>
        <v>0</v>
      </c>
      <c r="M103" s="782">
        <f t="shared" si="6"/>
        <v>0</v>
      </c>
      <c r="N103" s="782">
        <f t="shared" si="6"/>
        <v>0</v>
      </c>
      <c r="O103" s="778">
        <f t="shared" ref="O103:Z104" si="7">D45</f>
        <v>0</v>
      </c>
      <c r="P103" s="778">
        <f t="shared" si="7"/>
        <v>0</v>
      </c>
      <c r="Q103" s="778">
        <f t="shared" si="7"/>
        <v>0</v>
      </c>
      <c r="R103" s="778">
        <f t="shared" si="7"/>
        <v>0</v>
      </c>
      <c r="S103" s="778">
        <f t="shared" si="7"/>
        <v>0</v>
      </c>
      <c r="T103" s="778">
        <f t="shared" si="7"/>
        <v>0</v>
      </c>
      <c r="U103" s="778">
        <f t="shared" si="7"/>
        <v>0</v>
      </c>
      <c r="V103" s="778">
        <f t="shared" si="7"/>
        <v>0</v>
      </c>
      <c r="W103" s="778">
        <f t="shared" si="7"/>
        <v>0</v>
      </c>
      <c r="X103" s="778">
        <f t="shared" si="7"/>
        <v>0</v>
      </c>
      <c r="Y103" s="778">
        <f t="shared" si="7"/>
        <v>0</v>
      </c>
      <c r="Z103" s="778">
        <f t="shared" si="7"/>
        <v>0</v>
      </c>
      <c r="BD103" s="546"/>
      <c r="BE103" s="546"/>
      <c r="BF103" s="546"/>
      <c r="BG103" s="546"/>
      <c r="BH103" s="546"/>
      <c r="BI103" s="546"/>
      <c r="BJ103" s="546"/>
      <c r="BK103" s="546"/>
      <c r="BL103" s="546"/>
      <c r="BM103" s="546"/>
      <c r="BN103" s="546"/>
      <c r="BO103" s="546"/>
      <c r="BP103" s="546"/>
      <c r="BQ103" s="546"/>
      <c r="BR103" s="546"/>
      <c r="BS103" s="546"/>
      <c r="BT103" s="546"/>
      <c r="BU103" s="780"/>
      <c r="BV103" s="546"/>
      <c r="BW103" s="546"/>
      <c r="BX103" s="546"/>
      <c r="BY103" s="546"/>
      <c r="BZ103" s="462"/>
      <c r="CA103" s="462"/>
      <c r="CB103" s="462"/>
      <c r="CC103" s="462"/>
      <c r="CD103" s="462"/>
      <c r="CE103" s="462"/>
      <c r="CF103" s="462"/>
      <c r="CG103" s="462"/>
      <c r="CH103" s="462"/>
      <c r="CI103" s="462"/>
      <c r="CJ103" s="462"/>
      <c r="CK103" s="462"/>
      <c r="CL103" s="462"/>
      <c r="CM103" s="462"/>
      <c r="CN103" s="462"/>
      <c r="CO103" s="462"/>
      <c r="CP103" s="462"/>
      <c r="CQ103" s="462"/>
      <c r="CR103" s="462"/>
      <c r="CS103" s="462"/>
      <c r="CT103" s="903"/>
      <c r="CU103" s="903"/>
      <c r="CV103" s="903"/>
      <c r="CW103" s="1286"/>
      <c r="CX103" s="446"/>
      <c r="CY103" s="446"/>
      <c r="CZ103" s="446"/>
      <c r="DA103" s="462"/>
      <c r="DB103" s="462"/>
      <c r="DC103" s="462"/>
      <c r="DD103" s="462"/>
      <c r="DE103" s="462"/>
      <c r="DF103" s="462"/>
      <c r="DG103" s="462"/>
      <c r="DH103" s="462"/>
      <c r="DI103" s="462"/>
      <c r="DJ103" s="462"/>
      <c r="DK103" s="462"/>
      <c r="DL103" s="462"/>
      <c r="DM103" s="462"/>
      <c r="DN103" s="462"/>
      <c r="DO103" s="462"/>
      <c r="DP103" s="546"/>
      <c r="DQ103" s="546"/>
      <c r="DR103" s="546"/>
      <c r="DS103" s="546"/>
      <c r="DT103" s="546"/>
      <c r="DU103" s="546"/>
      <c r="DV103" s="546"/>
      <c r="DW103" s="546"/>
      <c r="DX103" s="546"/>
      <c r="DY103" s="546"/>
      <c r="DZ103" s="781"/>
      <c r="EA103" s="544"/>
      <c r="EB103" s="544"/>
    </row>
    <row r="104" spans="2:132" s="220" customFormat="1" x14ac:dyDescent="0.2">
      <c r="B104" s="782" t="str">
        <f>B38</f>
        <v>Tilgung Fremdkapital</v>
      </c>
      <c r="C104" s="782">
        <f t="shared" ref="C104:N104" si="8">D38</f>
        <v>0</v>
      </c>
      <c r="D104" s="782">
        <f t="shared" si="8"/>
        <v>0</v>
      </c>
      <c r="E104" s="782">
        <f t="shared" si="8"/>
        <v>0</v>
      </c>
      <c r="F104" s="782">
        <f t="shared" si="8"/>
        <v>0</v>
      </c>
      <c r="G104" s="782">
        <f t="shared" si="8"/>
        <v>0</v>
      </c>
      <c r="H104" s="782">
        <f t="shared" si="8"/>
        <v>0</v>
      </c>
      <c r="I104" s="782">
        <f t="shared" si="8"/>
        <v>0</v>
      </c>
      <c r="J104" s="782">
        <f t="shared" si="8"/>
        <v>0</v>
      </c>
      <c r="K104" s="782">
        <f t="shared" si="8"/>
        <v>0</v>
      </c>
      <c r="L104" s="782">
        <f t="shared" si="8"/>
        <v>0</v>
      </c>
      <c r="M104" s="782">
        <f t="shared" si="8"/>
        <v>0</v>
      </c>
      <c r="N104" s="782">
        <f t="shared" si="8"/>
        <v>0</v>
      </c>
      <c r="O104" s="778">
        <f t="shared" si="7"/>
        <v>0</v>
      </c>
      <c r="P104" s="778">
        <f t="shared" si="7"/>
        <v>0</v>
      </c>
      <c r="Q104" s="778">
        <f t="shared" si="7"/>
        <v>0</v>
      </c>
      <c r="R104" s="778">
        <f t="shared" si="7"/>
        <v>0</v>
      </c>
      <c r="S104" s="778">
        <f t="shared" si="7"/>
        <v>0</v>
      </c>
      <c r="T104" s="778">
        <f t="shared" si="7"/>
        <v>0</v>
      </c>
      <c r="U104" s="778">
        <f t="shared" si="7"/>
        <v>0</v>
      </c>
      <c r="V104" s="778">
        <f t="shared" si="7"/>
        <v>0</v>
      </c>
      <c r="W104" s="778">
        <f t="shared" si="7"/>
        <v>0</v>
      </c>
      <c r="X104" s="778">
        <f t="shared" si="7"/>
        <v>0</v>
      </c>
      <c r="Y104" s="778">
        <f t="shared" si="7"/>
        <v>0</v>
      </c>
      <c r="Z104" s="778">
        <f t="shared" si="7"/>
        <v>0</v>
      </c>
      <c r="BD104" s="546"/>
      <c r="BE104" s="546"/>
      <c r="BF104" s="546"/>
      <c r="BG104" s="546"/>
      <c r="BH104" s="546"/>
      <c r="BI104" s="546"/>
      <c r="BJ104" s="546"/>
      <c r="BK104" s="546"/>
      <c r="BL104" s="546"/>
      <c r="BM104" s="546"/>
      <c r="BN104" s="546"/>
      <c r="BO104" s="546"/>
      <c r="BP104" s="546"/>
      <c r="BQ104" s="546"/>
      <c r="BR104" s="546"/>
      <c r="BS104" s="546"/>
      <c r="BT104" s="546"/>
      <c r="BU104" s="780"/>
      <c r="BV104" s="546"/>
      <c r="BW104" s="546"/>
      <c r="BX104" s="546"/>
      <c r="BY104" s="546"/>
      <c r="BZ104" s="462"/>
      <c r="CA104" s="462"/>
      <c r="CB104" s="462"/>
      <c r="CC104" s="462"/>
      <c r="CD104" s="462"/>
      <c r="CE104" s="462"/>
      <c r="CF104" s="462"/>
      <c r="CG104" s="462"/>
      <c r="CH104" s="462"/>
      <c r="CI104" s="462"/>
      <c r="CJ104" s="462"/>
      <c r="CK104" s="462"/>
      <c r="CL104" s="462"/>
      <c r="CM104" s="462"/>
      <c r="CN104" s="462"/>
      <c r="CO104" s="462"/>
      <c r="CP104" s="462"/>
      <c r="CQ104" s="462"/>
      <c r="CR104" s="462"/>
      <c r="CS104" s="462"/>
      <c r="CT104" s="903"/>
      <c r="CU104" s="903"/>
      <c r="CV104" s="903"/>
      <c r="CW104" s="1286"/>
      <c r="CX104" s="462"/>
      <c r="CY104" s="462"/>
      <c r="CZ104" s="462"/>
      <c r="DA104" s="462"/>
      <c r="DB104" s="462"/>
      <c r="DC104" s="462"/>
      <c r="DD104" s="462"/>
      <c r="DE104" s="462"/>
      <c r="DF104" s="462"/>
      <c r="DG104" s="462"/>
      <c r="DH104" s="462"/>
      <c r="DI104" s="462"/>
      <c r="DJ104" s="462"/>
      <c r="DK104" s="462"/>
      <c r="DL104" s="462"/>
      <c r="DM104" s="462"/>
      <c r="DN104" s="462"/>
      <c r="DO104" s="462"/>
      <c r="DP104" s="546"/>
      <c r="DQ104" s="546"/>
      <c r="DR104" s="546"/>
      <c r="DS104" s="546"/>
      <c r="DT104" s="546"/>
      <c r="DU104" s="546"/>
      <c r="DV104" s="546"/>
      <c r="DW104" s="546"/>
      <c r="DX104" s="546"/>
      <c r="DY104" s="546"/>
      <c r="DZ104" s="781"/>
      <c r="EA104" s="544"/>
      <c r="EB104" s="544"/>
    </row>
    <row r="105" spans="2:132" s="220" customFormat="1" x14ac:dyDescent="0.2">
      <c r="B105" s="782"/>
      <c r="C105" s="782"/>
      <c r="E105" s="782">
        <f ca="1">'1 Pers.Ausgaben|Pers Expenses'!$C$4</f>
        <v>2017</v>
      </c>
      <c r="F105" s="782"/>
      <c r="G105" s="782">
        <f ca="1">E105+1</f>
        <v>2018</v>
      </c>
      <c r="H105" s="782"/>
      <c r="I105" s="782">
        <f ca="1">E105+2</f>
        <v>2019</v>
      </c>
      <c r="J105" s="782"/>
      <c r="K105" s="782">
        <f ca="1">E105+3</f>
        <v>2020</v>
      </c>
      <c r="L105" s="782"/>
      <c r="M105" s="782">
        <f ca="1">E105+4</f>
        <v>2021</v>
      </c>
      <c r="N105" s="782"/>
      <c r="O105" s="778"/>
      <c r="P105" s="778"/>
      <c r="Q105" s="778"/>
      <c r="R105" s="778"/>
      <c r="S105" s="778"/>
      <c r="T105" s="778"/>
      <c r="U105" s="778"/>
      <c r="V105" s="778"/>
      <c r="W105" s="778"/>
      <c r="X105" s="778"/>
      <c r="Y105" s="778"/>
      <c r="Z105" s="778"/>
      <c r="BD105" s="546"/>
      <c r="BE105" s="546"/>
      <c r="BF105" s="546"/>
      <c r="BG105" s="546"/>
      <c r="BH105" s="546"/>
      <c r="BI105" s="546"/>
      <c r="BJ105" s="546"/>
      <c r="BK105" s="546"/>
      <c r="BL105" s="546"/>
      <c r="BM105" s="546"/>
      <c r="BN105" s="546"/>
      <c r="BO105" s="546"/>
      <c r="BP105" s="546"/>
      <c r="BQ105" s="546"/>
      <c r="BR105" s="546"/>
      <c r="BS105" s="546"/>
      <c r="BT105" s="546"/>
      <c r="BU105" s="780"/>
      <c r="BV105" s="546"/>
      <c r="BW105" s="546"/>
      <c r="BX105" s="546"/>
      <c r="BY105" s="546"/>
      <c r="BZ105" s="462"/>
      <c r="CA105" s="462"/>
      <c r="CB105" s="462"/>
      <c r="CC105" s="462"/>
      <c r="CD105" s="462"/>
      <c r="CE105" s="462"/>
      <c r="CF105" s="462"/>
      <c r="CG105" s="462"/>
      <c r="CH105" s="462"/>
      <c r="CI105" s="462"/>
      <c r="CJ105" s="462"/>
      <c r="CK105" s="462"/>
      <c r="CL105" s="462"/>
      <c r="CM105" s="462"/>
      <c r="CN105" s="462"/>
      <c r="CO105" s="462"/>
      <c r="CP105" s="462"/>
      <c r="CQ105" s="462"/>
      <c r="CR105" s="462"/>
      <c r="CS105" s="462"/>
      <c r="CT105" s="903"/>
      <c r="CU105" s="903"/>
      <c r="CV105" s="903"/>
      <c r="CW105" s="1286"/>
      <c r="CX105" s="462"/>
      <c r="CY105" s="462"/>
      <c r="CZ105" s="462"/>
      <c r="DA105" s="462"/>
      <c r="DB105" s="462"/>
      <c r="DC105" s="462"/>
      <c r="DD105" s="462"/>
      <c r="DE105" s="462"/>
      <c r="DF105" s="462"/>
      <c r="DG105" s="462"/>
      <c r="DH105" s="462"/>
      <c r="DI105" s="462"/>
      <c r="DJ105" s="462"/>
      <c r="DK105" s="462"/>
      <c r="DL105" s="462"/>
      <c r="DM105" s="462"/>
      <c r="DN105" s="462"/>
      <c r="DO105" s="462"/>
      <c r="DP105" s="546"/>
      <c r="DQ105" s="546"/>
      <c r="DR105" s="546"/>
      <c r="DS105" s="546"/>
      <c r="DT105" s="546"/>
      <c r="DU105" s="546"/>
      <c r="DV105" s="546"/>
      <c r="DW105" s="546"/>
      <c r="DX105" s="546"/>
      <c r="DY105" s="546"/>
      <c r="DZ105" s="781"/>
      <c r="EA105" s="544"/>
      <c r="EB105" s="544"/>
    </row>
    <row r="106" spans="2:132" s="459" customFormat="1" ht="15.75" customHeight="1" x14ac:dyDescent="0.2">
      <c r="D106" s="546" t="str">
        <f>IF($C$2="English","borrowed capital","aufgenommenes Kapital")</f>
        <v>aufgenommenes Kapital</v>
      </c>
      <c r="E106" s="1083">
        <f>SUM(D143:D154)</f>
        <v>0</v>
      </c>
      <c r="F106" s="1084"/>
      <c r="G106" s="1083">
        <f>SUM(D155:D166)</f>
        <v>0</v>
      </c>
      <c r="H106" s="1084"/>
      <c r="I106" s="1083">
        <f>SUM(D167:D178)</f>
        <v>0</v>
      </c>
      <c r="J106" s="1084"/>
      <c r="K106" s="1083">
        <f>SUM(D179:D190)</f>
        <v>0</v>
      </c>
      <c r="L106" s="1084"/>
      <c r="M106" s="1083">
        <f>SUM(D191:D202)</f>
        <v>0</v>
      </c>
      <c r="N106" s="1085"/>
      <c r="O106" s="1086"/>
      <c r="P106" s="1086"/>
      <c r="Q106" s="779"/>
      <c r="R106" s="779"/>
      <c r="S106" s="1087"/>
      <c r="T106" s="1086"/>
      <c r="U106" s="1086"/>
      <c r="V106" s="1086"/>
      <c r="W106" s="1086"/>
      <c r="X106" s="1086"/>
      <c r="BH106" s="546"/>
      <c r="BI106" s="546"/>
      <c r="BJ106" s="546"/>
      <c r="BK106" s="546"/>
      <c r="BL106" s="546"/>
      <c r="BM106" s="546"/>
      <c r="BN106" s="546"/>
      <c r="BO106" s="546"/>
      <c r="BP106" s="546"/>
      <c r="BQ106" s="546"/>
      <c r="BR106" s="546"/>
      <c r="BS106" s="546"/>
      <c r="BT106" s="546"/>
      <c r="BU106" s="780"/>
      <c r="BV106" s="546"/>
      <c r="BW106" s="546"/>
      <c r="BX106" s="546"/>
      <c r="BY106" s="546"/>
      <c r="BZ106" s="462"/>
      <c r="CA106" s="462"/>
      <c r="CB106" s="462"/>
      <c r="CC106" s="462"/>
      <c r="CD106" s="462"/>
      <c r="CE106" s="462"/>
      <c r="CF106" s="462"/>
      <c r="CG106" s="462"/>
      <c r="CH106" s="462"/>
      <c r="CI106" s="462"/>
      <c r="CJ106" s="462"/>
      <c r="CK106" s="462"/>
      <c r="CL106" s="462"/>
      <c r="CM106" s="462"/>
      <c r="CN106" s="462"/>
      <c r="CO106" s="462"/>
      <c r="CP106" s="462"/>
      <c r="CQ106" s="462"/>
      <c r="CR106" s="462"/>
      <c r="CS106" s="462"/>
      <c r="CT106" s="903"/>
      <c r="CU106" s="903"/>
      <c r="CV106" s="903"/>
      <c r="CW106" s="1287"/>
      <c r="CX106" s="462"/>
      <c r="CY106" s="462"/>
      <c r="CZ106" s="462"/>
      <c r="DA106" s="462"/>
      <c r="DB106" s="462"/>
      <c r="DC106" s="462"/>
      <c r="DD106" s="462"/>
      <c r="DE106" s="462"/>
      <c r="DF106" s="462"/>
      <c r="DG106" s="462"/>
      <c r="DH106" s="462"/>
      <c r="DI106" s="462"/>
      <c r="DJ106" s="462"/>
      <c r="DK106" s="462"/>
      <c r="DL106" s="462"/>
      <c r="DM106" s="462"/>
      <c r="DN106" s="462"/>
      <c r="DO106" s="462"/>
      <c r="DP106" s="546"/>
      <c r="DQ106" s="546"/>
      <c r="DR106" s="546"/>
      <c r="DS106" s="546"/>
      <c r="DT106" s="546"/>
      <c r="DU106" s="546"/>
      <c r="DV106" s="546"/>
      <c r="DW106" s="546"/>
      <c r="DX106" s="546"/>
      <c r="DY106" s="546"/>
      <c r="EA106" s="546"/>
      <c r="EB106" s="546"/>
    </row>
    <row r="107" spans="2:132" s="459" customFormat="1" ht="15.75" customHeight="1" x14ac:dyDescent="0.2">
      <c r="D107" s="546" t="str">
        <f>IF($C$2="English","Interest","Zins")</f>
        <v>Zins</v>
      </c>
      <c r="E107" s="1084"/>
      <c r="F107" s="1083">
        <f>SUM(F143:F154)</f>
        <v>0</v>
      </c>
      <c r="G107" s="1084"/>
      <c r="H107" s="1083">
        <f>SUM(F155:F166)</f>
        <v>0</v>
      </c>
      <c r="I107" s="1084"/>
      <c r="J107" s="1083">
        <f>SUM(F167:F178)</f>
        <v>0</v>
      </c>
      <c r="K107" s="1084"/>
      <c r="L107" s="1083">
        <f>SUM(F179:F190)</f>
        <v>0</v>
      </c>
      <c r="M107" s="1084"/>
      <c r="N107" s="1083">
        <f>SUM(F191:F202)</f>
        <v>0</v>
      </c>
      <c r="O107" s="1086"/>
      <c r="P107" s="1086"/>
      <c r="Q107" s="779"/>
      <c r="R107" s="779"/>
      <c r="S107" s="1087"/>
      <c r="T107" s="1086"/>
      <c r="U107" s="1086"/>
      <c r="V107" s="1086"/>
      <c r="W107" s="1086"/>
      <c r="X107" s="1086"/>
      <c r="BH107" s="546"/>
      <c r="BI107" s="546"/>
      <c r="BJ107" s="546"/>
      <c r="BK107" s="546"/>
      <c r="BL107" s="546"/>
      <c r="BM107" s="546"/>
      <c r="BN107" s="546"/>
      <c r="BO107" s="546"/>
      <c r="BP107" s="546"/>
      <c r="BQ107" s="546"/>
      <c r="BR107" s="546"/>
      <c r="BS107" s="546"/>
      <c r="BT107" s="546"/>
      <c r="BU107" s="780"/>
      <c r="BV107" s="546"/>
      <c r="BW107" s="546"/>
      <c r="BX107" s="546"/>
      <c r="BY107" s="546"/>
      <c r="BZ107" s="462"/>
      <c r="CA107" s="462"/>
      <c r="CB107" s="462"/>
      <c r="CC107" s="462"/>
      <c r="CD107" s="462"/>
      <c r="CE107" s="462"/>
      <c r="CF107" s="462"/>
      <c r="CG107" s="462"/>
      <c r="CH107" s="462"/>
      <c r="CI107" s="462"/>
      <c r="CJ107" s="462"/>
      <c r="CK107" s="462"/>
      <c r="CL107" s="462"/>
      <c r="CM107" s="462"/>
      <c r="CN107" s="462"/>
      <c r="CO107" s="462"/>
      <c r="CP107" s="462"/>
      <c r="CQ107" s="462"/>
      <c r="CR107" s="462"/>
      <c r="CS107" s="462"/>
      <c r="CT107" s="903"/>
      <c r="CU107" s="903"/>
      <c r="CV107" s="903"/>
      <c r="CW107" s="1287"/>
      <c r="CX107" s="462"/>
      <c r="CY107" s="462"/>
      <c r="CZ107" s="462"/>
      <c r="DA107" s="462"/>
      <c r="DB107" s="462"/>
      <c r="DC107" s="462"/>
      <c r="DD107" s="462"/>
      <c r="DE107" s="462"/>
      <c r="DF107" s="462"/>
      <c r="DG107" s="462"/>
      <c r="DH107" s="462"/>
      <c r="DI107" s="462"/>
      <c r="DJ107" s="462"/>
      <c r="DK107" s="462"/>
      <c r="DL107" s="462"/>
      <c r="DM107" s="462"/>
      <c r="DN107" s="462"/>
      <c r="DO107" s="462"/>
      <c r="DP107" s="546"/>
      <c r="DQ107" s="546"/>
      <c r="DR107" s="546"/>
      <c r="DS107" s="546"/>
      <c r="DT107" s="546"/>
      <c r="DU107" s="546"/>
      <c r="DV107" s="546"/>
      <c r="DW107" s="546"/>
      <c r="DX107" s="546"/>
      <c r="DY107" s="546"/>
      <c r="EA107" s="546"/>
      <c r="EB107" s="546"/>
    </row>
    <row r="108" spans="2:132" s="459" customFormat="1" x14ac:dyDescent="0.2">
      <c r="D108" s="546" t="str">
        <f>IF($C$2="English","Paying back","Tilgung")</f>
        <v>Tilgung</v>
      </c>
      <c r="E108" s="1084"/>
      <c r="F108" s="1083">
        <f>SUM(E143:E154)</f>
        <v>0</v>
      </c>
      <c r="G108" s="1084"/>
      <c r="H108" s="1083">
        <f>SUM(E155:E166)</f>
        <v>0</v>
      </c>
      <c r="I108" s="1084"/>
      <c r="J108" s="1083">
        <f>SUM(E167:E178)</f>
        <v>0</v>
      </c>
      <c r="K108" s="1084"/>
      <c r="L108" s="1083">
        <f>SUM(E179:E190)</f>
        <v>0</v>
      </c>
      <c r="M108" s="1084"/>
      <c r="N108" s="1083">
        <f>SUM(E191:E202)</f>
        <v>0</v>
      </c>
      <c r="O108" s="1086"/>
      <c r="P108" s="1086"/>
      <c r="Q108" s="779"/>
      <c r="R108" s="779"/>
      <c r="S108" s="1087"/>
      <c r="T108" s="1086"/>
      <c r="U108" s="1086"/>
      <c r="V108" s="1086"/>
      <c r="W108" s="1086"/>
      <c r="X108" s="1086"/>
      <c r="AD108" s="780"/>
      <c r="AE108" s="546"/>
      <c r="AF108" s="546"/>
      <c r="AG108" s="546"/>
      <c r="AH108" s="546"/>
      <c r="AI108" s="546"/>
      <c r="AJ108" s="546"/>
      <c r="AK108" s="546"/>
      <c r="AL108" s="546"/>
      <c r="AM108" s="546"/>
      <c r="AN108" s="546"/>
      <c r="AO108" s="546"/>
      <c r="AP108" s="546"/>
      <c r="AQ108" s="546"/>
      <c r="AR108" s="546"/>
      <c r="AS108" s="546"/>
      <c r="AT108" s="546"/>
      <c r="AU108" s="546"/>
      <c r="AV108" s="546"/>
      <c r="AW108" s="546"/>
      <c r="AX108" s="546"/>
      <c r="AY108" s="546"/>
      <c r="AZ108" s="546"/>
      <c r="BA108" s="546"/>
      <c r="BB108" s="546"/>
      <c r="BC108" s="546"/>
      <c r="BD108" s="546"/>
      <c r="BE108" s="546"/>
      <c r="BF108" s="546"/>
      <c r="BG108" s="546"/>
      <c r="BH108" s="546"/>
      <c r="BI108" s="546"/>
      <c r="BJ108" s="546"/>
      <c r="BK108" s="546"/>
      <c r="BL108" s="546"/>
      <c r="BM108" s="546"/>
      <c r="BN108" s="546"/>
      <c r="BO108" s="546"/>
      <c r="BP108" s="546"/>
      <c r="BQ108" s="546"/>
      <c r="BR108" s="546"/>
      <c r="BS108" s="546"/>
      <c r="BT108" s="546"/>
      <c r="BU108" s="780"/>
      <c r="BV108" s="546"/>
      <c r="BW108" s="546"/>
      <c r="BX108" s="546"/>
      <c r="BY108" s="546"/>
      <c r="BZ108" s="462"/>
      <c r="CA108" s="462"/>
      <c r="CB108" s="462"/>
      <c r="CC108" s="462"/>
      <c r="CD108" s="462"/>
      <c r="CE108" s="462"/>
      <c r="CF108" s="462"/>
      <c r="CG108" s="462"/>
      <c r="CH108" s="462"/>
      <c r="CI108" s="462"/>
      <c r="CJ108" s="462"/>
      <c r="CK108" s="462"/>
      <c r="CL108" s="462"/>
      <c r="CM108" s="462"/>
      <c r="CN108" s="462"/>
      <c r="CO108" s="462"/>
      <c r="CP108" s="462"/>
      <c r="CQ108" s="462"/>
      <c r="CR108" s="462"/>
      <c r="CS108" s="462"/>
      <c r="CT108" s="903"/>
      <c r="CU108" s="903"/>
      <c r="CV108" s="903"/>
      <c r="CW108" s="1287"/>
      <c r="CX108" s="462"/>
      <c r="CY108" s="462"/>
      <c r="CZ108" s="462"/>
      <c r="DA108" s="462"/>
      <c r="DB108" s="462"/>
      <c r="DC108" s="462"/>
      <c r="DD108" s="462"/>
      <c r="DE108" s="462"/>
      <c r="DF108" s="462"/>
      <c r="DG108" s="462"/>
      <c r="DH108" s="462"/>
      <c r="DI108" s="462"/>
      <c r="DJ108" s="462"/>
      <c r="DK108" s="462"/>
      <c r="DL108" s="462"/>
      <c r="DM108" s="462"/>
      <c r="DN108" s="462"/>
      <c r="DO108" s="462"/>
      <c r="DP108" s="546"/>
      <c r="DQ108" s="546"/>
      <c r="DR108" s="546"/>
      <c r="DS108" s="546"/>
      <c r="DT108" s="546"/>
      <c r="DU108" s="546"/>
      <c r="DV108" s="546"/>
      <c r="DW108" s="546"/>
      <c r="DX108" s="546"/>
      <c r="DY108" s="546"/>
      <c r="EA108" s="546"/>
      <c r="EB108" s="546"/>
    </row>
    <row r="109" spans="2:132" s="459" customFormat="1" x14ac:dyDescent="0.2">
      <c r="D109" s="1086"/>
      <c r="E109" s="1086"/>
      <c r="F109" s="1086"/>
      <c r="G109" s="1086"/>
      <c r="H109" s="1086"/>
      <c r="I109" s="1086"/>
      <c r="J109" s="1086"/>
      <c r="K109" s="1086"/>
      <c r="L109" s="1086"/>
      <c r="M109" s="1086"/>
      <c r="N109" s="1088"/>
      <c r="O109" s="1086"/>
      <c r="P109" s="1086"/>
      <c r="Q109" s="779"/>
      <c r="R109" s="779"/>
      <c r="S109" s="1087"/>
      <c r="T109" s="1086"/>
      <c r="U109" s="1086"/>
      <c r="V109" s="1086"/>
      <c r="W109" s="1086"/>
      <c r="X109" s="1086"/>
      <c r="AD109" s="780"/>
      <c r="AE109" s="546"/>
      <c r="AF109" s="546"/>
      <c r="AG109" s="546"/>
      <c r="AH109" s="546"/>
      <c r="AI109" s="546"/>
      <c r="AJ109" s="546"/>
      <c r="AK109" s="546"/>
      <c r="AL109" s="546"/>
      <c r="AM109" s="546"/>
      <c r="AN109" s="546"/>
      <c r="AO109" s="546"/>
      <c r="AP109" s="546"/>
      <c r="AQ109" s="546"/>
      <c r="AR109" s="546"/>
      <c r="AS109" s="546"/>
      <c r="AT109" s="546"/>
      <c r="AU109" s="546"/>
      <c r="AV109" s="546"/>
      <c r="AW109" s="546"/>
      <c r="AX109" s="546"/>
      <c r="AY109" s="546"/>
      <c r="AZ109" s="546"/>
      <c r="BA109" s="546"/>
      <c r="BB109" s="546"/>
      <c r="BC109" s="546"/>
      <c r="BD109" s="546"/>
      <c r="BE109" s="546"/>
      <c r="BF109" s="546"/>
      <c r="BG109" s="546"/>
      <c r="BH109" s="546"/>
      <c r="BI109" s="546"/>
      <c r="BJ109" s="546"/>
      <c r="BK109" s="546"/>
      <c r="BL109" s="546"/>
      <c r="BM109" s="546"/>
      <c r="BN109" s="546"/>
      <c r="BO109" s="546"/>
      <c r="BP109" s="546"/>
      <c r="BQ109" s="546"/>
      <c r="BR109" s="546"/>
      <c r="BS109" s="546"/>
      <c r="BT109" s="546"/>
      <c r="BU109" s="780"/>
      <c r="BV109" s="546"/>
      <c r="BW109" s="546"/>
      <c r="BX109" s="546"/>
      <c r="BY109" s="546"/>
      <c r="BZ109" s="462"/>
      <c r="CA109" s="462"/>
      <c r="CB109" s="462"/>
      <c r="CC109" s="462"/>
      <c r="CD109" s="462"/>
      <c r="CE109" s="462"/>
      <c r="CF109" s="462"/>
      <c r="CG109" s="462"/>
      <c r="CH109" s="462"/>
      <c r="CI109" s="462"/>
      <c r="CJ109" s="462"/>
      <c r="CK109" s="462"/>
      <c r="CL109" s="462"/>
      <c r="CM109" s="462"/>
      <c r="CN109" s="462"/>
      <c r="CO109" s="462"/>
      <c r="CP109" s="462"/>
      <c r="CQ109" s="462"/>
      <c r="CR109" s="462"/>
      <c r="CS109" s="462"/>
      <c r="CT109" s="903"/>
      <c r="CU109" s="903"/>
      <c r="CV109" s="903"/>
      <c r="CW109" s="1287"/>
      <c r="CX109" s="462"/>
      <c r="CY109" s="462"/>
      <c r="CZ109" s="462"/>
      <c r="DA109" s="462"/>
      <c r="DB109" s="462"/>
      <c r="DC109" s="462"/>
      <c r="DD109" s="462"/>
      <c r="DE109" s="462"/>
      <c r="DF109" s="462"/>
      <c r="DG109" s="462"/>
      <c r="DH109" s="462"/>
      <c r="DI109" s="462"/>
      <c r="DJ109" s="462"/>
      <c r="DK109" s="462"/>
      <c r="DL109" s="462"/>
      <c r="DM109" s="462"/>
      <c r="DN109" s="462"/>
      <c r="DO109" s="462"/>
      <c r="DP109" s="546"/>
      <c r="DQ109" s="546"/>
      <c r="DR109" s="546"/>
      <c r="DS109" s="546"/>
      <c r="DT109" s="546"/>
      <c r="DU109" s="546"/>
      <c r="DV109" s="546"/>
      <c r="DW109" s="546"/>
      <c r="DX109" s="546"/>
      <c r="DY109" s="546"/>
      <c r="EA109" s="546"/>
      <c r="EB109" s="546"/>
    </row>
    <row r="110" spans="2:132" s="459" customFormat="1" x14ac:dyDescent="0.2">
      <c r="D110" s="546"/>
      <c r="E110" s="1089" t="s">
        <v>216</v>
      </c>
      <c r="F110" s="1089">
        <f ca="1">'1 Pers.Ausgaben|Pers Expenses'!$C$4</f>
        <v>2017</v>
      </c>
      <c r="G110" s="1089" t="s">
        <v>217</v>
      </c>
      <c r="H110" s="1089">
        <f ca="1">'1 Pers.Ausgaben|Pers Expenses'!$C$4</f>
        <v>2017</v>
      </c>
      <c r="I110" s="1089" t="s">
        <v>218</v>
      </c>
      <c r="J110" s="1089">
        <f ca="1">'1 Pers.Ausgaben|Pers Expenses'!$C$4</f>
        <v>2017</v>
      </c>
      <c r="K110" s="1089" t="s">
        <v>219</v>
      </c>
      <c r="L110" s="1089">
        <f ca="1">'1 Pers.Ausgaben|Pers Expenses'!$C$4</f>
        <v>2017</v>
      </c>
      <c r="M110" s="1089" t="s">
        <v>220</v>
      </c>
      <c r="N110" s="1089">
        <f ca="1">'1 Pers.Ausgaben|Pers Expenses'!$C$4</f>
        <v>2017</v>
      </c>
      <c r="O110" s="1089" t="s">
        <v>221</v>
      </c>
      <c r="P110" s="1089">
        <f ca="1">'1 Pers.Ausgaben|Pers Expenses'!$C$4</f>
        <v>2017</v>
      </c>
      <c r="Q110" s="1089" t="s">
        <v>222</v>
      </c>
      <c r="R110" s="1089"/>
      <c r="S110" s="1090">
        <f ca="1">'1 Pers.Ausgaben|Pers Expenses'!$C$4</f>
        <v>2017</v>
      </c>
      <c r="T110" s="1089" t="s">
        <v>223</v>
      </c>
      <c r="U110" s="1089">
        <f ca="1">'1 Pers.Ausgaben|Pers Expenses'!$C$4</f>
        <v>2017</v>
      </c>
      <c r="V110" s="1089" t="s">
        <v>224</v>
      </c>
      <c r="W110" s="1089">
        <f ca="1">'1 Pers.Ausgaben|Pers Expenses'!$C$4</f>
        <v>2017</v>
      </c>
      <c r="X110" s="1089" t="s">
        <v>225</v>
      </c>
      <c r="Y110" s="1089">
        <f ca="1">'1 Pers.Ausgaben|Pers Expenses'!$C$4</f>
        <v>2017</v>
      </c>
      <c r="Z110" s="1089" t="s">
        <v>226</v>
      </c>
      <c r="AA110" s="1089">
        <f ca="1">'1 Pers.Ausgaben|Pers Expenses'!$C$4</f>
        <v>2017</v>
      </c>
      <c r="AB110" s="1089" t="s">
        <v>227</v>
      </c>
      <c r="AC110" s="1089">
        <f ca="1">'1 Pers.Ausgaben|Pers Expenses'!$C$4</f>
        <v>2017</v>
      </c>
      <c r="AD110" s="1089" t="s">
        <v>216</v>
      </c>
      <c r="AE110" s="1089">
        <f ca="1">'1 Pers.Ausgaben|Pers Expenses'!C2+1</f>
        <v>2018</v>
      </c>
      <c r="AF110" s="1089" t="s">
        <v>217</v>
      </c>
      <c r="AG110" s="1089">
        <f ca="1">AE110</f>
        <v>2018</v>
      </c>
      <c r="AH110" s="1089" t="s">
        <v>218</v>
      </c>
      <c r="AI110" s="1089">
        <f ca="1">AG110</f>
        <v>2018</v>
      </c>
      <c r="AJ110" s="1089" t="s">
        <v>219</v>
      </c>
      <c r="AK110" s="1089">
        <f ca="1">AI110</f>
        <v>2018</v>
      </c>
      <c r="AL110" s="1089" t="s">
        <v>220</v>
      </c>
      <c r="AM110" s="1089">
        <f ca="1">AK110</f>
        <v>2018</v>
      </c>
      <c r="AN110" s="1089" t="s">
        <v>221</v>
      </c>
      <c r="AO110" s="1089">
        <f ca="1">AM110</f>
        <v>2018</v>
      </c>
      <c r="AP110" s="1089" t="s">
        <v>222</v>
      </c>
      <c r="AQ110" s="1089">
        <f ca="1">AO110</f>
        <v>2018</v>
      </c>
      <c r="AR110" s="1089" t="s">
        <v>223</v>
      </c>
      <c r="AS110" s="1089">
        <f ca="1">AQ110</f>
        <v>2018</v>
      </c>
      <c r="AT110" s="1089" t="s">
        <v>224</v>
      </c>
      <c r="AU110" s="1089">
        <f ca="1">AS110</f>
        <v>2018</v>
      </c>
      <c r="AV110" s="1089" t="s">
        <v>225</v>
      </c>
      <c r="AW110" s="1089">
        <f ca="1">AU110</f>
        <v>2018</v>
      </c>
      <c r="AX110" s="1089" t="s">
        <v>226</v>
      </c>
      <c r="AY110" s="1089">
        <f ca="1">AW110</f>
        <v>2018</v>
      </c>
      <c r="AZ110" s="1089" t="s">
        <v>227</v>
      </c>
      <c r="BA110" s="1089">
        <f ca="1">AY110</f>
        <v>2018</v>
      </c>
      <c r="BB110" s="546"/>
      <c r="BC110" s="546"/>
      <c r="BD110" s="546"/>
      <c r="BE110" s="546"/>
      <c r="BF110" s="546"/>
      <c r="BG110" s="546"/>
      <c r="BH110" s="546"/>
      <c r="BI110" s="546"/>
      <c r="BJ110" s="546"/>
      <c r="BK110" s="546"/>
      <c r="BL110" s="546"/>
      <c r="BM110" s="546"/>
      <c r="BN110" s="546"/>
      <c r="BO110" s="546"/>
      <c r="BP110" s="546"/>
      <c r="BQ110" s="546"/>
      <c r="BR110" s="546"/>
      <c r="BS110" s="546"/>
      <c r="BT110" s="546"/>
      <c r="BU110" s="780"/>
      <c r="BV110" s="546"/>
      <c r="BW110" s="546"/>
      <c r="BX110" s="546"/>
      <c r="BY110" s="546"/>
      <c r="BZ110" s="462"/>
      <c r="CA110" s="462"/>
      <c r="CB110" s="462"/>
      <c r="CC110" s="462"/>
      <c r="CD110" s="462"/>
      <c r="CE110" s="462"/>
      <c r="CF110" s="462"/>
      <c r="CG110" s="462"/>
      <c r="CH110" s="462"/>
      <c r="CI110" s="462"/>
      <c r="CJ110" s="462"/>
      <c r="CK110" s="462"/>
      <c r="CL110" s="462"/>
      <c r="CM110" s="462"/>
      <c r="CN110" s="462"/>
      <c r="CO110" s="462"/>
      <c r="CP110" s="462"/>
      <c r="CQ110" s="462"/>
      <c r="CR110" s="462"/>
      <c r="CS110" s="462"/>
      <c r="CT110" s="462"/>
      <c r="CU110" s="462"/>
      <c r="CV110" s="462"/>
      <c r="CW110" s="549"/>
      <c r="CX110" s="462"/>
      <c r="CY110" s="462"/>
      <c r="CZ110" s="462"/>
      <c r="DA110" s="462"/>
      <c r="DB110" s="462"/>
      <c r="DC110" s="462"/>
      <c r="DD110" s="462"/>
      <c r="DE110" s="462"/>
      <c r="DF110" s="462"/>
      <c r="DG110" s="462"/>
      <c r="DH110" s="462"/>
      <c r="DI110" s="462"/>
      <c r="DJ110" s="462"/>
      <c r="DK110" s="462"/>
      <c r="DL110" s="462"/>
      <c r="DM110" s="462"/>
      <c r="DN110" s="462"/>
      <c r="DO110" s="462"/>
      <c r="DP110" s="546"/>
      <c r="DQ110" s="546"/>
      <c r="DR110" s="546"/>
      <c r="DS110" s="546"/>
      <c r="DT110" s="546"/>
      <c r="DU110" s="546"/>
      <c r="DV110" s="546"/>
      <c r="DW110" s="546"/>
      <c r="DX110" s="546"/>
      <c r="DY110" s="546"/>
      <c r="EA110" s="546"/>
      <c r="EB110" s="546"/>
    </row>
    <row r="111" spans="2:132" s="459" customFormat="1" x14ac:dyDescent="0.2">
      <c r="D111" s="546"/>
      <c r="E111" s="1089"/>
      <c r="F111" s="1089"/>
      <c r="G111" s="1089"/>
      <c r="H111" s="1089"/>
      <c r="I111" s="1089"/>
      <c r="J111" s="1089"/>
      <c r="K111" s="1089"/>
      <c r="L111" s="1089"/>
      <c r="M111" s="1089"/>
      <c r="N111" s="1089"/>
      <c r="O111" s="1089"/>
      <c r="P111" s="1089"/>
      <c r="Q111" s="1089"/>
      <c r="R111" s="1089"/>
      <c r="S111" s="1090"/>
      <c r="T111" s="1089"/>
      <c r="U111" s="1089"/>
      <c r="V111" s="1089"/>
      <c r="W111" s="1089"/>
      <c r="X111" s="1089"/>
      <c r="Y111" s="1089"/>
      <c r="Z111" s="1089"/>
      <c r="AA111" s="1089"/>
      <c r="AB111" s="1089"/>
      <c r="AC111" s="1089"/>
      <c r="AD111" s="1089"/>
      <c r="AE111" s="1089"/>
      <c r="AF111" s="1089"/>
      <c r="AG111" s="1089"/>
      <c r="AH111" s="1089"/>
      <c r="AI111" s="1089"/>
      <c r="AJ111" s="1089"/>
      <c r="AK111" s="1089"/>
      <c r="AL111" s="1089"/>
      <c r="AM111" s="1089"/>
      <c r="AN111" s="1089"/>
      <c r="AO111" s="1089"/>
      <c r="AP111" s="1089"/>
      <c r="AQ111" s="1089"/>
      <c r="AR111" s="1089"/>
      <c r="AS111" s="1089"/>
      <c r="AT111" s="1089"/>
      <c r="AU111" s="1089"/>
      <c r="AV111" s="1089"/>
      <c r="AW111" s="1089"/>
      <c r="AX111" s="1089"/>
      <c r="AY111" s="1089"/>
      <c r="AZ111" s="1089"/>
      <c r="BA111" s="1089"/>
      <c r="BB111" s="546"/>
      <c r="BC111" s="546"/>
      <c r="BD111" s="546"/>
      <c r="BE111" s="546"/>
      <c r="BF111" s="546"/>
      <c r="BG111" s="546"/>
      <c r="BH111" s="546"/>
      <c r="BI111" s="546"/>
      <c r="BJ111" s="546"/>
      <c r="BK111" s="546"/>
      <c r="BL111" s="546"/>
      <c r="BM111" s="546"/>
      <c r="BN111" s="546"/>
      <c r="BO111" s="546"/>
      <c r="BP111" s="546"/>
      <c r="BQ111" s="546"/>
      <c r="BR111" s="546"/>
      <c r="BS111" s="546"/>
      <c r="BT111" s="546"/>
      <c r="BU111" s="780"/>
      <c r="BV111" s="546"/>
      <c r="BW111" s="546"/>
      <c r="BX111" s="546"/>
      <c r="BY111" s="546"/>
      <c r="BZ111" s="462"/>
      <c r="CA111" s="462"/>
      <c r="CB111" s="462"/>
      <c r="CC111" s="462"/>
      <c r="CD111" s="462"/>
      <c r="CE111" s="462"/>
      <c r="CF111" s="462"/>
      <c r="CG111" s="462"/>
      <c r="CH111" s="462"/>
      <c r="CI111" s="462"/>
      <c r="CJ111" s="462"/>
      <c r="CK111" s="462"/>
      <c r="CL111" s="462"/>
      <c r="CM111" s="462"/>
      <c r="CN111" s="462"/>
      <c r="CO111" s="462"/>
      <c r="CP111" s="462"/>
      <c r="CQ111" s="462"/>
      <c r="CR111" s="462"/>
      <c r="CS111" s="462"/>
      <c r="CT111" s="462"/>
      <c r="CU111" s="462"/>
      <c r="CV111" s="462"/>
      <c r="CW111" s="549"/>
      <c r="CX111" s="462"/>
      <c r="CY111" s="462"/>
      <c r="CZ111" s="462"/>
      <c r="DA111" s="462"/>
      <c r="DB111" s="462"/>
      <c r="DC111" s="462"/>
      <c r="DD111" s="462"/>
      <c r="DE111" s="462"/>
      <c r="DF111" s="462"/>
      <c r="DG111" s="462"/>
      <c r="DH111" s="462"/>
      <c r="DI111" s="462"/>
      <c r="DJ111" s="462"/>
      <c r="DK111" s="462"/>
      <c r="DL111" s="462"/>
      <c r="DM111" s="462"/>
      <c r="DN111" s="462"/>
      <c r="DO111" s="462"/>
      <c r="DP111" s="546"/>
      <c r="DQ111" s="546"/>
      <c r="DR111" s="546"/>
      <c r="DS111" s="546"/>
      <c r="DT111" s="546"/>
      <c r="DU111" s="546"/>
      <c r="DV111" s="546"/>
      <c r="DW111" s="546"/>
      <c r="DX111" s="546"/>
      <c r="DY111" s="546"/>
      <c r="EA111" s="546"/>
      <c r="EB111" s="546"/>
    </row>
    <row r="112" spans="2:132" s="459" customFormat="1" x14ac:dyDescent="0.2">
      <c r="D112" s="546" t="str">
        <f>D107</f>
        <v>Zins</v>
      </c>
      <c r="E112" s="1091">
        <f>F143</f>
        <v>0</v>
      </c>
      <c r="F112" s="546"/>
      <c r="G112" s="1091">
        <f>F144</f>
        <v>0</v>
      </c>
      <c r="H112" s="546"/>
      <c r="I112" s="1091">
        <f>F145</f>
        <v>0</v>
      </c>
      <c r="J112" s="546"/>
      <c r="K112" s="1091">
        <f>F146</f>
        <v>0</v>
      </c>
      <c r="L112" s="546"/>
      <c r="M112" s="1091">
        <f>F147</f>
        <v>0</v>
      </c>
      <c r="N112" s="546"/>
      <c r="O112" s="1091">
        <f>F148</f>
        <v>0</v>
      </c>
      <c r="P112" s="546"/>
      <c r="Q112" s="1091">
        <f>F149</f>
        <v>0</v>
      </c>
      <c r="R112" s="1091"/>
      <c r="S112" s="1092"/>
      <c r="T112" s="1091">
        <f>F150</f>
        <v>0</v>
      </c>
      <c r="U112" s="1091"/>
      <c r="V112" s="1091">
        <f>F151</f>
        <v>0</v>
      </c>
      <c r="W112" s="546"/>
      <c r="X112" s="1091">
        <f>F152</f>
        <v>0</v>
      </c>
      <c r="Y112" s="546"/>
      <c r="Z112" s="1091">
        <f>F153</f>
        <v>0</v>
      </c>
      <c r="AA112" s="546"/>
      <c r="AB112" s="1091">
        <f>F154</f>
        <v>0</v>
      </c>
      <c r="AC112" s="546"/>
      <c r="AD112" s="1091">
        <f>F155</f>
        <v>0</v>
      </c>
      <c r="AE112" s="546"/>
      <c r="AF112" s="1091">
        <f>F156</f>
        <v>0</v>
      </c>
      <c r="AG112" s="546"/>
      <c r="AH112" s="1091">
        <f>F157</f>
        <v>0</v>
      </c>
      <c r="AI112" s="546"/>
      <c r="AJ112" s="1091">
        <f>F158</f>
        <v>0</v>
      </c>
      <c r="AK112" s="546"/>
      <c r="AL112" s="1091">
        <f>F159</f>
        <v>0</v>
      </c>
      <c r="AM112" s="546"/>
      <c r="AN112" s="1091">
        <f>F160</f>
        <v>0</v>
      </c>
      <c r="AO112" s="546"/>
      <c r="AP112" s="1091">
        <f>F161</f>
        <v>0</v>
      </c>
      <c r="AQ112" s="546"/>
      <c r="AR112" s="1091">
        <f>F162</f>
        <v>0</v>
      </c>
      <c r="AS112" s="546"/>
      <c r="AT112" s="1091">
        <f>F163</f>
        <v>0</v>
      </c>
      <c r="AU112" s="546"/>
      <c r="AV112" s="1091">
        <f>F164</f>
        <v>0</v>
      </c>
      <c r="AW112" s="546"/>
      <c r="AX112" s="1091">
        <f>F165</f>
        <v>0</v>
      </c>
      <c r="AY112" s="546"/>
      <c r="AZ112" s="1091">
        <f>F166</f>
        <v>0</v>
      </c>
      <c r="BA112" s="546"/>
      <c r="BB112" s="546"/>
      <c r="BC112" s="546"/>
      <c r="BD112" s="546"/>
      <c r="BE112" s="546"/>
      <c r="BF112" s="546"/>
      <c r="BG112" s="546"/>
      <c r="BH112" s="546"/>
      <c r="BI112" s="546"/>
      <c r="BJ112" s="546"/>
      <c r="BK112" s="546"/>
      <c r="BL112" s="546"/>
      <c r="BM112" s="546"/>
      <c r="BN112" s="546"/>
      <c r="BO112" s="546"/>
      <c r="BP112" s="546"/>
      <c r="BQ112" s="546"/>
      <c r="BR112" s="546"/>
      <c r="BS112" s="546"/>
      <c r="BT112" s="546"/>
      <c r="BU112" s="780"/>
      <c r="BV112" s="546"/>
      <c r="BW112" s="546"/>
      <c r="BX112" s="546"/>
      <c r="BY112" s="546"/>
      <c r="BZ112" s="462"/>
      <c r="CA112" s="462"/>
      <c r="CB112" s="462"/>
      <c r="CC112" s="462"/>
      <c r="CD112" s="462"/>
      <c r="CE112" s="462"/>
      <c r="CF112" s="462"/>
      <c r="CG112" s="462"/>
      <c r="CH112" s="462"/>
      <c r="CI112" s="462"/>
      <c r="CJ112" s="462"/>
      <c r="CK112" s="462"/>
      <c r="CL112" s="462"/>
      <c r="CM112" s="462"/>
      <c r="CN112" s="462"/>
      <c r="CO112" s="462"/>
      <c r="CP112" s="462"/>
      <c r="CQ112" s="462"/>
      <c r="CR112" s="462"/>
      <c r="CS112" s="462"/>
      <c r="CT112" s="462"/>
      <c r="CU112" s="462"/>
      <c r="CV112" s="462"/>
      <c r="CW112" s="549"/>
      <c r="CX112" s="462"/>
      <c r="CY112" s="462"/>
      <c r="CZ112" s="462"/>
      <c r="DA112" s="462"/>
      <c r="DB112" s="462"/>
      <c r="DC112" s="462"/>
      <c r="DD112" s="462"/>
      <c r="DE112" s="462"/>
      <c r="DF112" s="462"/>
      <c r="DG112" s="462"/>
      <c r="DH112" s="462"/>
      <c r="DI112" s="462"/>
      <c r="DJ112" s="462"/>
      <c r="DK112" s="462"/>
      <c r="DL112" s="462"/>
      <c r="DM112" s="462"/>
      <c r="DN112" s="462"/>
      <c r="DO112" s="462"/>
      <c r="DP112" s="546"/>
      <c r="DQ112" s="546"/>
      <c r="DR112" s="546"/>
      <c r="DS112" s="546"/>
      <c r="DT112" s="546"/>
      <c r="DU112" s="546"/>
      <c r="DV112" s="546"/>
      <c r="DW112" s="546"/>
      <c r="DX112" s="546"/>
      <c r="DY112" s="546"/>
      <c r="EA112" s="546"/>
      <c r="EB112" s="546"/>
    </row>
    <row r="113" spans="4:132" s="459" customFormat="1" x14ac:dyDescent="0.2">
      <c r="D113" s="546" t="str">
        <f>D108</f>
        <v>Tilgung</v>
      </c>
      <c r="E113" s="546"/>
      <c r="F113" s="1091">
        <f>E143</f>
        <v>0</v>
      </c>
      <c r="G113" s="546"/>
      <c r="H113" s="1091">
        <f>E144</f>
        <v>0</v>
      </c>
      <c r="I113" s="546"/>
      <c r="J113" s="1091">
        <f>E145</f>
        <v>0</v>
      </c>
      <c r="K113" s="546"/>
      <c r="L113" s="1091">
        <f>E146</f>
        <v>0</v>
      </c>
      <c r="M113" s="546"/>
      <c r="N113" s="1091">
        <f>E147</f>
        <v>0</v>
      </c>
      <c r="O113" s="546"/>
      <c r="P113" s="1091">
        <f>E148</f>
        <v>0</v>
      </c>
      <c r="Q113" s="546"/>
      <c r="R113" s="546"/>
      <c r="S113" s="1091">
        <f>E149</f>
        <v>0</v>
      </c>
      <c r="T113" s="546"/>
      <c r="U113" s="1091">
        <f>E150</f>
        <v>0</v>
      </c>
      <c r="V113" s="546"/>
      <c r="W113" s="1091">
        <f>E151</f>
        <v>0</v>
      </c>
      <c r="X113" s="546"/>
      <c r="Y113" s="1091">
        <f>E152</f>
        <v>0</v>
      </c>
      <c r="Z113" s="546"/>
      <c r="AA113" s="1091">
        <f>E153</f>
        <v>0</v>
      </c>
      <c r="AB113" s="546"/>
      <c r="AC113" s="1091">
        <f>E154</f>
        <v>0</v>
      </c>
      <c r="AD113" s="546"/>
      <c r="AE113" s="1091">
        <f>E155</f>
        <v>0</v>
      </c>
      <c r="AF113" s="546"/>
      <c r="AG113" s="1091">
        <f>E156</f>
        <v>0</v>
      </c>
      <c r="AH113" s="546"/>
      <c r="AI113" s="1091">
        <f>E157</f>
        <v>0</v>
      </c>
      <c r="AJ113" s="546"/>
      <c r="AK113" s="1091">
        <f>E158</f>
        <v>0</v>
      </c>
      <c r="AL113" s="546"/>
      <c r="AM113" s="1091">
        <f>E159</f>
        <v>0</v>
      </c>
      <c r="AN113" s="546"/>
      <c r="AO113" s="1091">
        <f>E160</f>
        <v>0</v>
      </c>
      <c r="AP113" s="546"/>
      <c r="AQ113" s="1091">
        <f>E161</f>
        <v>0</v>
      </c>
      <c r="AR113" s="546"/>
      <c r="AS113" s="1091">
        <f>E162</f>
        <v>0</v>
      </c>
      <c r="AT113" s="546"/>
      <c r="AU113" s="1091">
        <f>E163</f>
        <v>0</v>
      </c>
      <c r="AV113" s="546"/>
      <c r="AW113" s="1091">
        <f>E164</f>
        <v>0</v>
      </c>
      <c r="AX113" s="546"/>
      <c r="AY113" s="1091">
        <f>E165</f>
        <v>0</v>
      </c>
      <c r="AZ113" s="546"/>
      <c r="BA113" s="1091">
        <f>E166</f>
        <v>0</v>
      </c>
      <c r="BB113" s="546"/>
      <c r="BC113" s="546"/>
      <c r="BD113" s="546"/>
      <c r="BE113" s="546"/>
      <c r="BF113" s="546"/>
      <c r="BG113" s="546"/>
      <c r="BH113" s="546"/>
      <c r="BI113" s="546"/>
      <c r="BJ113" s="546"/>
      <c r="BK113" s="546"/>
      <c r="BL113" s="546"/>
      <c r="BM113" s="546"/>
      <c r="BN113" s="546"/>
      <c r="BO113" s="546"/>
      <c r="BP113" s="546"/>
      <c r="BQ113" s="546"/>
      <c r="BR113" s="546"/>
      <c r="BS113" s="546"/>
      <c r="BT113" s="546"/>
      <c r="BU113" s="780"/>
      <c r="BV113" s="546"/>
      <c r="BW113" s="546"/>
      <c r="BX113" s="546"/>
      <c r="BY113" s="546"/>
      <c r="BZ113" s="462"/>
      <c r="CA113" s="462"/>
      <c r="CB113" s="462"/>
      <c r="CC113" s="462"/>
      <c r="CD113" s="462"/>
      <c r="CE113" s="462"/>
      <c r="CF113" s="462"/>
      <c r="CG113" s="462"/>
      <c r="CH113" s="462"/>
      <c r="CI113" s="462"/>
      <c r="CJ113" s="462"/>
      <c r="CK113" s="462"/>
      <c r="CL113" s="462"/>
      <c r="CM113" s="462"/>
      <c r="CN113" s="462"/>
      <c r="CO113" s="462"/>
      <c r="CP113" s="462"/>
      <c r="CQ113" s="462"/>
      <c r="CR113" s="462"/>
      <c r="CS113" s="462"/>
      <c r="CT113" s="462"/>
      <c r="CU113" s="462"/>
      <c r="CV113" s="462"/>
      <c r="CW113" s="549"/>
      <c r="CX113" s="462"/>
      <c r="CY113" s="462"/>
      <c r="CZ113" s="462"/>
      <c r="DA113" s="462"/>
      <c r="DB113" s="462"/>
      <c r="DC113" s="462"/>
      <c r="DD113" s="462"/>
      <c r="DE113" s="462"/>
      <c r="DF113" s="462"/>
      <c r="DG113" s="462"/>
      <c r="DH113" s="462"/>
      <c r="DI113" s="462"/>
      <c r="DJ113" s="462"/>
      <c r="DK113" s="462"/>
      <c r="DL113" s="462"/>
      <c r="DM113" s="462"/>
      <c r="DN113" s="462"/>
      <c r="DO113" s="462"/>
      <c r="DP113" s="546"/>
      <c r="DQ113" s="546"/>
      <c r="DR113" s="546"/>
      <c r="DS113" s="546"/>
      <c r="DT113" s="546"/>
      <c r="DU113" s="546"/>
      <c r="DV113" s="546"/>
      <c r="DW113" s="546"/>
      <c r="DX113" s="546"/>
      <c r="DY113" s="546"/>
      <c r="EA113" s="546"/>
      <c r="EB113" s="546"/>
    </row>
    <row r="114" spans="4:132" s="459" customFormat="1" x14ac:dyDescent="0.2">
      <c r="D114" s="1084"/>
      <c r="E114" s="1084"/>
      <c r="F114" s="1084"/>
      <c r="G114" s="1084"/>
      <c r="H114" s="1084"/>
      <c r="I114" s="1084"/>
      <c r="J114" s="1084"/>
      <c r="K114" s="1084"/>
      <c r="L114" s="1084"/>
      <c r="M114" s="1084"/>
      <c r="N114" s="1085"/>
      <c r="O114" s="1084"/>
      <c r="P114" s="1084"/>
      <c r="Q114" s="1093"/>
      <c r="R114" s="1093"/>
      <c r="S114" s="1094"/>
      <c r="T114" s="1084"/>
      <c r="U114" s="1084"/>
      <c r="V114" s="1084"/>
      <c r="W114" s="1084"/>
      <c r="X114" s="1084"/>
      <c r="Y114" s="546"/>
      <c r="Z114" s="546"/>
      <c r="AA114" s="546"/>
      <c r="AB114" s="546"/>
      <c r="AC114" s="546"/>
      <c r="AD114" s="780"/>
      <c r="AE114" s="546"/>
      <c r="AF114" s="546"/>
      <c r="AG114" s="546"/>
      <c r="AH114" s="546"/>
      <c r="AI114" s="546"/>
      <c r="AJ114" s="546"/>
      <c r="AK114" s="546"/>
      <c r="AL114" s="546"/>
      <c r="AM114" s="546"/>
      <c r="AN114" s="546"/>
      <c r="AO114" s="546"/>
      <c r="AP114" s="546"/>
      <c r="AQ114" s="546"/>
      <c r="AR114" s="546"/>
      <c r="AS114" s="546"/>
      <c r="AT114" s="546"/>
      <c r="AU114" s="546"/>
      <c r="AV114" s="546"/>
      <c r="AW114" s="546"/>
      <c r="AX114" s="546"/>
      <c r="AY114" s="546"/>
      <c r="AZ114" s="546"/>
      <c r="BA114" s="546"/>
      <c r="BB114" s="546"/>
      <c r="BC114" s="546"/>
      <c r="BD114" s="546"/>
      <c r="BE114" s="546"/>
      <c r="BF114" s="546"/>
      <c r="BG114" s="546"/>
      <c r="BH114" s="546"/>
      <c r="BI114" s="546"/>
      <c r="BJ114" s="546"/>
      <c r="BK114" s="546"/>
      <c r="BL114" s="546"/>
      <c r="BM114" s="546"/>
      <c r="BN114" s="546"/>
      <c r="BO114" s="546"/>
      <c r="BP114" s="546"/>
      <c r="BQ114" s="546"/>
      <c r="BR114" s="546"/>
      <c r="BS114" s="546"/>
      <c r="BT114" s="546"/>
      <c r="BU114" s="780"/>
      <c r="BV114" s="546"/>
      <c r="BW114" s="546"/>
      <c r="BX114" s="546"/>
      <c r="BY114" s="546"/>
      <c r="BZ114" s="462"/>
      <c r="CA114" s="462"/>
      <c r="CB114" s="462"/>
      <c r="CC114" s="462"/>
      <c r="CD114" s="462"/>
      <c r="CE114" s="462"/>
      <c r="CF114" s="462"/>
      <c r="CG114" s="462"/>
      <c r="CH114" s="462"/>
      <c r="CI114" s="462"/>
      <c r="CJ114" s="462"/>
      <c r="CK114" s="462"/>
      <c r="CL114" s="462"/>
      <c r="CM114" s="462"/>
      <c r="CN114" s="462"/>
      <c r="CO114" s="462"/>
      <c r="CP114" s="462"/>
      <c r="CQ114" s="462"/>
      <c r="CR114" s="462"/>
      <c r="CS114" s="462"/>
      <c r="CT114" s="462"/>
      <c r="CU114" s="462"/>
      <c r="CV114" s="462"/>
      <c r="CW114" s="549"/>
      <c r="CX114" s="462"/>
      <c r="CY114" s="462"/>
      <c r="CZ114" s="462"/>
      <c r="DA114" s="462"/>
      <c r="DB114" s="462"/>
      <c r="DC114" s="462"/>
      <c r="DD114" s="462"/>
      <c r="DE114" s="462"/>
      <c r="DF114" s="462"/>
      <c r="DG114" s="462"/>
      <c r="DH114" s="462"/>
      <c r="DI114" s="462"/>
      <c r="DJ114" s="462"/>
      <c r="DK114" s="462"/>
      <c r="DL114" s="462"/>
      <c r="DM114" s="462"/>
      <c r="DN114" s="462"/>
      <c r="DO114" s="462"/>
      <c r="DP114" s="546"/>
      <c r="DQ114" s="546"/>
      <c r="DR114" s="546"/>
      <c r="DS114" s="546"/>
      <c r="DT114" s="546"/>
      <c r="DU114" s="546"/>
      <c r="DV114" s="546"/>
      <c r="DW114" s="546"/>
      <c r="DX114" s="546"/>
      <c r="DY114" s="546"/>
      <c r="EA114" s="546"/>
      <c r="EB114" s="546"/>
    </row>
    <row r="115" spans="4:132" s="220" customFormat="1" x14ac:dyDescent="0.2">
      <c r="D115" s="777"/>
      <c r="E115" s="777"/>
      <c r="F115" s="777"/>
      <c r="G115" s="777"/>
      <c r="H115" s="777"/>
      <c r="I115" s="777"/>
      <c r="J115" s="777"/>
      <c r="K115" s="777"/>
      <c r="L115" s="777"/>
      <c r="M115" s="777"/>
      <c r="N115" s="778"/>
      <c r="O115" s="777"/>
      <c r="P115" s="777"/>
      <c r="Q115" s="779"/>
      <c r="R115" s="779"/>
      <c r="S115" s="774"/>
      <c r="T115" s="777"/>
      <c r="U115" s="777"/>
      <c r="V115" s="777"/>
      <c r="W115" s="777"/>
      <c r="X115" s="777"/>
      <c r="AB115" s="459"/>
      <c r="AC115" s="459"/>
      <c r="AD115" s="780"/>
      <c r="AE115" s="546"/>
      <c r="AF115" s="546"/>
      <c r="AG115" s="546"/>
      <c r="AH115" s="546"/>
      <c r="AI115" s="546"/>
      <c r="AJ115" s="546"/>
      <c r="AK115" s="546"/>
      <c r="AL115" s="546"/>
      <c r="AM115" s="546"/>
      <c r="AN115" s="546"/>
      <c r="AO115" s="546"/>
      <c r="AP115" s="546"/>
      <c r="AQ115" s="546"/>
      <c r="AR115" s="546"/>
      <c r="AS115" s="546"/>
      <c r="AT115" s="546"/>
      <c r="AU115" s="546"/>
      <c r="AV115" s="546"/>
      <c r="AW115" s="546"/>
      <c r="AX115" s="546"/>
      <c r="AY115" s="546"/>
      <c r="AZ115" s="546"/>
      <c r="BA115" s="546"/>
      <c r="BB115" s="546"/>
      <c r="BC115" s="546"/>
      <c r="BD115" s="546"/>
      <c r="BE115" s="546"/>
      <c r="BF115" s="546"/>
      <c r="BG115" s="546"/>
      <c r="BH115" s="546"/>
      <c r="BI115" s="546"/>
      <c r="BJ115" s="546"/>
      <c r="BK115" s="546"/>
      <c r="BL115" s="546"/>
      <c r="BM115" s="546"/>
      <c r="BN115" s="546"/>
      <c r="BO115" s="546"/>
      <c r="BP115" s="546"/>
      <c r="BQ115" s="546"/>
      <c r="BR115" s="546"/>
      <c r="BS115" s="546"/>
      <c r="BT115" s="546"/>
      <c r="BU115" s="780"/>
      <c r="BV115" s="546"/>
      <c r="BW115" s="546"/>
      <c r="BX115" s="546"/>
      <c r="BY115" s="546"/>
      <c r="BZ115" s="462"/>
      <c r="CA115" s="462"/>
      <c r="CB115" s="462"/>
      <c r="CC115" s="462"/>
      <c r="CD115" s="462"/>
      <c r="CE115" s="462"/>
      <c r="CF115" s="462"/>
      <c r="CG115" s="462"/>
      <c r="CH115" s="462"/>
      <c r="CI115" s="462"/>
      <c r="CJ115" s="462"/>
      <c r="CK115" s="462"/>
      <c r="CL115" s="462"/>
      <c r="CM115" s="462"/>
      <c r="CN115" s="462"/>
      <c r="CO115" s="462"/>
      <c r="CP115" s="462"/>
      <c r="CQ115" s="462"/>
      <c r="CR115" s="462"/>
      <c r="CS115" s="462"/>
      <c r="CT115" s="462"/>
      <c r="CU115" s="462"/>
      <c r="CV115" s="462"/>
      <c r="CW115" s="290"/>
      <c r="CX115" s="462"/>
      <c r="CY115" s="462"/>
      <c r="CZ115" s="462"/>
      <c r="DA115" s="462"/>
      <c r="DB115" s="462"/>
      <c r="DC115" s="462"/>
      <c r="DD115" s="462"/>
      <c r="DE115" s="462"/>
      <c r="DF115" s="462"/>
      <c r="DG115" s="462"/>
      <c r="DH115" s="462"/>
      <c r="DI115" s="462"/>
      <c r="DJ115" s="462"/>
      <c r="DK115" s="462"/>
      <c r="DL115" s="462"/>
      <c r="DM115" s="462"/>
      <c r="DN115" s="462"/>
      <c r="DO115" s="462"/>
      <c r="DP115" s="546"/>
      <c r="DQ115" s="546"/>
      <c r="DR115" s="546"/>
      <c r="DS115" s="546"/>
      <c r="DT115" s="546"/>
      <c r="DU115" s="546"/>
      <c r="DV115" s="546"/>
      <c r="DW115" s="546"/>
      <c r="DX115" s="546"/>
      <c r="DY115" s="546"/>
      <c r="DZ115" s="781"/>
      <c r="EA115" s="544"/>
      <c r="EB115" s="544"/>
    </row>
    <row r="116" spans="4:132" s="220" customFormat="1" x14ac:dyDescent="0.2">
      <c r="D116" s="777"/>
      <c r="E116" s="777"/>
      <c r="F116" s="777"/>
      <c r="G116" s="777"/>
      <c r="H116" s="777"/>
      <c r="I116" s="777"/>
      <c r="J116" s="777"/>
      <c r="K116" s="777"/>
      <c r="L116" s="777"/>
      <c r="M116" s="777"/>
      <c r="N116" s="778"/>
      <c r="O116" s="777"/>
      <c r="P116" s="777"/>
      <c r="Q116" s="779"/>
      <c r="R116" s="779"/>
      <c r="S116" s="774"/>
      <c r="T116" s="777"/>
      <c r="U116" s="777"/>
      <c r="V116" s="777"/>
      <c r="W116" s="777"/>
      <c r="X116" s="777"/>
      <c r="AB116" s="459"/>
      <c r="AC116" s="459"/>
      <c r="AD116" s="780"/>
      <c r="AE116" s="546"/>
      <c r="AF116" s="546"/>
      <c r="AG116" s="546"/>
      <c r="AH116" s="546"/>
      <c r="AI116" s="546"/>
      <c r="AJ116" s="546"/>
      <c r="AK116" s="546"/>
      <c r="AL116" s="546"/>
      <c r="AM116" s="546"/>
      <c r="AN116" s="546"/>
      <c r="AO116" s="546"/>
      <c r="AP116" s="546"/>
      <c r="AQ116" s="546"/>
      <c r="AR116" s="546"/>
      <c r="AS116" s="546"/>
      <c r="AT116" s="546"/>
      <c r="AU116" s="546"/>
      <c r="AV116" s="546"/>
      <c r="AW116" s="546"/>
      <c r="AX116" s="546"/>
      <c r="AY116" s="546"/>
      <c r="AZ116" s="546"/>
      <c r="BA116" s="546"/>
      <c r="BB116" s="546"/>
      <c r="BC116" s="546"/>
      <c r="BD116" s="546"/>
      <c r="BE116" s="546"/>
      <c r="BF116" s="546"/>
      <c r="BG116" s="546"/>
      <c r="BH116" s="546"/>
      <c r="BI116" s="546"/>
      <c r="BJ116" s="546"/>
      <c r="BK116" s="546"/>
      <c r="BL116" s="546"/>
      <c r="BM116" s="546"/>
      <c r="BN116" s="546"/>
      <c r="BO116" s="546"/>
      <c r="BP116" s="546"/>
      <c r="BQ116" s="546"/>
      <c r="BR116" s="546"/>
      <c r="BS116" s="546"/>
      <c r="BT116" s="546"/>
      <c r="BU116" s="780"/>
      <c r="BV116" s="546"/>
      <c r="BW116" s="546"/>
      <c r="BX116" s="546"/>
      <c r="BY116" s="546"/>
      <c r="BZ116" s="462"/>
      <c r="CA116" s="462"/>
      <c r="CB116" s="462"/>
      <c r="CC116" s="462"/>
      <c r="CD116" s="462"/>
      <c r="CE116" s="462"/>
      <c r="CF116" s="462"/>
      <c r="CG116" s="462"/>
      <c r="CH116" s="462"/>
      <c r="CI116" s="462"/>
      <c r="CJ116" s="462"/>
      <c r="CK116" s="462"/>
      <c r="CL116" s="462"/>
      <c r="CM116" s="462"/>
      <c r="CN116" s="462"/>
      <c r="CO116" s="462"/>
      <c r="CP116" s="462"/>
      <c r="CQ116" s="462"/>
      <c r="CR116" s="462"/>
      <c r="CS116" s="462"/>
      <c r="CT116" s="462"/>
      <c r="CU116" s="462"/>
      <c r="CV116" s="462"/>
      <c r="CW116" s="290"/>
      <c r="CX116" s="462"/>
      <c r="CY116" s="462"/>
      <c r="CZ116" s="462"/>
      <c r="DA116" s="462"/>
      <c r="DB116" s="462"/>
      <c r="DC116" s="462"/>
      <c r="DD116" s="462"/>
      <c r="DE116" s="462"/>
      <c r="DF116" s="462"/>
      <c r="DG116" s="462"/>
      <c r="DH116" s="462"/>
      <c r="DI116" s="462"/>
      <c r="DJ116" s="462"/>
      <c r="DK116" s="462"/>
      <c r="DL116" s="462"/>
      <c r="DM116" s="462"/>
      <c r="DN116" s="462"/>
      <c r="DO116" s="462"/>
      <c r="DP116" s="546"/>
      <c r="DQ116" s="546"/>
      <c r="DR116" s="546"/>
      <c r="DS116" s="546"/>
      <c r="DT116" s="546"/>
      <c r="DU116" s="546"/>
      <c r="DV116" s="546"/>
      <c r="DW116" s="546"/>
      <c r="DX116" s="546"/>
      <c r="DY116" s="546"/>
      <c r="DZ116" s="781"/>
      <c r="EA116" s="544"/>
      <c r="EB116" s="544"/>
    </row>
    <row r="117" spans="4:132" s="220" customFormat="1" x14ac:dyDescent="0.2">
      <c r="D117" s="777"/>
      <c r="E117" s="777"/>
      <c r="F117" s="777"/>
      <c r="G117" s="777"/>
      <c r="H117" s="777"/>
      <c r="I117" s="777"/>
      <c r="J117" s="777"/>
      <c r="K117" s="777"/>
      <c r="L117" s="777"/>
      <c r="M117" s="777"/>
      <c r="N117" s="778"/>
      <c r="O117" s="777"/>
      <c r="P117" s="777"/>
      <c r="Q117" s="779"/>
      <c r="R117" s="779"/>
      <c r="S117" s="774"/>
      <c r="T117" s="777"/>
      <c r="U117" s="777"/>
      <c r="V117" s="777"/>
      <c r="W117" s="777"/>
      <c r="X117" s="777"/>
      <c r="AB117" s="459"/>
      <c r="AC117" s="459"/>
      <c r="AD117" s="780"/>
      <c r="AE117" s="546"/>
      <c r="AF117" s="546"/>
      <c r="AG117" s="546"/>
      <c r="AH117" s="546"/>
      <c r="AI117" s="546"/>
      <c r="AJ117" s="546"/>
      <c r="AK117" s="546"/>
      <c r="AL117" s="546"/>
      <c r="AM117" s="546"/>
      <c r="AN117" s="546"/>
      <c r="AO117" s="546"/>
      <c r="AP117" s="546"/>
      <c r="AQ117" s="546"/>
      <c r="AR117" s="546"/>
      <c r="AS117" s="546"/>
      <c r="AT117" s="546"/>
      <c r="AU117" s="546"/>
      <c r="AV117" s="546"/>
      <c r="AW117" s="546"/>
      <c r="AX117" s="546"/>
      <c r="AY117" s="546"/>
      <c r="AZ117" s="546"/>
      <c r="BA117" s="546"/>
      <c r="BB117" s="546"/>
      <c r="BC117" s="546"/>
      <c r="BD117" s="546"/>
      <c r="BE117" s="546"/>
      <c r="BF117" s="546"/>
      <c r="BG117" s="546"/>
      <c r="BH117" s="546"/>
      <c r="BI117" s="546"/>
      <c r="BJ117" s="546"/>
      <c r="BK117" s="546"/>
      <c r="BL117" s="546"/>
      <c r="BM117" s="546"/>
      <c r="BN117" s="546"/>
      <c r="BO117" s="546"/>
      <c r="BP117" s="546"/>
      <c r="BQ117" s="546"/>
      <c r="BR117" s="546"/>
      <c r="BS117" s="546"/>
      <c r="BT117" s="546"/>
      <c r="BU117" s="780"/>
      <c r="BV117" s="546"/>
      <c r="BW117" s="546"/>
      <c r="BX117" s="546"/>
      <c r="BY117" s="546"/>
      <c r="BZ117" s="462"/>
      <c r="CA117" s="462"/>
      <c r="CB117" s="462"/>
      <c r="CC117" s="462"/>
      <c r="CD117" s="462"/>
      <c r="CE117" s="462"/>
      <c r="CF117" s="462"/>
      <c r="CG117" s="462"/>
      <c r="CH117" s="462"/>
      <c r="CI117" s="462"/>
      <c r="CJ117" s="462"/>
      <c r="CK117" s="462"/>
      <c r="CL117" s="462"/>
      <c r="CM117" s="462"/>
      <c r="CN117" s="462"/>
      <c r="CO117" s="462"/>
      <c r="CP117" s="462"/>
      <c r="CQ117" s="462"/>
      <c r="CR117" s="462"/>
      <c r="CS117" s="462"/>
      <c r="CT117" s="462"/>
      <c r="CU117" s="462"/>
      <c r="CV117" s="462"/>
      <c r="CW117" s="290"/>
      <c r="CX117" s="462"/>
      <c r="CY117" s="462"/>
      <c r="CZ117" s="462"/>
      <c r="DA117" s="462"/>
      <c r="DB117" s="462"/>
      <c r="DC117" s="462"/>
      <c r="DD117" s="462"/>
      <c r="DE117" s="462"/>
      <c r="DF117" s="462"/>
      <c r="DG117" s="462"/>
      <c r="DH117" s="462"/>
      <c r="DI117" s="462"/>
      <c r="DJ117" s="462"/>
      <c r="DK117" s="462"/>
      <c r="DL117" s="462"/>
      <c r="DM117" s="462"/>
      <c r="DN117" s="462"/>
      <c r="DO117" s="462"/>
      <c r="DP117" s="546"/>
      <c r="DQ117" s="546"/>
      <c r="DR117" s="546"/>
      <c r="DS117" s="546"/>
      <c r="DT117" s="546"/>
      <c r="DU117" s="546"/>
      <c r="DV117" s="546"/>
      <c r="DW117" s="546"/>
      <c r="DX117" s="546"/>
      <c r="DY117" s="546"/>
      <c r="DZ117" s="781"/>
      <c r="EA117" s="544"/>
      <c r="EB117" s="544"/>
    </row>
    <row r="118" spans="4:132" s="220" customFormat="1" x14ac:dyDescent="0.2">
      <c r="D118" s="777"/>
      <c r="E118" s="777"/>
      <c r="F118" s="777"/>
      <c r="G118" s="777"/>
      <c r="H118" s="777"/>
      <c r="I118" s="777"/>
      <c r="J118" s="777"/>
      <c r="K118" s="777"/>
      <c r="L118" s="777"/>
      <c r="M118" s="777"/>
      <c r="N118" s="778"/>
      <c r="O118" s="777"/>
      <c r="P118" s="777"/>
      <c r="Q118" s="779"/>
      <c r="R118" s="779"/>
      <c r="S118" s="774"/>
      <c r="T118" s="777"/>
      <c r="U118" s="777"/>
      <c r="V118" s="777"/>
      <c r="W118" s="777"/>
      <c r="X118" s="777"/>
      <c r="AB118" s="459"/>
      <c r="AC118" s="459"/>
      <c r="AD118" s="780"/>
      <c r="AE118" s="546"/>
      <c r="AF118" s="546"/>
      <c r="AG118" s="546"/>
      <c r="AH118" s="546"/>
      <c r="AI118" s="546"/>
      <c r="AJ118" s="546"/>
      <c r="AK118" s="546"/>
      <c r="AL118" s="546"/>
      <c r="AM118" s="546"/>
      <c r="AN118" s="546"/>
      <c r="AO118" s="546"/>
      <c r="AP118" s="546"/>
      <c r="AQ118" s="546"/>
      <c r="AR118" s="546"/>
      <c r="AS118" s="546"/>
      <c r="AT118" s="546"/>
      <c r="AU118" s="546"/>
      <c r="AV118" s="546"/>
      <c r="AW118" s="546"/>
      <c r="AX118" s="546"/>
      <c r="AY118" s="546"/>
      <c r="AZ118" s="546"/>
      <c r="BA118" s="546"/>
      <c r="BB118" s="546"/>
      <c r="BC118" s="546"/>
      <c r="BD118" s="546"/>
      <c r="BE118" s="546"/>
      <c r="BF118" s="546"/>
      <c r="BG118" s="546"/>
      <c r="BH118" s="546"/>
      <c r="BI118" s="546"/>
      <c r="BJ118" s="546"/>
      <c r="BK118" s="546"/>
      <c r="BL118" s="546"/>
      <c r="BM118" s="546"/>
      <c r="BN118" s="546"/>
      <c r="BO118" s="546"/>
      <c r="BP118" s="546"/>
      <c r="BQ118" s="546"/>
      <c r="BR118" s="546"/>
      <c r="BS118" s="546"/>
      <c r="BT118" s="546"/>
      <c r="BU118" s="780"/>
      <c r="BV118" s="546"/>
      <c r="BW118" s="546"/>
      <c r="BX118" s="546"/>
      <c r="BY118" s="546"/>
      <c r="BZ118" s="462"/>
      <c r="CA118" s="462"/>
      <c r="CB118" s="462"/>
      <c r="CC118" s="462"/>
      <c r="CD118" s="462"/>
      <c r="CE118" s="462"/>
      <c r="CF118" s="462"/>
      <c r="CG118" s="462"/>
      <c r="CH118" s="462"/>
      <c r="CI118" s="462"/>
      <c r="CJ118" s="462"/>
      <c r="CK118" s="462"/>
      <c r="CL118" s="462"/>
      <c r="CM118" s="462"/>
      <c r="CN118" s="462"/>
      <c r="CO118" s="462"/>
      <c r="CP118" s="462"/>
      <c r="CQ118" s="462"/>
      <c r="CR118" s="462"/>
      <c r="CS118" s="462"/>
      <c r="CT118" s="462"/>
      <c r="CU118" s="462"/>
      <c r="CV118" s="462"/>
      <c r="CW118" s="290"/>
      <c r="CX118" s="462"/>
      <c r="CY118" s="462"/>
      <c r="CZ118" s="462"/>
      <c r="DA118" s="462"/>
      <c r="DB118" s="462"/>
      <c r="DC118" s="462"/>
      <c r="DD118" s="462"/>
      <c r="DE118" s="462"/>
      <c r="DF118" s="462"/>
      <c r="DG118" s="462"/>
      <c r="DH118" s="462"/>
      <c r="DI118" s="462"/>
      <c r="DJ118" s="462"/>
      <c r="DK118" s="462"/>
      <c r="DL118" s="462"/>
      <c r="DM118" s="462"/>
      <c r="DN118" s="462"/>
      <c r="DO118" s="462"/>
      <c r="DP118" s="546"/>
      <c r="DQ118" s="546"/>
      <c r="DR118" s="546"/>
      <c r="DS118" s="546"/>
      <c r="DT118" s="546"/>
      <c r="DU118" s="546"/>
      <c r="DV118" s="546"/>
      <c r="DW118" s="546"/>
      <c r="DX118" s="546"/>
      <c r="DY118" s="546"/>
      <c r="DZ118" s="781"/>
      <c r="EA118" s="544"/>
      <c r="EB118" s="544"/>
    </row>
    <row r="119" spans="4:132" s="220" customFormat="1" x14ac:dyDescent="0.2">
      <c r="D119" s="777"/>
      <c r="E119" s="777"/>
      <c r="F119" s="777"/>
      <c r="G119" s="777"/>
      <c r="H119" s="777"/>
      <c r="I119" s="777"/>
      <c r="J119" s="777"/>
      <c r="K119" s="777"/>
      <c r="L119" s="777"/>
      <c r="M119" s="777"/>
      <c r="N119" s="778"/>
      <c r="O119" s="777"/>
      <c r="P119" s="777"/>
      <c r="Q119" s="779"/>
      <c r="R119" s="779"/>
      <c r="S119" s="774"/>
      <c r="T119" s="777"/>
      <c r="U119" s="777"/>
      <c r="V119" s="777"/>
      <c r="W119" s="777"/>
      <c r="X119" s="777"/>
      <c r="AB119" s="459"/>
      <c r="AC119" s="459"/>
      <c r="AD119" s="780"/>
      <c r="AE119" s="546"/>
      <c r="AF119" s="546"/>
      <c r="AG119" s="546"/>
      <c r="AH119" s="546"/>
      <c r="AI119" s="546"/>
      <c r="AJ119" s="546"/>
      <c r="AK119" s="546"/>
      <c r="AL119" s="546"/>
      <c r="AM119" s="546"/>
      <c r="AN119" s="546"/>
      <c r="AO119" s="546"/>
      <c r="AP119" s="546"/>
      <c r="AQ119" s="546"/>
      <c r="AR119" s="546"/>
      <c r="AS119" s="546"/>
      <c r="AT119" s="546"/>
      <c r="AU119" s="546"/>
      <c r="AV119" s="546"/>
      <c r="AW119" s="546"/>
      <c r="AX119" s="546"/>
      <c r="AY119" s="546"/>
      <c r="AZ119" s="546"/>
      <c r="BA119" s="546"/>
      <c r="BB119" s="546"/>
      <c r="BC119" s="546"/>
      <c r="BD119" s="546"/>
      <c r="BE119" s="546"/>
      <c r="BF119" s="546"/>
      <c r="BG119" s="546"/>
      <c r="BH119" s="546"/>
      <c r="BI119" s="546"/>
      <c r="BJ119" s="546"/>
      <c r="BK119" s="546"/>
      <c r="BL119" s="546"/>
      <c r="BM119" s="546"/>
      <c r="BN119" s="546"/>
      <c r="BO119" s="546"/>
      <c r="BP119" s="546"/>
      <c r="BQ119" s="546"/>
      <c r="BR119" s="546"/>
      <c r="BS119" s="546"/>
      <c r="BT119" s="546"/>
      <c r="BU119" s="780"/>
      <c r="BV119" s="546"/>
      <c r="BW119" s="546"/>
      <c r="BX119" s="546"/>
      <c r="BY119" s="546"/>
      <c r="BZ119" s="462"/>
      <c r="CA119" s="462"/>
      <c r="CB119" s="462"/>
      <c r="CC119" s="462"/>
      <c r="CD119" s="462"/>
      <c r="CE119" s="462"/>
      <c r="CF119" s="462"/>
      <c r="CG119" s="462"/>
      <c r="CH119" s="462"/>
      <c r="CI119" s="462"/>
      <c r="CJ119" s="462"/>
      <c r="CK119" s="462"/>
      <c r="CL119" s="462"/>
      <c r="CM119" s="462"/>
      <c r="CN119" s="462"/>
      <c r="CO119" s="462"/>
      <c r="CP119" s="462"/>
      <c r="CQ119" s="462"/>
      <c r="CR119" s="462"/>
      <c r="CS119" s="462"/>
      <c r="CT119" s="462"/>
      <c r="CU119" s="462"/>
      <c r="CV119" s="462"/>
      <c r="CW119" s="290"/>
      <c r="CX119" s="462"/>
      <c r="CY119" s="462"/>
      <c r="CZ119" s="462"/>
      <c r="DA119" s="462"/>
      <c r="DB119" s="462"/>
      <c r="DC119" s="462"/>
      <c r="DD119" s="462"/>
      <c r="DE119" s="462"/>
      <c r="DF119" s="462"/>
      <c r="DG119" s="462"/>
      <c r="DH119" s="462"/>
      <c r="DI119" s="462"/>
      <c r="DJ119" s="462"/>
      <c r="DK119" s="462"/>
      <c r="DL119" s="462"/>
      <c r="DM119" s="462"/>
      <c r="DN119" s="462"/>
      <c r="DO119" s="462"/>
      <c r="DP119" s="546"/>
      <c r="DQ119" s="546"/>
      <c r="DR119" s="546"/>
      <c r="DS119" s="546"/>
      <c r="DT119" s="546"/>
      <c r="DU119" s="546"/>
      <c r="DV119" s="546"/>
      <c r="DW119" s="546"/>
      <c r="DX119" s="546"/>
      <c r="DY119" s="546"/>
      <c r="DZ119" s="781"/>
      <c r="EA119" s="544"/>
      <c r="EB119" s="544"/>
    </row>
    <row r="120" spans="4:132" s="546" customFormat="1" ht="15.75" customHeight="1" x14ac:dyDescent="0.2">
      <c r="BU120" s="780"/>
      <c r="BZ120" s="462"/>
      <c r="CA120" s="462"/>
      <c r="CB120" s="462"/>
      <c r="CC120" s="462"/>
      <c r="CD120" s="462"/>
      <c r="CE120" s="462"/>
      <c r="CF120" s="462"/>
      <c r="CG120" s="462"/>
      <c r="CH120" s="462"/>
      <c r="CI120" s="462"/>
      <c r="CJ120" s="462"/>
      <c r="CK120" s="462"/>
      <c r="CL120" s="462"/>
      <c r="CM120" s="462"/>
      <c r="CN120" s="462"/>
      <c r="CO120" s="462"/>
      <c r="CP120" s="462"/>
      <c r="CQ120" s="462"/>
      <c r="CR120" s="462"/>
      <c r="CS120" s="462"/>
      <c r="CT120" s="462"/>
      <c r="CU120" s="462"/>
      <c r="CV120" s="462"/>
      <c r="CW120" s="549"/>
      <c r="CX120" s="462"/>
      <c r="CY120" s="462"/>
      <c r="CZ120" s="462"/>
      <c r="DA120" s="462"/>
      <c r="DB120" s="462"/>
      <c r="DC120" s="462"/>
      <c r="DD120" s="462"/>
      <c r="DE120" s="462"/>
      <c r="DF120" s="462"/>
      <c r="DG120" s="462"/>
      <c r="DH120" s="462"/>
      <c r="DI120" s="462"/>
      <c r="DJ120" s="462"/>
      <c r="DK120" s="462"/>
      <c r="DL120" s="462"/>
      <c r="DM120" s="462"/>
      <c r="DN120" s="462"/>
      <c r="DO120" s="462"/>
    </row>
    <row r="121" spans="4:132" s="546" customFormat="1" ht="15.75" customHeight="1" x14ac:dyDescent="0.2">
      <c r="BU121" s="780"/>
      <c r="BZ121" s="462"/>
      <c r="CA121" s="462"/>
      <c r="CB121" s="462"/>
      <c r="CC121" s="462"/>
      <c r="CD121" s="462"/>
      <c r="CE121" s="462"/>
      <c r="CF121" s="462"/>
      <c r="CG121" s="462"/>
      <c r="CH121" s="462"/>
      <c r="CI121" s="462"/>
      <c r="CJ121" s="462"/>
      <c r="CK121" s="462"/>
      <c r="CL121" s="462"/>
      <c r="CM121" s="462"/>
      <c r="CN121" s="462"/>
      <c r="CO121" s="462"/>
      <c r="CP121" s="462"/>
      <c r="CQ121" s="462"/>
      <c r="CR121" s="462"/>
      <c r="CS121" s="462"/>
      <c r="CT121" s="462"/>
      <c r="CU121" s="462"/>
      <c r="CV121" s="462"/>
      <c r="CW121" s="549"/>
      <c r="CX121" s="462"/>
      <c r="CY121" s="462"/>
      <c r="CZ121" s="462"/>
      <c r="DA121" s="462"/>
      <c r="DB121" s="462"/>
      <c r="DC121" s="462"/>
      <c r="DD121" s="462"/>
      <c r="DE121" s="462"/>
      <c r="DF121" s="462"/>
      <c r="DG121" s="462"/>
      <c r="DH121" s="462"/>
      <c r="DI121" s="462"/>
      <c r="DJ121" s="462"/>
      <c r="DK121" s="462"/>
      <c r="DL121" s="462"/>
      <c r="DM121" s="462"/>
      <c r="DN121" s="462"/>
      <c r="DO121" s="462"/>
    </row>
    <row r="122" spans="4:132" s="258" customFormat="1" ht="12.75" hidden="1" customHeight="1" x14ac:dyDescent="0.2">
      <c r="BU122" s="257"/>
      <c r="BZ122" s="446"/>
      <c r="CA122" s="446"/>
      <c r="CB122" s="446"/>
      <c r="CC122" s="446"/>
      <c r="CD122" s="446"/>
      <c r="CE122" s="446"/>
      <c r="CF122" s="446"/>
      <c r="CG122" s="446"/>
      <c r="CH122" s="446"/>
      <c r="CI122" s="446"/>
      <c r="CJ122" s="446"/>
      <c r="CK122" s="446"/>
      <c r="CL122" s="446"/>
      <c r="CM122" s="446"/>
      <c r="CN122" s="446"/>
      <c r="CO122" s="446"/>
      <c r="CP122" s="446"/>
      <c r="CQ122" s="446"/>
      <c r="CR122" s="446"/>
      <c r="CS122" s="446"/>
      <c r="CT122" s="446"/>
      <c r="CU122" s="446"/>
      <c r="CV122" s="446"/>
      <c r="CW122" s="634"/>
      <c r="CX122" s="446"/>
      <c r="CY122" s="446"/>
      <c r="CZ122" s="446"/>
      <c r="DA122" s="446"/>
      <c r="DB122" s="446"/>
      <c r="DC122" s="446"/>
      <c r="DD122" s="446"/>
      <c r="DE122" s="446"/>
      <c r="DF122" s="446"/>
      <c r="DG122" s="446"/>
      <c r="DH122" s="446"/>
      <c r="DI122" s="446"/>
      <c r="DJ122" s="446"/>
      <c r="DK122" s="446"/>
      <c r="DL122" s="446"/>
      <c r="DM122" s="446"/>
      <c r="DN122" s="446"/>
      <c r="DO122" s="446"/>
    </row>
    <row r="123" spans="4:132" s="258" customFormat="1" ht="14.25" hidden="1" customHeight="1" x14ac:dyDescent="0.2">
      <c r="BU123" s="257"/>
      <c r="BZ123" s="446"/>
      <c r="CA123" s="446"/>
      <c r="CB123" s="446"/>
      <c r="CC123" s="446"/>
      <c r="CD123" s="446"/>
      <c r="CE123" s="446"/>
      <c r="CF123" s="446"/>
      <c r="CG123" s="446"/>
      <c r="CH123" s="446"/>
      <c r="CI123" s="446"/>
      <c r="CJ123" s="446"/>
      <c r="CK123" s="446"/>
      <c r="CL123" s="446"/>
      <c r="CM123" s="446"/>
      <c r="CN123" s="446"/>
      <c r="CO123" s="446"/>
      <c r="CP123" s="446"/>
      <c r="CQ123" s="446"/>
      <c r="CR123" s="446"/>
      <c r="CS123" s="446"/>
      <c r="CT123" s="446"/>
      <c r="CU123" s="446"/>
      <c r="CV123" s="446"/>
      <c r="CW123" s="634"/>
      <c r="CX123" s="446"/>
      <c r="CY123" s="446"/>
      <c r="CZ123" s="446"/>
      <c r="DA123" s="446"/>
      <c r="DB123" s="446"/>
      <c r="DC123" s="446"/>
      <c r="DD123" s="446"/>
      <c r="DE123" s="446"/>
      <c r="DF123" s="446"/>
      <c r="DG123" s="446"/>
      <c r="DH123" s="446"/>
      <c r="DI123" s="446"/>
      <c r="DJ123" s="446"/>
      <c r="DK123" s="446"/>
      <c r="DL123" s="446"/>
      <c r="DM123" s="446"/>
      <c r="DN123" s="446"/>
      <c r="DO123" s="446"/>
    </row>
    <row r="124" spans="4:132" s="258" customFormat="1" ht="14.25" hidden="1" customHeight="1" x14ac:dyDescent="0.2">
      <c r="O124" s="783"/>
      <c r="P124" s="783"/>
      <c r="Q124" s="784"/>
      <c r="R124" s="784"/>
      <c r="S124" s="785"/>
      <c r="T124" s="783"/>
      <c r="U124" s="783"/>
      <c r="V124" s="783"/>
      <c r="W124" s="783"/>
      <c r="X124" s="783"/>
      <c r="AD124" s="257"/>
      <c r="BU124" s="257"/>
      <c r="BZ124" s="446"/>
      <c r="CA124" s="446"/>
      <c r="CB124" s="446"/>
      <c r="CC124" s="446"/>
      <c r="CD124" s="446"/>
      <c r="CE124" s="446"/>
      <c r="CF124" s="446"/>
      <c r="CG124" s="446"/>
      <c r="CH124" s="446"/>
      <c r="CI124" s="446"/>
      <c r="CJ124" s="446"/>
      <c r="CK124" s="446"/>
      <c r="CL124" s="446"/>
      <c r="CM124" s="446"/>
      <c r="CN124" s="446"/>
      <c r="CO124" s="446"/>
      <c r="CP124" s="446"/>
      <c r="CQ124" s="446"/>
      <c r="CR124" s="446"/>
      <c r="CS124" s="446"/>
      <c r="CT124" s="446"/>
      <c r="CU124" s="446"/>
      <c r="CV124" s="446"/>
      <c r="CW124" s="634"/>
      <c r="CX124" s="446"/>
      <c r="CY124" s="446"/>
      <c r="CZ124" s="446"/>
      <c r="DA124" s="446"/>
      <c r="DB124" s="446"/>
      <c r="DC124" s="446"/>
      <c r="DD124" s="446"/>
      <c r="DE124" s="446"/>
      <c r="DF124" s="446"/>
      <c r="DG124" s="446"/>
      <c r="DH124" s="446"/>
      <c r="DI124" s="446"/>
      <c r="DJ124" s="446"/>
      <c r="DK124" s="446"/>
      <c r="DL124" s="446"/>
      <c r="DM124" s="446"/>
      <c r="DN124" s="446"/>
      <c r="DO124" s="446"/>
    </row>
    <row r="125" spans="4:132" s="258" customFormat="1" ht="14.25" hidden="1" customHeight="1" x14ac:dyDescent="0.2">
      <c r="O125" s="783"/>
      <c r="P125" s="783"/>
      <c r="Q125" s="784"/>
      <c r="R125" s="784"/>
      <c r="S125" s="785"/>
      <c r="T125" s="783"/>
      <c r="U125" s="783"/>
      <c r="V125" s="783"/>
      <c r="W125" s="783"/>
      <c r="X125" s="783"/>
      <c r="AD125" s="257"/>
      <c r="BU125" s="257"/>
      <c r="BZ125" s="446"/>
      <c r="CA125" s="446"/>
      <c r="CB125" s="446"/>
      <c r="CC125" s="446"/>
      <c r="CD125" s="446"/>
      <c r="CE125" s="446"/>
      <c r="CF125" s="446"/>
      <c r="CG125" s="446"/>
      <c r="CH125" s="446"/>
      <c r="CI125" s="446"/>
      <c r="CJ125" s="446"/>
      <c r="CK125" s="446"/>
      <c r="CL125" s="446"/>
      <c r="CM125" s="446"/>
      <c r="CN125" s="446"/>
      <c r="CO125" s="446"/>
      <c r="CP125" s="446"/>
      <c r="CQ125" s="446"/>
      <c r="CR125" s="446"/>
      <c r="CS125" s="446"/>
      <c r="CT125" s="446"/>
      <c r="CU125" s="446"/>
      <c r="CV125" s="446"/>
      <c r="CW125" s="634"/>
      <c r="CX125" s="446"/>
      <c r="CY125" s="446"/>
      <c r="CZ125" s="446"/>
      <c r="DA125" s="446"/>
      <c r="DB125" s="446"/>
      <c r="DC125" s="446"/>
      <c r="DD125" s="446"/>
      <c r="DE125" s="446"/>
      <c r="DF125" s="446"/>
      <c r="DG125" s="446"/>
      <c r="DH125" s="446"/>
      <c r="DI125" s="446"/>
      <c r="DJ125" s="446"/>
      <c r="DK125" s="446"/>
      <c r="DL125" s="446"/>
      <c r="DM125" s="446"/>
      <c r="DN125" s="446"/>
      <c r="DO125" s="446"/>
    </row>
    <row r="126" spans="4:132" s="258" customFormat="1" ht="14.25" hidden="1" customHeight="1" x14ac:dyDescent="0.2">
      <c r="O126" s="786"/>
      <c r="P126" s="786"/>
      <c r="Q126" s="786"/>
      <c r="R126" s="786"/>
      <c r="S126" s="787"/>
      <c r="T126" s="786"/>
      <c r="U126" s="786"/>
      <c r="V126" s="786"/>
      <c r="W126" s="786"/>
      <c r="X126" s="786"/>
      <c r="Y126" s="786"/>
      <c r="Z126" s="786"/>
      <c r="AA126" s="786"/>
      <c r="AB126" s="786"/>
      <c r="AC126" s="786"/>
      <c r="AD126" s="786"/>
      <c r="AE126" s="786"/>
      <c r="AF126" s="786"/>
      <c r="AG126" s="786"/>
      <c r="BU126" s="257"/>
      <c r="BZ126" s="446"/>
      <c r="CA126" s="446"/>
      <c r="CB126" s="446"/>
      <c r="CC126" s="446"/>
      <c r="CD126" s="446"/>
      <c r="CE126" s="446"/>
      <c r="CF126" s="446"/>
      <c r="CG126" s="446"/>
      <c r="CH126" s="446"/>
      <c r="CI126" s="446"/>
      <c r="CJ126" s="446"/>
      <c r="CK126" s="446"/>
      <c r="CL126" s="446"/>
      <c r="CM126" s="446"/>
      <c r="CN126" s="446"/>
      <c r="CO126" s="446"/>
      <c r="CP126" s="446"/>
      <c r="CQ126" s="446"/>
      <c r="CR126" s="446"/>
      <c r="CS126" s="446"/>
      <c r="CT126" s="446"/>
      <c r="CU126" s="446"/>
      <c r="CV126" s="446"/>
      <c r="CW126" s="634"/>
      <c r="CX126" s="446"/>
      <c r="CY126" s="446"/>
      <c r="CZ126" s="446"/>
      <c r="DA126" s="446"/>
      <c r="DB126" s="446"/>
      <c r="DC126" s="446"/>
      <c r="DD126" s="446"/>
      <c r="DE126" s="446"/>
      <c r="DF126" s="446"/>
      <c r="DG126" s="446"/>
      <c r="DH126" s="446"/>
      <c r="DI126" s="446"/>
      <c r="DJ126" s="446"/>
      <c r="DK126" s="446"/>
      <c r="DL126" s="446"/>
      <c r="DM126" s="446"/>
      <c r="DN126" s="446"/>
      <c r="DO126" s="446"/>
    </row>
    <row r="127" spans="4:132" s="258" customFormat="1" ht="14.25" hidden="1" customHeight="1" x14ac:dyDescent="0.2">
      <c r="O127" s="788"/>
      <c r="P127" s="788"/>
      <c r="Q127" s="788"/>
      <c r="R127" s="788"/>
      <c r="S127" s="768"/>
      <c r="T127" s="788"/>
      <c r="U127" s="788"/>
      <c r="V127" s="788"/>
      <c r="W127" s="788"/>
      <c r="X127" s="788"/>
      <c r="Y127" s="788"/>
      <c r="Z127" s="788"/>
      <c r="AA127" s="788"/>
      <c r="AB127" s="788"/>
      <c r="AC127" s="788"/>
      <c r="AD127" s="788"/>
      <c r="AE127" s="788"/>
      <c r="AF127" s="788"/>
      <c r="AG127" s="788"/>
      <c r="BU127" s="257"/>
      <c r="BZ127" s="446"/>
      <c r="CA127" s="446"/>
      <c r="CB127" s="446"/>
      <c r="CC127" s="446"/>
      <c r="CD127" s="446"/>
      <c r="CE127" s="446"/>
      <c r="CF127" s="446"/>
      <c r="CG127" s="446"/>
      <c r="CH127" s="446"/>
      <c r="CI127" s="446"/>
      <c r="CJ127" s="446"/>
      <c r="CK127" s="446"/>
      <c r="CL127" s="446"/>
      <c r="CM127" s="446"/>
      <c r="CN127" s="446"/>
      <c r="CO127" s="446"/>
      <c r="CP127" s="446"/>
      <c r="CQ127" s="446"/>
      <c r="CR127" s="446"/>
      <c r="CS127" s="446"/>
      <c r="CT127" s="446"/>
      <c r="CU127" s="446"/>
      <c r="CV127" s="446"/>
      <c r="CW127" s="634"/>
      <c r="CX127" s="446"/>
      <c r="CY127" s="446"/>
      <c r="CZ127" s="446"/>
      <c r="DA127" s="446"/>
      <c r="DB127" s="446"/>
      <c r="DC127" s="446"/>
      <c r="DD127" s="446"/>
      <c r="DE127" s="446"/>
      <c r="DF127" s="446"/>
      <c r="DG127" s="446"/>
      <c r="DH127" s="446"/>
      <c r="DI127" s="446"/>
      <c r="DJ127" s="446"/>
      <c r="DK127" s="446"/>
      <c r="DL127" s="446"/>
      <c r="DM127" s="446"/>
      <c r="DN127" s="446"/>
      <c r="DO127" s="446"/>
    </row>
    <row r="128" spans="4:132" s="229" customFormat="1" ht="14.25" hidden="1" customHeight="1" x14ac:dyDescent="0.2">
      <c r="D128" s="789"/>
      <c r="E128" s="789"/>
      <c r="F128" s="789"/>
      <c r="G128" s="789"/>
      <c r="H128" s="789"/>
      <c r="I128" s="789"/>
      <c r="J128" s="789"/>
      <c r="K128" s="789"/>
      <c r="L128" s="789"/>
      <c r="M128" s="789"/>
      <c r="N128" s="789"/>
      <c r="O128" s="790"/>
      <c r="P128" s="790"/>
      <c r="Q128" s="790"/>
      <c r="R128" s="791"/>
      <c r="S128" s="766"/>
      <c r="T128" s="790"/>
      <c r="U128" s="790"/>
      <c r="V128" s="790"/>
      <c r="W128" s="790"/>
      <c r="X128" s="790"/>
      <c r="Y128" s="790"/>
      <c r="Z128" s="790"/>
      <c r="AA128" s="790"/>
      <c r="AB128" s="790"/>
      <c r="AC128" s="790"/>
      <c r="AD128" s="790"/>
      <c r="AE128" s="790"/>
      <c r="AF128" s="790"/>
      <c r="AG128" s="790"/>
      <c r="AH128" s="258"/>
      <c r="AI128" s="258"/>
      <c r="AJ128" s="258"/>
      <c r="AK128" s="258"/>
      <c r="AL128" s="258"/>
      <c r="AM128" s="258"/>
      <c r="AN128" s="258"/>
      <c r="AO128" s="258"/>
      <c r="AP128" s="258"/>
      <c r="AQ128" s="258"/>
      <c r="AR128" s="258"/>
      <c r="AS128" s="258"/>
      <c r="AT128" s="258"/>
      <c r="AU128" s="258"/>
      <c r="AV128" s="258"/>
      <c r="AW128" s="258"/>
      <c r="AX128" s="258"/>
      <c r="AY128" s="258"/>
      <c r="AZ128" s="258"/>
      <c r="BA128" s="258"/>
      <c r="BB128" s="258"/>
      <c r="BC128" s="258"/>
      <c r="BD128" s="258"/>
      <c r="BE128" s="258"/>
      <c r="BF128" s="258"/>
      <c r="BG128" s="258"/>
      <c r="BH128" s="258"/>
      <c r="BI128" s="258"/>
      <c r="BJ128" s="258"/>
      <c r="BK128" s="258"/>
      <c r="BL128" s="258"/>
      <c r="BM128" s="258"/>
      <c r="BN128" s="258"/>
      <c r="BO128" s="258"/>
      <c r="BP128" s="258"/>
      <c r="BQ128" s="258"/>
      <c r="BR128" s="258"/>
      <c r="BS128" s="258"/>
      <c r="BT128" s="258"/>
      <c r="BU128" s="257"/>
      <c r="BV128" s="258"/>
      <c r="BW128" s="258"/>
      <c r="BX128" s="258"/>
      <c r="BY128" s="258"/>
      <c r="BZ128" s="446"/>
      <c r="CA128" s="446"/>
      <c r="CB128" s="446"/>
      <c r="CC128" s="446"/>
      <c r="CD128" s="446"/>
      <c r="CE128" s="446"/>
      <c r="CF128" s="446"/>
      <c r="CG128" s="446"/>
      <c r="CH128" s="446"/>
      <c r="CI128" s="446"/>
      <c r="CJ128" s="446"/>
      <c r="CK128" s="446"/>
      <c r="CL128" s="446"/>
      <c r="CM128" s="446"/>
      <c r="CN128" s="446"/>
      <c r="CO128" s="446"/>
      <c r="CP128" s="446"/>
      <c r="CQ128" s="446"/>
      <c r="CR128" s="446"/>
      <c r="CS128" s="446"/>
      <c r="CT128" s="446"/>
      <c r="CU128" s="446"/>
      <c r="CV128" s="446"/>
      <c r="CW128" s="233"/>
      <c r="CX128" s="446"/>
      <c r="CY128" s="446"/>
      <c r="CZ128" s="446"/>
      <c r="DA128" s="446"/>
      <c r="DB128" s="446"/>
      <c r="DC128" s="446"/>
      <c r="DD128" s="446"/>
      <c r="DE128" s="446"/>
      <c r="DF128" s="446"/>
      <c r="DG128" s="446"/>
      <c r="DH128" s="446"/>
      <c r="DI128" s="446"/>
      <c r="DJ128" s="446"/>
      <c r="DK128" s="446"/>
      <c r="DL128" s="446"/>
      <c r="DM128" s="446"/>
      <c r="DN128" s="446"/>
      <c r="DO128" s="446"/>
      <c r="DP128" s="258"/>
      <c r="DQ128" s="258"/>
      <c r="DR128" s="258"/>
      <c r="DS128" s="258"/>
      <c r="DT128" s="258"/>
      <c r="DU128" s="258"/>
      <c r="DV128" s="258"/>
      <c r="DW128" s="258"/>
      <c r="DX128" s="258"/>
      <c r="DY128" s="258"/>
      <c r="DZ128" s="792"/>
    </row>
    <row r="129" spans="2:132" s="229" customFormat="1" ht="13.7" hidden="1" customHeight="1" x14ac:dyDescent="0.2">
      <c r="D129" s="793" t="s">
        <v>214</v>
      </c>
      <c r="E129" s="793"/>
      <c r="F129" s="793">
        <f>IF(D143&gt;0,D143,0)</f>
        <v>0</v>
      </c>
      <c r="G129" s="793">
        <f>IF(D144&gt;0,D144,0)</f>
        <v>0</v>
      </c>
      <c r="H129" s="793">
        <f>IF(D145&gt;0,D145,0)</f>
        <v>0</v>
      </c>
      <c r="I129" s="793">
        <f>IF(D146&gt;0,D146,0)</f>
        <v>0</v>
      </c>
      <c r="J129" s="793">
        <f>IF(D147&gt;0,D147,0)</f>
        <v>0</v>
      </c>
      <c r="K129" s="793">
        <f>IF(D148&gt;0,D148,0)</f>
        <v>0</v>
      </c>
      <c r="L129" s="793">
        <f>IF(D149&gt;0,D149,0)</f>
        <v>0</v>
      </c>
      <c r="M129" s="793">
        <f>IF(D150&gt;0,D150,0)</f>
        <v>0</v>
      </c>
      <c r="N129" s="793">
        <f>IF(D151&gt;0,D151,0)</f>
        <v>0</v>
      </c>
      <c r="O129" s="793">
        <f>IF(D152&gt;0,D152,0)</f>
        <v>0</v>
      </c>
      <c r="P129" s="793">
        <f>IF(D153&gt;0,D153,0)</f>
        <v>0</v>
      </c>
      <c r="Q129" s="793">
        <f>IF(D154&gt;0,D154,0)</f>
        <v>0</v>
      </c>
      <c r="R129" s="794"/>
      <c r="S129" s="795">
        <f>IF(D155&gt;0,D155,0)</f>
        <v>0</v>
      </c>
      <c r="T129" s="795">
        <f>IF(D156&gt;0,D156,0)</f>
        <v>0</v>
      </c>
      <c r="U129" s="795">
        <f>IF(D157&gt;0,D157,0)</f>
        <v>0</v>
      </c>
      <c r="V129" s="795">
        <f>IF(D158&gt;0,D158,0)</f>
        <v>0</v>
      </c>
      <c r="W129" s="795">
        <f>IF(D159&gt;0,D159,0)</f>
        <v>0</v>
      </c>
      <c r="X129" s="795">
        <f>IF(D160&gt;0,D160,0)</f>
        <v>0</v>
      </c>
      <c r="Y129" s="795">
        <f>IF(D161&gt;0,D161,0)</f>
        <v>0</v>
      </c>
      <c r="Z129" s="795">
        <f>IF(D162&gt;0,D162,0)</f>
        <v>0</v>
      </c>
      <c r="AA129" s="795">
        <f>IF(D163&gt;0,D163,0)</f>
        <v>0</v>
      </c>
      <c r="AB129" s="795">
        <f>IF(D164&gt;0,D164,0)</f>
        <v>0</v>
      </c>
      <c r="AC129" s="795">
        <f>IF(D165&gt;0,D165,0)</f>
        <v>0</v>
      </c>
      <c r="AD129" s="795">
        <f>IF(D166&gt;0,D166,0)</f>
        <v>0</v>
      </c>
      <c r="AE129" s="258"/>
      <c r="AF129" s="258"/>
      <c r="AG129" s="258"/>
      <c r="AH129" s="258"/>
      <c r="AI129" s="258"/>
      <c r="AJ129" s="258"/>
      <c r="AK129" s="258"/>
      <c r="AL129" s="258"/>
      <c r="AM129" s="258"/>
      <c r="AN129" s="258"/>
      <c r="AO129" s="258"/>
      <c r="AP129" s="258"/>
      <c r="AQ129" s="258"/>
      <c r="AR129" s="258"/>
      <c r="AS129" s="258"/>
      <c r="AT129" s="258"/>
      <c r="AU129" s="258"/>
      <c r="AV129" s="258"/>
      <c r="AW129" s="258"/>
      <c r="AX129" s="258"/>
      <c r="AY129" s="258"/>
      <c r="AZ129" s="258"/>
      <c r="BA129" s="258"/>
      <c r="BB129" s="258"/>
      <c r="BC129" s="258"/>
      <c r="BD129" s="258"/>
      <c r="BE129" s="258"/>
      <c r="BF129" s="258"/>
      <c r="BG129" s="258"/>
      <c r="BH129" s="258"/>
      <c r="BI129" s="258"/>
      <c r="BJ129" s="258"/>
      <c r="BK129" s="258"/>
      <c r="BL129" s="258"/>
      <c r="BM129" s="258"/>
      <c r="BN129" s="258"/>
      <c r="BO129" s="258"/>
      <c r="BP129" s="258"/>
      <c r="BQ129" s="258"/>
      <c r="BR129" s="258"/>
      <c r="BS129" s="258"/>
      <c r="BT129" s="258"/>
      <c r="BU129" s="257"/>
      <c r="BV129" s="258"/>
      <c r="BW129" s="258"/>
      <c r="BX129" s="258"/>
      <c r="BY129" s="258"/>
      <c r="BZ129" s="446"/>
      <c r="CA129" s="446"/>
      <c r="CB129" s="446"/>
      <c r="CC129" s="446"/>
      <c r="CD129" s="446"/>
      <c r="CE129" s="446"/>
      <c r="CF129" s="446"/>
      <c r="CG129" s="446"/>
      <c r="CH129" s="446"/>
      <c r="CI129" s="446"/>
      <c r="CJ129" s="446"/>
      <c r="CK129" s="446"/>
      <c r="CL129" s="446"/>
      <c r="CM129" s="446"/>
      <c r="CN129" s="446"/>
      <c r="CO129" s="446"/>
      <c r="CP129" s="446"/>
      <c r="CQ129" s="446"/>
      <c r="CR129" s="446"/>
      <c r="CS129" s="446"/>
      <c r="CT129" s="446"/>
      <c r="CU129" s="446"/>
      <c r="CV129" s="446"/>
      <c r="CW129" s="233"/>
      <c r="CX129" s="446"/>
      <c r="CY129" s="446"/>
      <c r="CZ129" s="446"/>
      <c r="DA129" s="446"/>
      <c r="DB129" s="446"/>
      <c r="DC129" s="446"/>
      <c r="DD129" s="446"/>
      <c r="DE129" s="446"/>
      <c r="DF129" s="446"/>
      <c r="DG129" s="446"/>
      <c r="DH129" s="446"/>
      <c r="DI129" s="446"/>
      <c r="DJ129" s="446"/>
      <c r="DK129" s="446"/>
      <c r="DL129" s="446"/>
      <c r="DM129" s="446"/>
      <c r="DN129" s="446"/>
      <c r="DO129" s="446"/>
      <c r="DP129" s="258"/>
      <c r="DQ129" s="258"/>
      <c r="DR129" s="258"/>
      <c r="DS129" s="258"/>
      <c r="DT129" s="258"/>
      <c r="DU129" s="258"/>
      <c r="DV129" s="258"/>
      <c r="DW129" s="258"/>
      <c r="DX129" s="258"/>
      <c r="DY129" s="258"/>
      <c r="DZ129" s="792"/>
    </row>
    <row r="130" spans="2:132" s="229" customFormat="1" ht="14.25" hidden="1" customHeight="1" x14ac:dyDescent="0.2">
      <c r="D130" s="796" t="s">
        <v>190</v>
      </c>
      <c r="E130" s="797">
        <f ca="1">B142</f>
        <v>2017</v>
      </c>
      <c r="F130" s="796">
        <f t="shared" ref="F130:L130" ca="1" si="9">$E$130+INT(E131/12)</f>
        <v>2017</v>
      </c>
      <c r="G130" s="796">
        <f t="shared" ca="1" si="9"/>
        <v>2017</v>
      </c>
      <c r="H130" s="796">
        <f t="shared" ca="1" si="9"/>
        <v>2017</v>
      </c>
      <c r="I130" s="796">
        <f t="shared" ca="1" si="9"/>
        <v>2017</v>
      </c>
      <c r="J130" s="796">
        <f t="shared" ca="1" si="9"/>
        <v>2017</v>
      </c>
      <c r="K130" s="796">
        <f t="shared" ca="1" si="9"/>
        <v>2017</v>
      </c>
      <c r="L130" s="796">
        <f t="shared" ca="1" si="9"/>
        <v>2017</v>
      </c>
      <c r="M130" s="796">
        <f ca="1">$E$130+INT(M131/12)</f>
        <v>2017</v>
      </c>
      <c r="N130" s="796">
        <f ca="1">$E$130+INT(M131/12)</f>
        <v>2017</v>
      </c>
      <c r="O130" s="796">
        <f ca="1">$E$130+INT(N131/12)</f>
        <v>2017</v>
      </c>
      <c r="P130" s="796">
        <f ca="1">$E$130+INT(O131/12)</f>
        <v>2017</v>
      </c>
      <c r="Q130" s="796">
        <f ca="1">$E$130+INT(P131/12)</f>
        <v>2017</v>
      </c>
      <c r="R130" s="798"/>
      <c r="S130" s="799">
        <f ca="1">$E$130+INT(Q131/12)</f>
        <v>2018</v>
      </c>
      <c r="T130" s="796">
        <f t="shared" ref="T130:AD130" ca="1" si="10">$E$130+INT(S131/12)</f>
        <v>2018</v>
      </c>
      <c r="U130" s="796">
        <f t="shared" ca="1" si="10"/>
        <v>2018</v>
      </c>
      <c r="V130" s="796">
        <f t="shared" ca="1" si="10"/>
        <v>2018</v>
      </c>
      <c r="W130" s="796">
        <f t="shared" ca="1" si="10"/>
        <v>2018</v>
      </c>
      <c r="X130" s="796">
        <f t="shared" ca="1" si="10"/>
        <v>2018</v>
      </c>
      <c r="Y130" s="796">
        <f t="shared" ca="1" si="10"/>
        <v>2018</v>
      </c>
      <c r="Z130" s="796">
        <f t="shared" ca="1" si="10"/>
        <v>2018</v>
      </c>
      <c r="AA130" s="796">
        <f t="shared" ca="1" si="10"/>
        <v>2018</v>
      </c>
      <c r="AB130" s="796">
        <f t="shared" ca="1" si="10"/>
        <v>2018</v>
      </c>
      <c r="AC130" s="796">
        <f t="shared" ca="1" si="10"/>
        <v>2018</v>
      </c>
      <c r="AD130" s="796">
        <f t="shared" ca="1" si="10"/>
        <v>2018</v>
      </c>
      <c r="AE130" s="258"/>
      <c r="AF130" s="258"/>
      <c r="AG130" s="258"/>
      <c r="AH130" s="258"/>
      <c r="AI130" s="258"/>
      <c r="AJ130" s="258"/>
      <c r="AK130" s="258"/>
      <c r="AL130" s="258"/>
      <c r="AM130" s="258"/>
      <c r="AN130" s="258"/>
      <c r="AO130" s="258"/>
      <c r="AR130" s="258"/>
      <c r="AS130" s="258"/>
      <c r="AT130" s="258"/>
      <c r="AU130" s="258"/>
      <c r="AV130" s="258"/>
      <c r="AW130" s="258"/>
      <c r="AX130" s="258"/>
      <c r="AY130" s="258"/>
      <c r="AZ130" s="258"/>
      <c r="BA130" s="258"/>
      <c r="BB130" s="258"/>
      <c r="BC130" s="258"/>
      <c r="BD130" s="258"/>
      <c r="BE130" s="258"/>
      <c r="BF130" s="258"/>
      <c r="BG130" s="258"/>
      <c r="BH130" s="258"/>
      <c r="BI130" s="258"/>
      <c r="BJ130" s="258"/>
      <c r="BK130" s="258"/>
      <c r="BL130" s="258"/>
      <c r="BM130" s="258"/>
      <c r="BN130" s="258"/>
      <c r="BO130" s="258"/>
      <c r="BP130" s="258"/>
      <c r="BQ130" s="258"/>
      <c r="BR130" s="258"/>
      <c r="BS130" s="258"/>
      <c r="BT130" s="258"/>
      <c r="BU130" s="257"/>
      <c r="BV130" s="258"/>
      <c r="BW130" s="258"/>
      <c r="BX130" s="258"/>
      <c r="BY130" s="258"/>
      <c r="BZ130" s="446"/>
      <c r="CA130" s="446"/>
      <c r="CB130" s="446"/>
      <c r="CC130" s="446"/>
      <c r="CD130" s="446"/>
      <c r="CE130" s="446"/>
      <c r="CF130" s="446"/>
      <c r="CG130" s="446"/>
      <c r="CH130" s="446"/>
      <c r="CI130" s="446"/>
      <c r="CJ130" s="446"/>
      <c r="CK130" s="446"/>
      <c r="CL130" s="446"/>
      <c r="CM130" s="446"/>
      <c r="CN130" s="446"/>
      <c r="CO130" s="446"/>
      <c r="CP130" s="446"/>
      <c r="CQ130" s="446"/>
      <c r="CR130" s="446"/>
      <c r="CS130" s="446"/>
      <c r="CT130" s="446"/>
      <c r="CU130" s="446"/>
      <c r="CV130" s="446"/>
      <c r="CW130" s="233"/>
      <c r="CX130" s="446"/>
      <c r="CY130" s="446"/>
      <c r="CZ130" s="446"/>
      <c r="DA130" s="446"/>
      <c r="DB130" s="446"/>
      <c r="DC130" s="446"/>
      <c r="DD130" s="446"/>
      <c r="DE130" s="446"/>
      <c r="DF130" s="446"/>
      <c r="DG130" s="446"/>
      <c r="DH130" s="446"/>
      <c r="DI130" s="446"/>
      <c r="DJ130" s="446"/>
      <c r="DK130" s="446"/>
      <c r="DL130" s="446"/>
      <c r="DM130" s="446"/>
      <c r="DN130" s="446"/>
      <c r="DO130" s="446"/>
      <c r="DP130" s="258"/>
      <c r="DQ130" s="258"/>
      <c r="DR130" s="258"/>
      <c r="DS130" s="258"/>
      <c r="DT130" s="258"/>
      <c r="DU130" s="258"/>
      <c r="DV130" s="258"/>
      <c r="DW130" s="258"/>
      <c r="DX130" s="258"/>
      <c r="DY130" s="258"/>
      <c r="DZ130" s="792"/>
    </row>
    <row r="131" spans="2:132" s="229" customFormat="1" ht="14.25" hidden="1" customHeight="1" x14ac:dyDescent="0.2">
      <c r="D131" s="796" t="s">
        <v>197</v>
      </c>
      <c r="E131" s="796">
        <v>0</v>
      </c>
      <c r="F131" s="796">
        <v>1</v>
      </c>
      <c r="G131" s="796">
        <v>2</v>
      </c>
      <c r="H131" s="796">
        <v>3</v>
      </c>
      <c r="I131" s="796">
        <v>4</v>
      </c>
      <c r="J131" s="796">
        <v>5</v>
      </c>
      <c r="K131" s="796">
        <v>6</v>
      </c>
      <c r="L131" s="796">
        <v>7</v>
      </c>
      <c r="M131" s="796">
        <v>8</v>
      </c>
      <c r="N131" s="796">
        <v>9</v>
      </c>
      <c r="O131" s="796">
        <v>10</v>
      </c>
      <c r="P131" s="796">
        <v>11</v>
      </c>
      <c r="Q131" s="796">
        <v>12</v>
      </c>
      <c r="R131" s="798"/>
      <c r="S131" s="799">
        <v>13</v>
      </c>
      <c r="T131" s="796">
        <v>14</v>
      </c>
      <c r="U131" s="796">
        <v>15</v>
      </c>
      <c r="V131" s="796">
        <v>16</v>
      </c>
      <c r="W131" s="796">
        <v>17</v>
      </c>
      <c r="X131" s="796">
        <v>18</v>
      </c>
      <c r="Y131" s="796">
        <v>19</v>
      </c>
      <c r="Z131" s="796">
        <v>20</v>
      </c>
      <c r="AA131" s="796">
        <v>21</v>
      </c>
      <c r="AB131" s="796">
        <v>22</v>
      </c>
      <c r="AC131" s="796">
        <v>23</v>
      </c>
      <c r="AD131" s="796">
        <v>24</v>
      </c>
      <c r="AE131" s="258"/>
      <c r="AF131" s="258"/>
      <c r="AG131" s="258"/>
      <c r="AH131" s="258"/>
      <c r="AI131" s="258"/>
      <c r="AJ131" s="258"/>
      <c r="AK131" s="258"/>
      <c r="AL131" s="258"/>
      <c r="AM131" s="258"/>
      <c r="AN131" s="258"/>
      <c r="AO131" s="258"/>
      <c r="AR131" s="258"/>
      <c r="AS131" s="258"/>
      <c r="AT131" s="258"/>
      <c r="AU131" s="258"/>
      <c r="AV131" s="258"/>
      <c r="AW131" s="258"/>
      <c r="AX131" s="258"/>
      <c r="AY131" s="258"/>
      <c r="AZ131" s="258"/>
      <c r="BA131" s="258"/>
      <c r="BB131" s="258"/>
      <c r="BC131" s="258"/>
      <c r="BD131" s="258"/>
      <c r="BE131" s="258"/>
      <c r="BF131" s="258"/>
      <c r="BG131" s="258"/>
      <c r="BH131" s="258"/>
      <c r="BI131" s="258"/>
      <c r="BJ131" s="258"/>
      <c r="BK131" s="258"/>
      <c r="BL131" s="258"/>
      <c r="BM131" s="258"/>
      <c r="BN131" s="258"/>
      <c r="BO131" s="258"/>
      <c r="BP131" s="258"/>
      <c r="BQ131" s="258"/>
      <c r="BR131" s="258"/>
      <c r="BS131" s="258"/>
      <c r="BT131" s="258"/>
      <c r="BU131" s="257"/>
      <c r="BV131" s="258"/>
      <c r="BW131" s="258"/>
      <c r="BX131" s="258"/>
      <c r="BY131" s="258"/>
      <c r="BZ131" s="446"/>
      <c r="CA131" s="446"/>
      <c r="CB131" s="446"/>
      <c r="CC131" s="446"/>
      <c r="CD131" s="446"/>
      <c r="CE131" s="446"/>
      <c r="CF131" s="446"/>
      <c r="CG131" s="446"/>
      <c r="CH131" s="446"/>
      <c r="CI131" s="446"/>
      <c r="CJ131" s="446"/>
      <c r="CK131" s="446"/>
      <c r="CL131" s="446"/>
      <c r="CM131" s="446"/>
      <c r="CN131" s="446"/>
      <c r="CO131" s="446"/>
      <c r="CP131" s="446"/>
      <c r="CQ131" s="446"/>
      <c r="CR131" s="446"/>
      <c r="CS131" s="446"/>
      <c r="CT131" s="446"/>
      <c r="CU131" s="446"/>
      <c r="CV131" s="446"/>
      <c r="CW131" s="233"/>
      <c r="CX131" s="446"/>
      <c r="CY131" s="446"/>
      <c r="CZ131" s="446"/>
      <c r="DA131" s="446"/>
      <c r="DB131" s="446"/>
      <c r="DC131" s="446"/>
      <c r="DD131" s="446"/>
      <c r="DE131" s="446"/>
      <c r="DF131" s="446"/>
      <c r="DG131" s="446"/>
      <c r="DH131" s="446"/>
      <c r="DI131" s="446"/>
      <c r="DJ131" s="446"/>
      <c r="DK131" s="446"/>
      <c r="DL131" s="446"/>
      <c r="DM131" s="446"/>
      <c r="DN131" s="446"/>
      <c r="DO131" s="446"/>
      <c r="DP131" s="258"/>
      <c r="DQ131" s="258"/>
      <c r="DR131" s="258"/>
      <c r="DS131" s="258"/>
      <c r="DT131" s="258"/>
      <c r="DU131" s="258"/>
      <c r="DV131" s="258"/>
      <c r="DW131" s="258"/>
      <c r="DX131" s="258"/>
      <c r="DY131" s="258"/>
      <c r="DZ131" s="792"/>
    </row>
    <row r="132" spans="2:132" s="219" customFormat="1" ht="14.25" hidden="1" customHeight="1" x14ac:dyDescent="0.2">
      <c r="F132" s="251"/>
      <c r="S132" s="800"/>
      <c r="AU132" s="258"/>
      <c r="AV132" s="258"/>
      <c r="AW132" s="258"/>
      <c r="AX132" s="258"/>
      <c r="AY132" s="258"/>
      <c r="AZ132" s="258"/>
      <c r="BA132" s="258"/>
      <c r="BB132" s="258"/>
      <c r="BC132" s="258"/>
      <c r="BD132" s="258"/>
      <c r="BE132" s="258"/>
      <c r="BF132" s="258"/>
      <c r="BG132" s="258"/>
      <c r="BH132" s="258"/>
      <c r="BI132" s="258"/>
      <c r="BJ132" s="258"/>
      <c r="BK132" s="258"/>
      <c r="BL132" s="258"/>
      <c r="BM132" s="258"/>
      <c r="BN132" s="258"/>
      <c r="BO132" s="258"/>
      <c r="BP132" s="258"/>
      <c r="BQ132" s="258"/>
      <c r="BR132" s="258"/>
      <c r="BS132" s="258"/>
      <c r="BT132" s="258"/>
      <c r="BU132" s="257"/>
      <c r="BV132" s="258"/>
      <c r="BW132" s="258"/>
      <c r="BX132" s="258"/>
      <c r="BY132" s="258"/>
      <c r="BZ132" s="446"/>
      <c r="CA132" s="446"/>
      <c r="CB132" s="446"/>
      <c r="CC132" s="446"/>
      <c r="CD132" s="446"/>
      <c r="CE132" s="446"/>
      <c r="CF132" s="446"/>
      <c r="CG132" s="446"/>
      <c r="CH132" s="446"/>
      <c r="CI132" s="446"/>
      <c r="CJ132" s="446"/>
      <c r="CK132" s="446"/>
      <c r="CL132" s="446"/>
      <c r="CM132" s="446"/>
      <c r="CN132" s="446"/>
      <c r="CO132" s="446"/>
      <c r="CP132" s="446"/>
      <c r="CQ132" s="446"/>
      <c r="CR132" s="446"/>
      <c r="CS132" s="446"/>
      <c r="CT132" s="446"/>
      <c r="CU132" s="446"/>
      <c r="CV132" s="446"/>
      <c r="CW132" s="233"/>
      <c r="CX132" s="446"/>
      <c r="CY132" s="446"/>
      <c r="CZ132" s="446"/>
      <c r="DA132" s="446"/>
      <c r="DB132" s="446"/>
      <c r="DC132" s="446"/>
      <c r="DD132" s="446"/>
      <c r="DE132" s="446"/>
      <c r="DF132" s="446"/>
      <c r="DG132" s="446"/>
      <c r="DH132" s="446"/>
      <c r="DI132" s="446"/>
      <c r="DJ132" s="446"/>
      <c r="DK132" s="446"/>
      <c r="DL132" s="446"/>
      <c r="DM132" s="446"/>
      <c r="DN132" s="446"/>
      <c r="DO132" s="446"/>
      <c r="DP132" s="258"/>
      <c r="DQ132" s="258"/>
      <c r="DR132" s="258"/>
      <c r="DS132" s="258"/>
      <c r="DT132" s="258"/>
      <c r="DU132" s="258"/>
      <c r="DV132" s="258"/>
      <c r="DW132" s="258"/>
      <c r="DX132" s="258"/>
      <c r="DY132" s="258"/>
      <c r="DZ132" s="282"/>
      <c r="EA132" s="229"/>
      <c r="EB132" s="229"/>
    </row>
    <row r="133" spans="2:132" s="219" customFormat="1" ht="14.25" hidden="1" customHeight="1" x14ac:dyDescent="0.2">
      <c r="G133" s="801" t="str">
        <f>$C$14</f>
        <v>Beteiligung</v>
      </c>
      <c r="H133" s="802">
        <f>IF($D$14&lt;&gt;"",$D$14,IF($F$14&lt;&gt;"",$F$14,IF($H$14&lt;&gt;"",$H$14,IF($J$14&lt;&gt;"",$J$14,IF($L$14&lt;&gt;"",$L$14,0)))))</f>
        <v>0</v>
      </c>
      <c r="I133" s="803" t="s">
        <v>186</v>
      </c>
      <c r="J133" s="801" t="str">
        <f>$C$16</f>
        <v xml:space="preserve">Kontokorrent Kredit </v>
      </c>
      <c r="K133" s="802">
        <f>IF($D$16&lt;&gt;"",$D$16,IF($F$16&lt;&gt;"",$F$16,IF($H$16&lt;&gt;"",$H$16,IF($J$16&lt;&gt;"",$J$16,IF($L$16&lt;&gt;"",$L$16,0)))))</f>
        <v>0</v>
      </c>
      <c r="L133" s="804" t="s">
        <v>186</v>
      </c>
      <c r="M133" s="801" t="str">
        <f>$C$18</f>
        <v>Kurzfristige Darlehen</v>
      </c>
      <c r="N133" s="802">
        <f>IF($D$18&lt;&gt;"",$D$18,IF($F$18&lt;&gt;"",$F$18,IF($H$18&lt;&gt;"",$H$18,IF($J$18&lt;&gt;"",$J$18,IF($L$18&lt;&gt;"",$L$18,0)))))</f>
        <v>0</v>
      </c>
      <c r="O133" s="804" t="s">
        <v>186</v>
      </c>
      <c r="P133" s="801" t="str">
        <f>$C$21</f>
        <v>Öffentliche Förderdarlehen</v>
      </c>
      <c r="Q133" s="802">
        <f>IF($D$21&lt;&gt;"",$D$21,IF($F$21&lt;&gt;"",$F$21,IF($H$21&lt;&gt;"",$H$21,IF($J$21&lt;&gt;"",$J$21,IF($L$21&lt;&gt;"",$L$21,0)))))</f>
        <v>0</v>
      </c>
      <c r="S133" s="278" t="s">
        <v>186</v>
      </c>
      <c r="T133" s="801" t="str">
        <f>$C$22</f>
        <v>KfW  Programm</v>
      </c>
      <c r="U133" s="802">
        <f>IF($D$22&lt;&gt;"",$D$22,IF($F$22&lt;&gt;"",$F$22,IF($H$22&lt;&gt;"",$H$22,IF($J$22&lt;&gt;"",$J$22,IF($L$22&lt;&gt;"",$L$22,0)))))</f>
        <v>0</v>
      </c>
      <c r="V133" s="805" t="s">
        <v>186</v>
      </c>
      <c r="W133" s="801" t="str">
        <f>$C$23</f>
        <v>L - Bank-Darlehen</v>
      </c>
      <c r="X133" s="802">
        <f>IF($D$23&lt;&gt;"",$D$23,IF($F$23&lt;&gt;"",$F$23,IF($H$23&lt;&gt;"",$H$23,IF($J$23&lt;&gt;"",$J$23,IF($L$23&lt;&gt;"",$L$23,0)))))</f>
        <v>0</v>
      </c>
      <c r="Y133" s="805" t="s">
        <v>186</v>
      </c>
      <c r="Z133" s="801" t="str">
        <f>$C$24</f>
        <v xml:space="preserve">Bürgschaftsbank- Darlehen </v>
      </c>
      <c r="AA133" s="802">
        <f>IF($D$24&lt;&gt;"",$D$24,IF($F$24&lt;&gt;"",$F$24,IF($H$24&lt;&gt;"",$H$24,IF($J$24&lt;&gt;"",$J$24,IF($L$24&lt;&gt;"",$L$24,0)))))</f>
        <v>0</v>
      </c>
      <c r="AB133" s="805" t="s">
        <v>186</v>
      </c>
      <c r="AC133" s="801" t="str">
        <f>$C$25</f>
        <v>Haus -  Bank-Darlehen</v>
      </c>
      <c r="AD133" s="802">
        <f>IF($D$25&lt;&gt;"",$D$25,IF($F$25&lt;&gt;"",$F$25,IF($H$25&lt;&gt;"",$H$25,IF($J$25&lt;&gt;"",$J$25,IF($L$25&lt;&gt;"",$L$25,0)))))</f>
        <v>0</v>
      </c>
      <c r="AE133" s="805" t="s">
        <v>186</v>
      </c>
      <c r="AF133" s="801" t="str">
        <f>C26</f>
        <v>Privat -  Darlehen</v>
      </c>
      <c r="AG133" s="802">
        <f>IF($D$26&lt;&gt;"",$D$26,IF($F$26&lt;&gt;"",$F$26,IF($H$26&lt;&gt;"",$H$26,IF($J$26&lt;&gt;"",$J$26,IF($L$26&lt;&gt;"",$L$26,0)))))</f>
        <v>0</v>
      </c>
      <c r="AH133" s="805" t="s">
        <v>186</v>
      </c>
      <c r="AI133" s="806" t="str">
        <f>C27</f>
        <v>Sonstige</v>
      </c>
      <c r="AJ133" s="802">
        <f>IF($D$27&lt;&gt;"",$D$27,IF($F$27&lt;&gt;"",$F$27,IF($H$27&lt;&gt;"",$H$27,IF($J$27&lt;&gt;"",$J$27,IF($L$27&lt;&gt;"",$L$27,0)))))</f>
        <v>0</v>
      </c>
      <c r="AK133" s="805" t="s">
        <v>186</v>
      </c>
      <c r="AL133" s="801" t="str">
        <f>$C$10</f>
        <v>Eigenkapital</v>
      </c>
      <c r="AM133" s="802">
        <f>$D$10</f>
        <v>0</v>
      </c>
      <c r="AN133" s="805" t="s">
        <v>186</v>
      </c>
      <c r="AO133" s="801" t="str">
        <f>$C$12</f>
        <v>Eigenleistung</v>
      </c>
      <c r="AP133" s="802">
        <f>$D$12</f>
        <v>0</v>
      </c>
      <c r="AQ133" s="805" t="s">
        <v>186</v>
      </c>
      <c r="AU133" s="258"/>
      <c r="AV133" s="258"/>
      <c r="AW133" s="258"/>
      <c r="AX133" s="258"/>
      <c r="AY133" s="258"/>
      <c r="AZ133" s="258"/>
      <c r="BA133" s="258"/>
      <c r="BB133" s="258"/>
      <c r="BC133" s="258"/>
      <c r="BD133" s="258"/>
      <c r="BE133" s="258"/>
      <c r="BF133" s="258"/>
      <c r="BG133" s="258"/>
      <c r="BH133" s="258"/>
      <c r="BI133" s="258"/>
      <c r="BJ133" s="258"/>
      <c r="BK133" s="258"/>
      <c r="BL133" s="258"/>
      <c r="BM133" s="258"/>
      <c r="BN133" s="258"/>
      <c r="BO133" s="258"/>
      <c r="BP133" s="258"/>
      <c r="BQ133" s="258"/>
      <c r="BR133" s="258"/>
      <c r="BS133" s="258"/>
      <c r="BT133" s="258"/>
      <c r="BU133" s="257"/>
      <c r="BV133" s="258"/>
      <c r="BW133" s="258"/>
      <c r="BX133" s="258"/>
      <c r="BY133" s="258"/>
      <c r="BZ133" s="446"/>
      <c r="CA133" s="446"/>
      <c r="CB133" s="446"/>
      <c r="CC133" s="446"/>
      <c r="CD133" s="446"/>
      <c r="CE133" s="446"/>
      <c r="CF133" s="446"/>
      <c r="CG133" s="446"/>
      <c r="CH133" s="446"/>
      <c r="CI133" s="446"/>
      <c r="CJ133" s="446"/>
      <c r="CK133" s="446"/>
      <c r="CL133" s="446"/>
      <c r="CM133" s="446"/>
      <c r="CN133" s="446"/>
      <c r="CO133" s="446"/>
      <c r="CP133" s="446"/>
      <c r="CQ133" s="446"/>
      <c r="CR133" s="446"/>
      <c r="CS133" s="446"/>
      <c r="CT133" s="446"/>
      <c r="CU133" s="446"/>
      <c r="CV133" s="446"/>
      <c r="CW133" s="233"/>
      <c r="CX133" s="446"/>
      <c r="CY133" s="446"/>
      <c r="CZ133" s="446"/>
      <c r="DA133" s="446"/>
      <c r="DB133" s="446"/>
      <c r="DC133" s="446"/>
      <c r="DD133" s="446"/>
      <c r="DE133" s="446"/>
      <c r="DF133" s="446"/>
      <c r="DG133" s="446"/>
      <c r="DH133" s="446"/>
      <c r="DI133" s="446"/>
      <c r="DJ133" s="446"/>
      <c r="DK133" s="446"/>
      <c r="DL133" s="446"/>
      <c r="DM133" s="446"/>
      <c r="DN133" s="446"/>
      <c r="DO133" s="446"/>
      <c r="DP133" s="258"/>
      <c r="DQ133" s="258"/>
      <c r="DR133" s="258"/>
      <c r="DS133" s="258"/>
      <c r="DT133" s="258"/>
      <c r="DU133" s="258"/>
      <c r="DV133" s="258"/>
      <c r="DW133" s="258"/>
      <c r="DX133" s="258"/>
      <c r="DY133" s="258"/>
      <c r="DZ133" s="282"/>
      <c r="EA133" s="229"/>
      <c r="EB133" s="229"/>
    </row>
    <row r="134" spans="2:132" s="219" customFormat="1" ht="14.25" hidden="1" customHeight="1" x14ac:dyDescent="0.2">
      <c r="G134" s="807"/>
      <c r="H134" s="808">
        <f>IF($P$14&lt;&gt;"",$P$14,0)</f>
        <v>0</v>
      </c>
      <c r="I134" s="803" t="s">
        <v>196</v>
      </c>
      <c r="J134" s="807"/>
      <c r="K134" s="808">
        <f>IF($P$16&lt;&gt;"",$P$16,0)</f>
        <v>0</v>
      </c>
      <c r="L134" s="805" t="s">
        <v>196</v>
      </c>
      <c r="M134" s="807"/>
      <c r="N134" s="808">
        <f>IF($P$18&lt;&gt;"",$P$18,0)</f>
        <v>0</v>
      </c>
      <c r="O134" s="805" t="s">
        <v>196</v>
      </c>
      <c r="P134" s="807"/>
      <c r="Q134" s="808">
        <f>IF($P$21&lt;&gt;"",$P$21,0)</f>
        <v>0</v>
      </c>
      <c r="S134" s="278" t="s">
        <v>196</v>
      </c>
      <c r="T134" s="809"/>
      <c r="U134" s="808">
        <f>IF($P$22&lt;&gt;"",$P$22,0)</f>
        <v>0</v>
      </c>
      <c r="V134" s="805" t="s">
        <v>196</v>
      </c>
      <c r="W134" s="809"/>
      <c r="X134" s="808">
        <f>IF($P$23&lt;&gt;"",$P$23,0)</f>
        <v>0</v>
      </c>
      <c r="Y134" s="805" t="s">
        <v>196</v>
      </c>
      <c r="Z134" s="809"/>
      <c r="AA134" s="808">
        <f>IF($P$24&lt;&gt;"",$P$24,0)</f>
        <v>0</v>
      </c>
      <c r="AB134" s="805" t="s">
        <v>196</v>
      </c>
      <c r="AC134" s="809"/>
      <c r="AD134" s="808">
        <f>IF($P$25&lt;&gt;"",$P$25,0)</f>
        <v>0</v>
      </c>
      <c r="AE134" s="805" t="s">
        <v>196</v>
      </c>
      <c r="AF134" s="809"/>
      <c r="AG134" s="808">
        <f>IF($P$26&lt;&gt;"",$P$26,0)</f>
        <v>0</v>
      </c>
      <c r="AH134" s="805" t="s">
        <v>196</v>
      </c>
      <c r="AI134" s="809"/>
      <c r="AJ134" s="808">
        <f>IF($P$27&lt;&gt;"",$P$27,0)</f>
        <v>0</v>
      </c>
      <c r="AK134" s="805" t="s">
        <v>196</v>
      </c>
      <c r="AL134" s="809"/>
      <c r="AM134" s="808">
        <v>0</v>
      </c>
      <c r="AN134" s="805"/>
      <c r="AO134" s="809"/>
      <c r="AP134" s="808">
        <v>0</v>
      </c>
      <c r="AQ134" s="805"/>
      <c r="AU134" s="258"/>
      <c r="AV134" s="258"/>
      <c r="AW134" s="258"/>
      <c r="AX134" s="258"/>
      <c r="AY134" s="258"/>
      <c r="AZ134" s="258"/>
      <c r="BA134" s="258"/>
      <c r="BB134" s="258"/>
      <c r="BC134" s="258"/>
      <c r="BD134" s="258"/>
      <c r="BE134" s="258"/>
      <c r="BF134" s="258"/>
      <c r="BG134" s="258"/>
      <c r="BH134" s="258"/>
      <c r="BI134" s="258"/>
      <c r="BJ134" s="258"/>
      <c r="BK134" s="258"/>
      <c r="BL134" s="258"/>
      <c r="BM134" s="258"/>
      <c r="BN134" s="258"/>
      <c r="BO134" s="258"/>
      <c r="BP134" s="258"/>
      <c r="BQ134" s="258"/>
      <c r="BR134" s="258"/>
      <c r="BS134" s="258"/>
      <c r="BT134" s="258"/>
      <c r="BU134" s="257"/>
      <c r="BV134" s="258"/>
      <c r="BW134" s="258"/>
      <c r="BX134" s="258"/>
      <c r="BY134" s="258"/>
      <c r="BZ134" s="446"/>
      <c r="CA134" s="446"/>
      <c r="CB134" s="446"/>
      <c r="CC134" s="446"/>
      <c r="CD134" s="446"/>
      <c r="CE134" s="446"/>
      <c r="CF134" s="446"/>
      <c r="CG134" s="446"/>
      <c r="CH134" s="446"/>
      <c r="CI134" s="446"/>
      <c r="CJ134" s="446"/>
      <c r="CK134" s="446"/>
      <c r="CL134" s="446"/>
      <c r="CM134" s="446"/>
      <c r="CN134" s="446"/>
      <c r="CO134" s="446"/>
      <c r="CP134" s="446"/>
      <c r="CQ134" s="446"/>
      <c r="CR134" s="446"/>
      <c r="CS134" s="446"/>
      <c r="CT134" s="446"/>
      <c r="CU134" s="446"/>
      <c r="CV134" s="446"/>
      <c r="CW134" s="233"/>
      <c r="CX134" s="446"/>
      <c r="CY134" s="446"/>
      <c r="CZ134" s="446"/>
      <c r="DA134" s="446"/>
      <c r="DB134" s="446"/>
      <c r="DC134" s="446"/>
      <c r="DD134" s="446"/>
      <c r="DE134" s="446"/>
      <c r="DF134" s="446"/>
      <c r="DG134" s="446"/>
      <c r="DH134" s="446"/>
      <c r="DI134" s="446"/>
      <c r="DJ134" s="446"/>
      <c r="DK134" s="446"/>
      <c r="DL134" s="446"/>
      <c r="DM134" s="446"/>
      <c r="DN134" s="446"/>
      <c r="DO134" s="446"/>
      <c r="DP134" s="258"/>
      <c r="DQ134" s="258"/>
      <c r="DR134" s="258"/>
      <c r="DS134" s="258"/>
      <c r="DT134" s="258"/>
      <c r="DU134" s="258"/>
      <c r="DV134" s="258"/>
      <c r="DW134" s="258"/>
      <c r="DX134" s="258"/>
      <c r="DY134" s="258"/>
      <c r="DZ134" s="282"/>
      <c r="EA134" s="229"/>
      <c r="EB134" s="229"/>
    </row>
    <row r="135" spans="2:132" s="219" customFormat="1" ht="14.25" hidden="1" customHeight="1" x14ac:dyDescent="0.2">
      <c r="G135" s="807"/>
      <c r="H135" s="810">
        <f>IF($N$14="",0,$N$14)</f>
        <v>0</v>
      </c>
      <c r="I135" s="803" t="s">
        <v>90</v>
      </c>
      <c r="J135" s="807"/>
      <c r="K135" s="810">
        <f>IF($N$16="",0,$N$16)</f>
        <v>0</v>
      </c>
      <c r="L135" s="805" t="s">
        <v>90</v>
      </c>
      <c r="M135" s="807"/>
      <c r="N135" s="810">
        <f>IF($N$18="",0,$N$18)</f>
        <v>0</v>
      </c>
      <c r="O135" s="805" t="s">
        <v>90</v>
      </c>
      <c r="P135" s="807"/>
      <c r="Q135" s="810">
        <f>IF($N$21="",0,$N$21)</f>
        <v>0</v>
      </c>
      <c r="S135" s="278" t="s">
        <v>90</v>
      </c>
      <c r="T135" s="809"/>
      <c r="U135" s="810">
        <f>IF($N$22="",0,$N$22)</f>
        <v>0</v>
      </c>
      <c r="V135" s="805" t="s">
        <v>90</v>
      </c>
      <c r="W135" s="809"/>
      <c r="X135" s="810">
        <f>IF($N$23="",0,$N$23)</f>
        <v>0</v>
      </c>
      <c r="Y135" s="805" t="s">
        <v>90</v>
      </c>
      <c r="Z135" s="809"/>
      <c r="AA135" s="810">
        <f>IF($N$24="",0,$N$24)</f>
        <v>0</v>
      </c>
      <c r="AB135" s="805" t="s">
        <v>90</v>
      </c>
      <c r="AC135" s="809"/>
      <c r="AD135" s="810">
        <f>IF($N$25="",0,$N$25)</f>
        <v>0</v>
      </c>
      <c r="AE135" s="805" t="s">
        <v>90</v>
      </c>
      <c r="AF135" s="809"/>
      <c r="AG135" s="810">
        <f>IF($N$26="",0,$N$26)</f>
        <v>0</v>
      </c>
      <c r="AH135" s="805" t="s">
        <v>90</v>
      </c>
      <c r="AI135" s="809"/>
      <c r="AJ135" s="810">
        <f>IF($N$27="",0,$N$27)</f>
        <v>0</v>
      </c>
      <c r="AK135" s="805" t="s">
        <v>90</v>
      </c>
      <c r="AL135" s="809"/>
      <c r="AM135" s="810">
        <v>0</v>
      </c>
      <c r="AN135" s="805"/>
      <c r="AO135" s="809"/>
      <c r="AP135" s="810">
        <v>0</v>
      </c>
      <c r="AQ135" s="805"/>
      <c r="AU135" s="258"/>
      <c r="AV135" s="258"/>
      <c r="AW135" s="258"/>
      <c r="AX135" s="258"/>
      <c r="AY135" s="258"/>
      <c r="AZ135" s="258"/>
      <c r="BA135" s="258"/>
      <c r="BB135" s="258"/>
      <c r="BC135" s="258"/>
      <c r="BD135" s="258"/>
      <c r="BE135" s="258"/>
      <c r="BF135" s="258"/>
      <c r="BG135" s="258"/>
      <c r="BH135" s="258"/>
      <c r="BI135" s="258"/>
      <c r="BJ135" s="258"/>
      <c r="BK135" s="258"/>
      <c r="BL135" s="258"/>
      <c r="BM135" s="258"/>
      <c r="BN135" s="258"/>
      <c r="BO135" s="258"/>
      <c r="BP135" s="258"/>
      <c r="BQ135" s="258"/>
      <c r="BR135" s="258"/>
      <c r="BS135" s="258"/>
      <c r="BT135" s="258"/>
      <c r="BU135" s="257"/>
      <c r="BV135" s="258"/>
      <c r="BW135" s="258"/>
      <c r="BX135" s="258"/>
      <c r="BY135" s="258"/>
      <c r="BZ135" s="446"/>
      <c r="CA135" s="446"/>
      <c r="CB135" s="446"/>
      <c r="CC135" s="446"/>
      <c r="CD135" s="446"/>
      <c r="CE135" s="446"/>
      <c r="CF135" s="446"/>
      <c r="CG135" s="446"/>
      <c r="CH135" s="446"/>
      <c r="CI135" s="446"/>
      <c r="CJ135" s="446"/>
      <c r="CK135" s="446"/>
      <c r="CL135" s="446"/>
      <c r="CM135" s="446"/>
      <c r="CN135" s="446"/>
      <c r="CO135" s="446"/>
      <c r="CP135" s="446"/>
      <c r="CQ135" s="446"/>
      <c r="CR135" s="446"/>
      <c r="CS135" s="446"/>
      <c r="CT135" s="446"/>
      <c r="CU135" s="446"/>
      <c r="CV135" s="446"/>
      <c r="CW135" s="233"/>
      <c r="CX135" s="446"/>
      <c r="CY135" s="446"/>
      <c r="CZ135" s="446"/>
      <c r="DA135" s="446"/>
      <c r="DB135" s="446"/>
      <c r="DC135" s="446"/>
      <c r="DD135" s="446"/>
      <c r="DE135" s="446"/>
      <c r="DF135" s="446"/>
      <c r="DG135" s="446"/>
      <c r="DH135" s="446"/>
      <c r="DI135" s="446"/>
      <c r="DJ135" s="446"/>
      <c r="DK135" s="446"/>
      <c r="DL135" s="446"/>
      <c r="DM135" s="446"/>
      <c r="DN135" s="446"/>
      <c r="DO135" s="446"/>
      <c r="DP135" s="258"/>
      <c r="DQ135" s="258"/>
      <c r="DR135" s="258"/>
      <c r="DS135" s="258"/>
      <c r="DT135" s="258"/>
      <c r="DU135" s="258"/>
      <c r="DV135" s="258"/>
      <c r="DW135" s="258"/>
      <c r="DX135" s="258"/>
      <c r="DY135" s="258"/>
      <c r="DZ135" s="282"/>
      <c r="EA135" s="229"/>
      <c r="EB135" s="229"/>
    </row>
    <row r="136" spans="2:132" s="219" customFormat="1" ht="14.25" hidden="1" customHeight="1" x14ac:dyDescent="0.2">
      <c r="G136" s="807"/>
      <c r="H136" s="808">
        <f>IF($O$14&lt;&gt;"",$O$14,0)</f>
        <v>0</v>
      </c>
      <c r="I136" s="803" t="s">
        <v>187</v>
      </c>
      <c r="J136" s="807"/>
      <c r="K136" s="808">
        <f>IF($O$16&lt;&gt;"",$O$16,0)</f>
        <v>0</v>
      </c>
      <c r="L136" s="805" t="s">
        <v>187</v>
      </c>
      <c r="M136" s="807"/>
      <c r="N136" s="808">
        <f>IF($O$18&lt;&gt;"",$O$18,0)</f>
        <v>0</v>
      </c>
      <c r="O136" s="805" t="s">
        <v>187</v>
      </c>
      <c r="P136" s="807"/>
      <c r="Q136" s="808">
        <f>IF($O$21&lt;&gt;"",$O$21,0)</f>
        <v>0</v>
      </c>
      <c r="S136" s="278" t="s">
        <v>187</v>
      </c>
      <c r="T136" s="809"/>
      <c r="U136" s="808">
        <f>IF($O$22&lt;&gt;"",$O$22,0)</f>
        <v>0</v>
      </c>
      <c r="V136" s="805" t="s">
        <v>187</v>
      </c>
      <c r="W136" s="809"/>
      <c r="X136" s="808">
        <f>IF($O$23&lt;&gt;"",$O$23,0)</f>
        <v>0</v>
      </c>
      <c r="Y136" s="805" t="s">
        <v>187</v>
      </c>
      <c r="Z136" s="809"/>
      <c r="AA136" s="808">
        <f>IF($O$24&lt;&gt;"",$O$24,0)</f>
        <v>0</v>
      </c>
      <c r="AB136" s="805" t="s">
        <v>187</v>
      </c>
      <c r="AC136" s="809"/>
      <c r="AD136" s="808">
        <f>IF($O$25&lt;&gt;"",$O$25,0)</f>
        <v>0</v>
      </c>
      <c r="AE136" s="805" t="s">
        <v>187</v>
      </c>
      <c r="AF136" s="809"/>
      <c r="AG136" s="808">
        <f>IF($O$26&lt;&gt;"",$O$26,0)</f>
        <v>0</v>
      </c>
      <c r="AH136" s="805" t="s">
        <v>187</v>
      </c>
      <c r="AI136" s="809"/>
      <c r="AJ136" s="808">
        <f>IF($O$27&lt;&gt;"",$O$27,0)</f>
        <v>0</v>
      </c>
      <c r="AK136" s="805" t="s">
        <v>187</v>
      </c>
      <c r="AL136" s="809"/>
      <c r="AM136" s="808">
        <v>0</v>
      </c>
      <c r="AN136" s="805"/>
      <c r="AO136" s="809"/>
      <c r="AP136" s="808">
        <v>0</v>
      </c>
      <c r="AQ136" s="805"/>
      <c r="AU136" s="258"/>
      <c r="AV136" s="258"/>
      <c r="AW136" s="258"/>
      <c r="AX136" s="258"/>
      <c r="AY136" s="258"/>
      <c r="AZ136" s="258"/>
      <c r="BA136" s="258"/>
      <c r="BB136" s="258"/>
      <c r="BC136" s="258"/>
      <c r="BD136" s="258"/>
      <c r="BE136" s="258"/>
      <c r="BF136" s="258"/>
      <c r="BG136" s="258"/>
      <c r="BH136" s="258"/>
      <c r="BI136" s="258"/>
      <c r="BJ136" s="258"/>
      <c r="BK136" s="258"/>
      <c r="BL136" s="258"/>
      <c r="BM136" s="258"/>
      <c r="BN136" s="258"/>
      <c r="BO136" s="258"/>
      <c r="BP136" s="258"/>
      <c r="BQ136" s="258"/>
      <c r="BR136" s="258"/>
      <c r="BS136" s="258"/>
      <c r="BT136" s="258"/>
      <c r="BU136" s="257"/>
      <c r="BV136" s="258"/>
      <c r="BW136" s="258"/>
      <c r="BX136" s="258"/>
      <c r="BY136" s="258"/>
      <c r="BZ136" s="446"/>
      <c r="CA136" s="446"/>
      <c r="CB136" s="446"/>
      <c r="CC136" s="446"/>
      <c r="CD136" s="446"/>
      <c r="CE136" s="446"/>
      <c r="CF136" s="446"/>
      <c r="CG136" s="446"/>
      <c r="CH136" s="446"/>
      <c r="CI136" s="446"/>
      <c r="CJ136" s="446"/>
      <c r="CK136" s="446"/>
      <c r="CL136" s="446"/>
      <c r="CM136" s="446"/>
      <c r="CN136" s="446"/>
      <c r="CO136" s="446"/>
      <c r="CP136" s="446"/>
      <c r="CQ136" s="446"/>
      <c r="CR136" s="446"/>
      <c r="CS136" s="446"/>
      <c r="CT136" s="446"/>
      <c r="CU136" s="446"/>
      <c r="CV136" s="446"/>
      <c r="CW136" s="233"/>
      <c r="CX136" s="446"/>
      <c r="CY136" s="446"/>
      <c r="CZ136" s="446"/>
      <c r="DA136" s="446"/>
      <c r="DB136" s="446"/>
      <c r="DC136" s="446"/>
      <c r="DD136" s="446"/>
      <c r="DE136" s="446"/>
      <c r="DF136" s="446"/>
      <c r="DG136" s="446"/>
      <c r="DH136" s="446"/>
      <c r="DI136" s="446"/>
      <c r="DJ136" s="446"/>
      <c r="DK136" s="446"/>
      <c r="DL136" s="446"/>
      <c r="DM136" s="446"/>
      <c r="DN136" s="446"/>
      <c r="DO136" s="446"/>
      <c r="DP136" s="258"/>
      <c r="DQ136" s="258"/>
      <c r="DR136" s="258"/>
      <c r="DS136" s="258"/>
      <c r="DT136" s="258"/>
      <c r="DU136" s="258"/>
      <c r="DV136" s="258"/>
      <c r="DW136" s="258"/>
      <c r="DX136" s="258"/>
      <c r="DY136" s="258"/>
      <c r="DZ136" s="282"/>
      <c r="EA136" s="229"/>
      <c r="EB136" s="229"/>
    </row>
    <row r="137" spans="2:132" s="219" customFormat="1" ht="14.25" hidden="1" customHeight="1" x14ac:dyDescent="0.2">
      <c r="G137" s="807"/>
      <c r="H137" s="811">
        <f>IF($D$14&lt;&gt;"",$D$7,IF($F$14&lt;&gt;"",$F$7,IF($H$14&lt;&gt;"",$H$7,IF($J$14&lt;&gt;"",$J$7,IF($L$14&lt;&gt;"",$L$7,0)))))</f>
        <v>0</v>
      </c>
      <c r="I137" s="803" t="s">
        <v>195</v>
      </c>
      <c r="J137" s="807"/>
      <c r="K137" s="811">
        <f>IF($D$16&lt;&gt;"",$D$7,IF($F$16&lt;&gt;"",$F$7,IF($H$16&lt;&gt;"",$H$7,IF($J$16&lt;&gt;"",$J$7,IF($L$16&lt;&gt;"",$L$7,0)))))</f>
        <v>0</v>
      </c>
      <c r="L137" s="805" t="s">
        <v>195</v>
      </c>
      <c r="M137" s="807"/>
      <c r="N137" s="811">
        <f>IF($D$18&lt;&gt;"",$D$7,IF($F$18&lt;&gt;"",$F$7,IF($H$18&lt;&gt;"",$H$7,IF($J$18&lt;&gt;"",$J$7,IF($L$18&lt;&gt;"",$L$7,0)))))</f>
        <v>0</v>
      </c>
      <c r="O137" s="805" t="s">
        <v>195</v>
      </c>
      <c r="P137" s="807"/>
      <c r="Q137" s="811">
        <f>IF($D$21&lt;&gt;"",$D$7,IF($F$21&lt;&gt;"",$F$7,IF($H$21&lt;&gt;"",$H$7,IF($J$21&lt;&gt;"",$J$7,IF($L$21&lt;&gt;"",$L$7,0)))))</f>
        <v>0</v>
      </c>
      <c r="S137" s="278" t="s">
        <v>195</v>
      </c>
      <c r="T137" s="809"/>
      <c r="U137" s="811">
        <f>IF($D$22&lt;&gt;"",$D$7,IF($F$22&lt;&gt;"",$F$7,IF($H$22&lt;&gt;"",$H$7,IF($J$22&lt;&gt;"",$J$7,IF($L$22&lt;&gt;"",$L$7,0)))))</f>
        <v>0</v>
      </c>
      <c r="V137" s="805" t="s">
        <v>195</v>
      </c>
      <c r="W137" s="809"/>
      <c r="X137" s="811">
        <f>IF($D$23&lt;&gt;"",$D$7,IF($F$23&lt;&gt;"",$F$7,IF($H$23&lt;&gt;"",$H$7,IF($J$23&lt;&gt;"",$J$7,IF($L$23&lt;&gt;"",$L$7,0)))))</f>
        <v>0</v>
      </c>
      <c r="Y137" s="805" t="s">
        <v>195</v>
      </c>
      <c r="Z137" s="809"/>
      <c r="AA137" s="811">
        <f>IF($D$24&lt;&gt;"",$D$7,IF($F$24&lt;&gt;"",$F$7,IF($H$24&lt;&gt;"",$H$7,IF($J$24&lt;&gt;"",$J$7,IF($L$24&lt;&gt;"",$L$7,0)))))</f>
        <v>0</v>
      </c>
      <c r="AB137" s="805" t="s">
        <v>195</v>
      </c>
      <c r="AC137" s="809"/>
      <c r="AD137" s="811">
        <f>IF($D$25&lt;&gt;"",$D$7,IF($F$25&lt;&gt;"",$F$7,IF($H$25&lt;&gt;"",$H$7,IF($J$25&lt;&gt;"",$J$7,IF($L$25&lt;&gt;"",$L$7,0)))))</f>
        <v>0</v>
      </c>
      <c r="AE137" s="805" t="s">
        <v>195</v>
      </c>
      <c r="AF137" s="809"/>
      <c r="AG137" s="811">
        <f>IF($D$26&lt;&gt;"",$D$7,IF($F$26&lt;&gt;"",$F$7,IF($H$26&lt;&gt;"",$H$7,IF($J$26&lt;&gt;"",$J$7,IF($L$26&lt;&gt;"",$L$7,0)))))</f>
        <v>0</v>
      </c>
      <c r="AH137" s="805" t="s">
        <v>195</v>
      </c>
      <c r="AI137" s="809"/>
      <c r="AJ137" s="811">
        <f>IF($D$27&lt;&gt;"",$D$7,IF($F$27&lt;&gt;"",$F$7,IF($H$27&lt;&gt;"",$H$7,IF($J$27&lt;&gt;"",$J$7,IF($L$27&lt;&gt;"",$L$7,0)))))</f>
        <v>0</v>
      </c>
      <c r="AK137" s="805" t="s">
        <v>195</v>
      </c>
      <c r="AL137" s="809"/>
      <c r="AM137" s="811">
        <f ca="1">$B$142</f>
        <v>2017</v>
      </c>
      <c r="AN137" s="805" t="s">
        <v>195</v>
      </c>
      <c r="AO137" s="809"/>
      <c r="AP137" s="811">
        <f ca="1">$B$142</f>
        <v>2017</v>
      </c>
      <c r="AQ137" s="805" t="s">
        <v>195</v>
      </c>
      <c r="AU137" s="258"/>
      <c r="AV137" s="258"/>
      <c r="AW137" s="258"/>
      <c r="AX137" s="258"/>
      <c r="AY137" s="258"/>
      <c r="AZ137" s="258"/>
      <c r="BA137" s="258"/>
      <c r="BB137" s="258"/>
      <c r="BC137" s="258"/>
      <c r="BD137" s="258"/>
      <c r="BE137" s="258"/>
      <c r="BF137" s="258"/>
      <c r="BG137" s="258"/>
      <c r="BH137" s="258"/>
      <c r="BI137" s="258"/>
      <c r="BJ137" s="258"/>
      <c r="BK137" s="258"/>
      <c r="BL137" s="258"/>
      <c r="BM137" s="258"/>
      <c r="BN137" s="258"/>
      <c r="BO137" s="258"/>
      <c r="BP137" s="258"/>
      <c r="BQ137" s="258"/>
      <c r="BR137" s="258"/>
      <c r="BS137" s="258"/>
      <c r="BT137" s="258"/>
      <c r="BU137" s="257"/>
      <c r="BV137" s="258"/>
      <c r="BW137" s="258"/>
      <c r="BX137" s="258"/>
      <c r="BY137" s="258"/>
      <c r="BZ137" s="446"/>
      <c r="CA137" s="446"/>
      <c r="CB137" s="446"/>
      <c r="CC137" s="446"/>
      <c r="CD137" s="446"/>
      <c r="CE137" s="446"/>
      <c r="CF137" s="446"/>
      <c r="CG137" s="446"/>
      <c r="CH137" s="446"/>
      <c r="CI137" s="446"/>
      <c r="CJ137" s="446"/>
      <c r="CK137" s="446"/>
      <c r="CL137" s="446"/>
      <c r="CM137" s="446"/>
      <c r="CN137" s="446"/>
      <c r="CO137" s="446"/>
      <c r="CP137" s="446"/>
      <c r="CQ137" s="446"/>
      <c r="CR137" s="446"/>
      <c r="CS137" s="446"/>
      <c r="CT137" s="446"/>
      <c r="CU137" s="446"/>
      <c r="CV137" s="446"/>
      <c r="CW137" s="233"/>
      <c r="CX137" s="446"/>
      <c r="CY137" s="446"/>
      <c r="CZ137" s="446"/>
      <c r="DA137" s="446"/>
      <c r="DB137" s="446"/>
      <c r="DC137" s="446"/>
      <c r="DD137" s="446"/>
      <c r="DE137" s="446"/>
      <c r="DF137" s="446"/>
      <c r="DG137" s="446"/>
      <c r="DH137" s="446"/>
      <c r="DI137" s="446"/>
      <c r="DJ137" s="446"/>
      <c r="DK137" s="446"/>
      <c r="DL137" s="446"/>
      <c r="DM137" s="446"/>
      <c r="DN137" s="446"/>
      <c r="DO137" s="446"/>
      <c r="DP137" s="258"/>
      <c r="DQ137" s="258"/>
      <c r="DR137" s="258"/>
      <c r="DS137" s="258"/>
      <c r="DT137" s="258"/>
      <c r="DU137" s="258"/>
      <c r="DV137" s="258"/>
      <c r="DW137" s="258"/>
      <c r="DX137" s="258"/>
      <c r="DY137" s="258"/>
      <c r="DZ137" s="282"/>
      <c r="EA137" s="229"/>
      <c r="EB137" s="229"/>
    </row>
    <row r="138" spans="2:132" s="219" customFormat="1" ht="14.25" hidden="1" customHeight="1" x14ac:dyDescent="0.2">
      <c r="G138" s="807"/>
      <c r="H138" s="811">
        <f>IF($H$133=0,0,$H$140+H$136)</f>
        <v>0</v>
      </c>
      <c r="I138" s="803" t="s">
        <v>188</v>
      </c>
      <c r="J138" s="807"/>
      <c r="K138" s="811">
        <f>IF($K$133=0,0,$K$140+$K$136)</f>
        <v>0</v>
      </c>
      <c r="L138" s="805" t="s">
        <v>188</v>
      </c>
      <c r="M138" s="807"/>
      <c r="N138" s="811">
        <f>IF($N$133=0,0,$N$140+$N$136)</f>
        <v>0</v>
      </c>
      <c r="O138" s="805" t="s">
        <v>188</v>
      </c>
      <c r="P138" s="807"/>
      <c r="Q138" s="811">
        <f>IF($Q$133=0,0,$Q$140+$Q$136)</f>
        <v>0</v>
      </c>
      <c r="S138" s="278" t="s">
        <v>188</v>
      </c>
      <c r="T138" s="809"/>
      <c r="U138" s="811">
        <f>IF($U$133=0,0,$U$140+$U$136)</f>
        <v>0</v>
      </c>
      <c r="V138" s="805" t="s">
        <v>188</v>
      </c>
      <c r="W138" s="809"/>
      <c r="X138" s="811">
        <f>IF($X$133=0,0,$X$140+$X$136)</f>
        <v>0</v>
      </c>
      <c r="Y138" s="805" t="s">
        <v>188</v>
      </c>
      <c r="Z138" s="809"/>
      <c r="AA138" s="811">
        <f>IF($AA$133=0,0,$AA$140+$AA$136)</f>
        <v>0</v>
      </c>
      <c r="AB138" s="805" t="s">
        <v>188</v>
      </c>
      <c r="AC138" s="809"/>
      <c r="AD138" s="811">
        <f>IF($AD$133=0,0,$AD$140+$AD$136)</f>
        <v>0</v>
      </c>
      <c r="AE138" s="805" t="s">
        <v>188</v>
      </c>
      <c r="AF138" s="809"/>
      <c r="AG138" s="811">
        <f>IF($AG$133=0,0,$AG$140+$AG$136)</f>
        <v>0</v>
      </c>
      <c r="AH138" s="805" t="s">
        <v>188</v>
      </c>
      <c r="AI138" s="809"/>
      <c r="AJ138" s="811">
        <f>IF($AJ$133=0,0,$AJ$140+$AJ$136)</f>
        <v>0</v>
      </c>
      <c r="AK138" s="805" t="s">
        <v>188</v>
      </c>
      <c r="AL138" s="809"/>
      <c r="AM138" s="811">
        <f>AM140</f>
        <v>0</v>
      </c>
      <c r="AN138" s="805"/>
      <c r="AO138" s="809"/>
      <c r="AP138" s="811">
        <f>AP140</f>
        <v>0</v>
      </c>
      <c r="AQ138" s="805"/>
      <c r="AU138" s="258"/>
      <c r="AV138" s="258"/>
      <c r="AW138" s="258"/>
      <c r="AX138" s="258"/>
      <c r="AY138" s="258"/>
      <c r="AZ138" s="258"/>
      <c r="BA138" s="258"/>
      <c r="BB138" s="258"/>
      <c r="BC138" s="258"/>
      <c r="BD138" s="258"/>
      <c r="BE138" s="258"/>
      <c r="BF138" s="258"/>
      <c r="BG138" s="258"/>
      <c r="BH138" s="258"/>
      <c r="BI138" s="258"/>
      <c r="BJ138" s="258"/>
      <c r="BK138" s="258"/>
      <c r="BL138" s="258"/>
      <c r="BM138" s="258"/>
      <c r="BN138" s="258"/>
      <c r="BO138" s="258"/>
      <c r="BP138" s="258"/>
      <c r="BQ138" s="258"/>
      <c r="BR138" s="258"/>
      <c r="BS138" s="258"/>
      <c r="BT138" s="258"/>
      <c r="BU138" s="257"/>
      <c r="BV138" s="258"/>
      <c r="BW138" s="258"/>
      <c r="BX138" s="258"/>
      <c r="BY138" s="258"/>
      <c r="BZ138" s="446"/>
      <c r="CA138" s="446"/>
      <c r="CB138" s="446"/>
      <c r="CC138" s="446"/>
      <c r="CD138" s="446"/>
      <c r="CE138" s="446"/>
      <c r="CF138" s="446"/>
      <c r="CG138" s="446"/>
      <c r="CH138" s="446"/>
      <c r="CI138" s="446"/>
      <c r="CJ138" s="446"/>
      <c r="CK138" s="446"/>
      <c r="CL138" s="446"/>
      <c r="CM138" s="446"/>
      <c r="CN138" s="446"/>
      <c r="CO138" s="446"/>
      <c r="CP138" s="446"/>
      <c r="CQ138" s="446"/>
      <c r="CR138" s="446"/>
      <c r="CS138" s="446"/>
      <c r="CT138" s="446"/>
      <c r="CU138" s="446"/>
      <c r="CV138" s="446"/>
      <c r="CW138" s="233"/>
      <c r="CX138" s="446"/>
      <c r="CY138" s="446"/>
      <c r="CZ138" s="446"/>
      <c r="DA138" s="446"/>
      <c r="DB138" s="446"/>
      <c r="DC138" s="446"/>
      <c r="DD138" s="446"/>
      <c r="DE138" s="446"/>
      <c r="DF138" s="446"/>
      <c r="DG138" s="446"/>
      <c r="DH138" s="446"/>
      <c r="DI138" s="446"/>
      <c r="DJ138" s="446"/>
      <c r="DK138" s="446"/>
      <c r="DL138" s="446"/>
      <c r="DM138" s="446"/>
      <c r="DN138" s="446"/>
      <c r="DO138" s="446"/>
      <c r="DP138" s="258"/>
      <c r="DQ138" s="258"/>
      <c r="DR138" s="258"/>
      <c r="DS138" s="258"/>
      <c r="DT138" s="258"/>
      <c r="DU138" s="258"/>
      <c r="DV138" s="258"/>
      <c r="DW138" s="258"/>
      <c r="DX138" s="258"/>
      <c r="DY138" s="258"/>
      <c r="DZ138" s="282"/>
      <c r="EA138" s="229"/>
      <c r="EB138" s="229"/>
    </row>
    <row r="139" spans="2:132" s="219" customFormat="1" ht="14.25" hidden="1" customHeight="1" x14ac:dyDescent="0.2">
      <c r="G139" s="807"/>
      <c r="H139" s="811">
        <f>IF($H$133=0,0,$H$140+$H$136-1+$H$134*12)</f>
        <v>0</v>
      </c>
      <c r="I139" s="803" t="s">
        <v>189</v>
      </c>
      <c r="J139" s="807"/>
      <c r="K139" s="811">
        <f>IF($K$133=0,0,$K$140+$K$136-1+$K$134*12)</f>
        <v>0</v>
      </c>
      <c r="L139" s="805" t="s">
        <v>189</v>
      </c>
      <c r="M139" s="807"/>
      <c r="N139" s="811">
        <f>IF($N$133=0,0,$N$140+$N$136-1+$N$134*12)</f>
        <v>0</v>
      </c>
      <c r="O139" s="805" t="s">
        <v>189</v>
      </c>
      <c r="P139" s="807"/>
      <c r="Q139" s="811">
        <f>IF($Q$133=0,0,$Q$140+$Q$136-1+$Q$134*12)</f>
        <v>0</v>
      </c>
      <c r="S139" s="278" t="s">
        <v>189</v>
      </c>
      <c r="T139" s="809"/>
      <c r="U139" s="811">
        <f>IF($U$133=0,0,$U$140+$U$136-1+$U$134*12)</f>
        <v>0</v>
      </c>
      <c r="V139" s="805" t="s">
        <v>189</v>
      </c>
      <c r="W139" s="809"/>
      <c r="X139" s="811">
        <f>IF($X$133=0,0,$X$140+$X$136-1+$X$134*12)</f>
        <v>0</v>
      </c>
      <c r="Y139" s="805" t="s">
        <v>189</v>
      </c>
      <c r="Z139" s="809"/>
      <c r="AA139" s="811">
        <f>IF($AA$133=0,0,$AA$140+$AA$136-1+$AA$134*12)</f>
        <v>0</v>
      </c>
      <c r="AB139" s="805" t="s">
        <v>189</v>
      </c>
      <c r="AC139" s="809"/>
      <c r="AD139" s="811">
        <f>IF($AD$133=0,0,$AD$140+$AD$136-1+$AD$134*12)</f>
        <v>0</v>
      </c>
      <c r="AE139" s="805" t="s">
        <v>189</v>
      </c>
      <c r="AF139" s="809"/>
      <c r="AG139" s="811">
        <f>IF($AG$133=0,0,$AG$140+$AG$136-1+$AG$134*12)</f>
        <v>0</v>
      </c>
      <c r="AH139" s="805" t="s">
        <v>189</v>
      </c>
      <c r="AI139" s="809"/>
      <c r="AJ139" s="811">
        <f>IF($AJ$133=0,0,$AJ$140+$AJ$136-1+$AJ$134*12)</f>
        <v>0</v>
      </c>
      <c r="AK139" s="805" t="s">
        <v>189</v>
      </c>
      <c r="AL139" s="809"/>
      <c r="AM139" s="811">
        <f>AM140</f>
        <v>0</v>
      </c>
      <c r="AN139" s="805"/>
      <c r="AO139" s="809"/>
      <c r="AP139" s="811"/>
      <c r="AQ139" s="805"/>
      <c r="AU139" s="258"/>
      <c r="AV139" s="258"/>
      <c r="AW139" s="258"/>
      <c r="AX139" s="258"/>
      <c r="AY139" s="258"/>
      <c r="AZ139" s="258"/>
      <c r="BA139" s="258"/>
      <c r="BB139" s="258"/>
      <c r="BC139" s="258"/>
      <c r="BD139" s="258"/>
      <c r="BE139" s="258"/>
      <c r="BF139" s="258"/>
      <c r="BG139" s="258"/>
      <c r="BH139" s="258"/>
      <c r="BI139" s="258"/>
      <c r="BJ139" s="258"/>
      <c r="BK139" s="258"/>
      <c r="BL139" s="258"/>
      <c r="BM139" s="258"/>
      <c r="BN139" s="258"/>
      <c r="BO139" s="258"/>
      <c r="BP139" s="258"/>
      <c r="BQ139" s="258"/>
      <c r="BR139" s="258"/>
      <c r="BS139" s="258"/>
      <c r="BT139" s="258"/>
      <c r="BU139" s="257"/>
      <c r="BV139" s="258"/>
      <c r="BW139" s="258"/>
      <c r="BX139" s="258"/>
      <c r="BY139" s="258"/>
      <c r="BZ139" s="446"/>
      <c r="CA139" s="446"/>
      <c r="CB139" s="446"/>
      <c r="CC139" s="446"/>
      <c r="CD139" s="446"/>
      <c r="CE139" s="446"/>
      <c r="CF139" s="446"/>
      <c r="CG139" s="446"/>
      <c r="CH139" s="446"/>
      <c r="CI139" s="446"/>
      <c r="CJ139" s="446"/>
      <c r="CK139" s="446"/>
      <c r="CL139" s="446"/>
      <c r="CM139" s="446"/>
      <c r="CN139" s="446"/>
      <c r="CO139" s="446"/>
      <c r="CP139" s="446"/>
      <c r="CQ139" s="446"/>
      <c r="CR139" s="446"/>
      <c r="CS139" s="446"/>
      <c r="CT139" s="446"/>
      <c r="CU139" s="446"/>
      <c r="CV139" s="446"/>
      <c r="CW139" s="233"/>
      <c r="CX139" s="446"/>
      <c r="CY139" s="446"/>
      <c r="CZ139" s="446"/>
      <c r="DA139" s="446"/>
      <c r="DB139" s="446"/>
      <c r="DC139" s="446"/>
      <c r="DD139" s="446"/>
      <c r="DE139" s="446"/>
      <c r="DF139" s="446"/>
      <c r="DG139" s="446"/>
      <c r="DH139" s="446"/>
      <c r="DI139" s="446"/>
      <c r="DJ139" s="446"/>
      <c r="DK139" s="446"/>
      <c r="DL139" s="446"/>
      <c r="DM139" s="446"/>
      <c r="DN139" s="446"/>
      <c r="DO139" s="446"/>
      <c r="DP139" s="258"/>
      <c r="DQ139" s="258"/>
      <c r="DR139" s="258"/>
      <c r="DS139" s="258"/>
      <c r="DT139" s="258"/>
      <c r="DU139" s="258"/>
      <c r="DV139" s="258"/>
      <c r="DW139" s="258"/>
      <c r="DX139" s="258"/>
      <c r="DY139" s="258"/>
      <c r="DZ139" s="282"/>
      <c r="EA139" s="229"/>
      <c r="EB139" s="229"/>
    </row>
    <row r="140" spans="2:132" s="219" customFormat="1" ht="14.25" hidden="1" customHeight="1" x14ac:dyDescent="0.2">
      <c r="G140" s="807"/>
      <c r="H140" s="812">
        <f>IF($H$133=0,0,IF($D$14&lt;&gt;"",$E$14+($H$137-$B$142)*12,IF($F$14&lt;&gt;"",$G$14+($H$137-$B$142)*12,IF($H$14&lt;&gt;"",$I$14+($H$137-$B$142)*12,IF($J$14&lt;&gt;"",$K$14+($H$137-$B$142)*12,IF($L$14&lt;&gt;"",$M$14+($H$137-$B$142)*12,0))))))</f>
        <v>0</v>
      </c>
      <c r="I140" s="803" t="s">
        <v>192</v>
      </c>
      <c r="J140" s="807"/>
      <c r="K140" s="812">
        <f>IF($K$133=0,0,IF($D$16&lt;&gt;"",$E$16+($K$137-$B$142)*12,IF($F$16&lt;&gt;"",$G$16+($K$137-$B$142)*12,IF($H$16&lt;&gt;"",$I$16+($K$137-$B$142)*12,IF($J$16&lt;&gt;"",$K$16+($K$137-$B$142)*12,IF($L$16&lt;&gt;"",$M$16+($K$137-$B$142)*12,0))))))</f>
        <v>0</v>
      </c>
      <c r="L140" s="805" t="s">
        <v>192</v>
      </c>
      <c r="M140" s="807"/>
      <c r="N140" s="812">
        <f>IF($N$133=0,0,IF($D$18&lt;&gt;"",$E$18+($N$137-$B$142)*12,IF($F$18&lt;&gt;"",$G$18+($N$137-$B$142)*12,IF($H$18&lt;&gt;"",$I$18+($N$137-$B$142)*12,IF($J$18&lt;&gt;"",$K$18+($N$137-$B$142)*12,IF($L$18&lt;&gt;"",$M$18+($N$137-$B$142)*12,0))))))</f>
        <v>0</v>
      </c>
      <c r="O140" s="805" t="s">
        <v>192</v>
      </c>
      <c r="P140" s="807"/>
      <c r="Q140" s="812">
        <f>IF($Q$133=0,0,IF($D$21&lt;&gt;"",$E$21+($Q$137-$B$142)*12,IF($F$21&lt;&gt;"",$G$21+($Q$137-$B$142)*12,IF($H$21&lt;&gt;"",$I$21+($Q$137-$B$142)*12,IF($J$21&lt;&gt;"",$K$21+($Q$137-$B$142)*12,IF($L$21&lt;&gt;"",$M$21+($Q$137-$B$142)*12,0))))))</f>
        <v>0</v>
      </c>
      <c r="S140" s="278" t="s">
        <v>192</v>
      </c>
      <c r="T140" s="809"/>
      <c r="U140" s="812">
        <f>IF($U$133=0,0,IF($D$22&lt;&gt;"",$E$22+($U$137-$B$142)*12,IF($F$22&lt;&gt;"",$G$22+($U$137-$B$142)*12,IF($H$22&lt;&gt;"",$I$22+($U$137-$B$142)*12,IF($J$22&lt;&gt;"",$K$22+($U$137-$B$142)*12,IF($L$22&lt;&gt;"",$M$22+($U$137-$B$142)*12,0))))))</f>
        <v>0</v>
      </c>
      <c r="V140" s="805" t="s">
        <v>192</v>
      </c>
      <c r="W140" s="809"/>
      <c r="X140" s="812">
        <f>IF($X$133=0,0,IF($D$23&lt;&gt;"",$E$23+($X$137-$B$142)*12,IF($F$23&lt;&gt;"",$G$23+($X$137-$B$142)*12,IF($H$23&lt;&gt;"",$I$23+($X$137-$B$142)*12,IF($J$23&lt;&gt;"",$K$23+($X$137-$B$142)*12,IF($L$23&lt;&gt;"",$M$23+($X$137-$B$142)*12,0))))))</f>
        <v>0</v>
      </c>
      <c r="Y140" s="805" t="s">
        <v>192</v>
      </c>
      <c r="Z140" s="809"/>
      <c r="AA140" s="812">
        <f>IF($AA$133=0,0,IF($D$24&lt;&gt;"",$E$24+($AA$137-$B$142)*12,IF($F$24&lt;&gt;"",$G$24+($AA$137-$B$142)*12,IF($H$24&lt;&gt;"",$I$24+($AA$137-$B$142)*12,IF($J$24&lt;&gt;"",$K$24+($AA$137-$B$142)*12,IF($L$24&lt;&gt;"",$M$24+($AA$137-$B$142)*12,0))))))</f>
        <v>0</v>
      </c>
      <c r="AB140" s="805" t="s">
        <v>192</v>
      </c>
      <c r="AC140" s="809"/>
      <c r="AD140" s="812">
        <f>IF($AD$133=0,0,IF($D$25&lt;&gt;"",$E$25+($AD$137-$B$142)*12,IF($F$25&lt;&gt;"",$G$25+($AD$137-$B$142)*12,IF($H$25&lt;&gt;"",$I$25+($AD$137-$B$142)*12,IF($J$25&lt;&gt;"",$K$25+($AD$137-$B$142)*12,IF($L$25&lt;&gt;"",$M$25+($AD$137-$B$142)*12,0))))))</f>
        <v>0</v>
      </c>
      <c r="AE140" s="805" t="s">
        <v>192</v>
      </c>
      <c r="AF140" s="809">
        <f>AG132</f>
        <v>0</v>
      </c>
      <c r="AG140" s="812">
        <f>IF($AG$133=0,0,IF($D$26&lt;&gt;"",$E$26+($AG$137-$B$142)*12,IF($F$26&lt;&gt;"",$G$26+($AG$137-$B$142)*12,IF($H$26&lt;&gt;"",$I$26+($AG$137-$B$142)*12,IF($J$26&lt;&gt;"",$K$26+($AG$137-$B$142)*12,IF($L$26&lt;&gt;"",$M$26+($AG$137-$B$142)*12,0))))))</f>
        <v>0</v>
      </c>
      <c r="AH140" s="805" t="s">
        <v>192</v>
      </c>
      <c r="AI140" s="809"/>
      <c r="AJ140" s="812">
        <f>IF($AJ$133=0,0,IF($D$27&lt;&gt;"",$E$27+($AJ$137-$B$142)*12,IF($F$27&lt;&gt;"",$G$27+($AJ$137-$B$142)*12,IF($H$27&lt;&gt;"",$I$27+($AJ$137-$B$142)*12,IF($J$27&lt;&gt;"",$K$27+($AJ$137-$B$142)*12,IF($L$27&lt;&gt;"",$M$27+($AJ$137-$B$142)*12,0))))))</f>
        <v>0</v>
      </c>
      <c r="AK140" s="805" t="s">
        <v>192</v>
      </c>
      <c r="AL140" s="809"/>
      <c r="AM140" s="812">
        <f>$E$10</f>
        <v>0</v>
      </c>
      <c r="AN140" s="805" t="s">
        <v>192</v>
      </c>
      <c r="AO140" s="809"/>
      <c r="AP140" s="812">
        <f>E12</f>
        <v>0</v>
      </c>
      <c r="AQ140" s="805" t="s">
        <v>192</v>
      </c>
      <c r="AU140" s="258"/>
      <c r="AV140" s="258"/>
      <c r="AW140" s="258"/>
      <c r="AX140" s="258"/>
      <c r="AY140" s="258"/>
      <c r="AZ140" s="258"/>
      <c r="BA140" s="258"/>
      <c r="BB140" s="258"/>
      <c r="BC140" s="258"/>
      <c r="BD140" s="258"/>
      <c r="BE140" s="258"/>
      <c r="BF140" s="258"/>
      <c r="BG140" s="258"/>
      <c r="BH140" s="258"/>
      <c r="BI140" s="258"/>
      <c r="BJ140" s="258"/>
      <c r="BK140" s="258"/>
      <c r="BL140" s="258"/>
      <c r="BM140" s="258"/>
      <c r="BN140" s="258"/>
      <c r="BO140" s="258"/>
      <c r="BP140" s="258"/>
      <c r="BQ140" s="258"/>
      <c r="BR140" s="258"/>
      <c r="BS140" s="258"/>
      <c r="BT140" s="258"/>
      <c r="BU140" s="257"/>
      <c r="BV140" s="258"/>
      <c r="BW140" s="258"/>
      <c r="BX140" s="258"/>
      <c r="BY140" s="258"/>
      <c r="BZ140" s="446"/>
      <c r="CA140" s="446"/>
      <c r="CB140" s="446"/>
      <c r="CC140" s="446"/>
      <c r="CD140" s="446"/>
      <c r="CE140" s="446"/>
      <c r="CF140" s="446"/>
      <c r="CG140" s="446"/>
      <c r="CH140" s="446"/>
      <c r="CI140" s="446"/>
      <c r="CJ140" s="446"/>
      <c r="CK140" s="446"/>
      <c r="CL140" s="446"/>
      <c r="CM140" s="446"/>
      <c r="CN140" s="446"/>
      <c r="CO140" s="446"/>
      <c r="CP140" s="446"/>
      <c r="CQ140" s="446"/>
      <c r="CR140" s="446"/>
      <c r="CS140" s="446"/>
      <c r="CT140" s="446"/>
      <c r="CU140" s="446"/>
      <c r="CV140" s="446"/>
      <c r="CW140" s="233"/>
      <c r="CX140" s="446"/>
      <c r="CY140" s="446"/>
      <c r="CZ140" s="446"/>
      <c r="DA140" s="446"/>
      <c r="DB140" s="446"/>
      <c r="DC140" s="446"/>
      <c r="DD140" s="446"/>
      <c r="DE140" s="446"/>
      <c r="DF140" s="446"/>
      <c r="DG140" s="446"/>
      <c r="DH140" s="446"/>
      <c r="DI140" s="446"/>
      <c r="DJ140" s="446"/>
      <c r="DK140" s="446"/>
      <c r="DL140" s="446"/>
      <c r="DM140" s="446"/>
      <c r="DN140" s="446"/>
      <c r="DO140" s="446"/>
      <c r="DP140" s="258"/>
      <c r="DQ140" s="258"/>
      <c r="DR140" s="258"/>
      <c r="DS140" s="258"/>
      <c r="DT140" s="258"/>
      <c r="DU140" s="258"/>
      <c r="DV140" s="258"/>
      <c r="DW140" s="258"/>
      <c r="DX140" s="258"/>
      <c r="DY140" s="258"/>
      <c r="DZ140" s="282"/>
      <c r="EA140" s="229"/>
      <c r="EB140" s="229"/>
    </row>
    <row r="141" spans="2:132" s="219" customFormat="1" ht="42.75" hidden="1" customHeight="1" x14ac:dyDescent="0.2">
      <c r="B141" s="801" t="s">
        <v>240</v>
      </c>
      <c r="C141" s="813" t="s">
        <v>241</v>
      </c>
      <c r="D141" s="801" t="s">
        <v>239</v>
      </c>
      <c r="E141" s="801" t="s">
        <v>237</v>
      </c>
      <c r="F141" s="801" t="s">
        <v>238</v>
      </c>
      <c r="G141" s="814"/>
      <c r="H141" s="801" t="s">
        <v>191</v>
      </c>
      <c r="I141" s="801" t="s">
        <v>193</v>
      </c>
      <c r="J141" s="814"/>
      <c r="K141" s="801" t="s">
        <v>191</v>
      </c>
      <c r="L141" s="801" t="s">
        <v>193</v>
      </c>
      <c r="M141" s="814"/>
      <c r="N141" s="801" t="s">
        <v>191</v>
      </c>
      <c r="O141" s="801" t="s">
        <v>193</v>
      </c>
      <c r="P141" s="814"/>
      <c r="Q141" s="801" t="s">
        <v>191</v>
      </c>
      <c r="S141" s="815" t="s">
        <v>193</v>
      </c>
      <c r="T141" s="816"/>
      <c r="U141" s="801" t="s">
        <v>191</v>
      </c>
      <c r="V141" s="801" t="s">
        <v>193</v>
      </c>
      <c r="W141" s="816"/>
      <c r="X141" s="801" t="s">
        <v>191</v>
      </c>
      <c r="Y141" s="801" t="s">
        <v>193</v>
      </c>
      <c r="Z141" s="816"/>
      <c r="AA141" s="801" t="s">
        <v>191</v>
      </c>
      <c r="AB141" s="801" t="s">
        <v>193</v>
      </c>
      <c r="AC141" s="816"/>
      <c r="AD141" s="801" t="s">
        <v>191</v>
      </c>
      <c r="AE141" s="801" t="s">
        <v>193</v>
      </c>
      <c r="AF141" s="816"/>
      <c r="AG141" s="801" t="s">
        <v>191</v>
      </c>
      <c r="AH141" s="801" t="s">
        <v>193</v>
      </c>
      <c r="AI141" s="816" t="str">
        <f>$C$27</f>
        <v>Sonstige</v>
      </c>
      <c r="AJ141" s="801" t="s">
        <v>191</v>
      </c>
      <c r="AK141" s="801" t="s">
        <v>193</v>
      </c>
      <c r="AL141" s="816"/>
      <c r="AM141" s="801" t="s">
        <v>191</v>
      </c>
      <c r="AN141" s="817" t="s">
        <v>193</v>
      </c>
      <c r="AO141" s="816"/>
      <c r="AP141" s="801" t="s">
        <v>191</v>
      </c>
      <c r="AQ141" s="801" t="s">
        <v>193</v>
      </c>
      <c r="AU141" s="258"/>
      <c r="AV141" s="258"/>
      <c r="AW141" s="258"/>
      <c r="AX141" s="258"/>
      <c r="AY141" s="258"/>
      <c r="AZ141" s="258"/>
      <c r="BA141" s="258"/>
      <c r="BB141" s="258"/>
      <c r="BC141" s="258"/>
      <c r="BD141" s="258"/>
      <c r="BE141" s="258"/>
      <c r="BF141" s="258"/>
      <c r="BG141" s="258"/>
      <c r="BH141" s="258"/>
      <c r="BI141" s="258"/>
      <c r="BJ141" s="258"/>
      <c r="BK141" s="258"/>
      <c r="BL141" s="258"/>
      <c r="BM141" s="258"/>
      <c r="BN141" s="258"/>
      <c r="BO141" s="258"/>
      <c r="BP141" s="258"/>
      <c r="BQ141" s="258"/>
      <c r="BR141" s="258"/>
      <c r="BS141" s="258"/>
      <c r="BT141" s="258"/>
      <c r="BU141" s="257"/>
      <c r="BV141" s="258"/>
      <c r="BW141" s="258"/>
      <c r="BX141" s="258"/>
      <c r="BY141" s="258"/>
      <c r="BZ141" s="446"/>
      <c r="CA141" s="446"/>
      <c r="CB141" s="446"/>
      <c r="CC141" s="446"/>
      <c r="CD141" s="446"/>
      <c r="CE141" s="446"/>
      <c r="CF141" s="446"/>
      <c r="CG141" s="446"/>
      <c r="CH141" s="446"/>
      <c r="CI141" s="446"/>
      <c r="CJ141" s="446"/>
      <c r="CK141" s="446"/>
      <c r="CL141" s="446"/>
      <c r="CM141" s="446"/>
      <c r="CN141" s="446"/>
      <c r="CO141" s="446"/>
      <c r="CP141" s="446"/>
      <c r="CQ141" s="446"/>
      <c r="CR141" s="446"/>
      <c r="CS141" s="446"/>
      <c r="CT141" s="446"/>
      <c r="CU141" s="446"/>
      <c r="CV141" s="446"/>
      <c r="CW141" s="1055" t="s">
        <v>241</v>
      </c>
      <c r="CX141" s="446"/>
      <c r="CY141" s="446"/>
      <c r="CZ141" s="446"/>
      <c r="DA141" s="446"/>
      <c r="DB141" s="446"/>
      <c r="DC141" s="446"/>
      <c r="DD141" s="446"/>
      <c r="DE141" s="446"/>
      <c r="DF141" s="446"/>
      <c r="DG141" s="446"/>
      <c r="DH141" s="446"/>
      <c r="DI141" s="446"/>
      <c r="DJ141" s="446"/>
      <c r="DK141" s="446"/>
      <c r="DL141" s="446"/>
      <c r="DM141" s="446"/>
      <c r="DN141" s="446"/>
      <c r="DO141" s="446"/>
      <c r="DP141" s="258"/>
      <c r="DQ141" s="258"/>
      <c r="DR141" s="258"/>
      <c r="DS141" s="258"/>
      <c r="DT141" s="258"/>
      <c r="DU141" s="258"/>
      <c r="DV141" s="258"/>
      <c r="DW141" s="258"/>
      <c r="DX141" s="258"/>
      <c r="DY141" s="258"/>
      <c r="DZ141" s="282"/>
      <c r="EA141" s="229"/>
      <c r="EB141" s="229"/>
    </row>
    <row r="142" spans="2:132" s="219" customFormat="1" ht="14.25" hidden="1" customHeight="1" x14ac:dyDescent="0.2">
      <c r="B142" s="797">
        <f ca="1">$D$7</f>
        <v>2017</v>
      </c>
      <c r="C142" s="796">
        <v>0</v>
      </c>
      <c r="D142" s="818"/>
      <c r="E142" s="818"/>
      <c r="F142" s="818"/>
      <c r="G142" s="818"/>
      <c r="H142" s="818"/>
      <c r="I142" s="818"/>
      <c r="J142" s="818"/>
      <c r="K142" s="818"/>
      <c r="L142" s="818"/>
      <c r="M142" s="818"/>
      <c r="N142" s="818"/>
      <c r="O142" s="818"/>
      <c r="P142" s="818"/>
      <c r="Q142" s="818"/>
      <c r="S142" s="819"/>
      <c r="T142" s="818"/>
      <c r="U142" s="818"/>
      <c r="V142" s="818"/>
      <c r="W142" s="818"/>
      <c r="X142" s="818"/>
      <c r="Y142" s="818"/>
      <c r="Z142" s="818"/>
      <c r="AA142" s="818"/>
      <c r="AB142" s="818"/>
      <c r="AC142" s="818"/>
      <c r="AD142" s="818"/>
      <c r="AE142" s="818"/>
      <c r="AF142" s="818"/>
      <c r="AG142" s="818"/>
      <c r="AH142" s="818"/>
      <c r="AI142" s="818"/>
      <c r="AJ142" s="818"/>
      <c r="AK142" s="818"/>
      <c r="AL142" s="818"/>
      <c r="AM142" s="818"/>
      <c r="AN142" s="818"/>
      <c r="AO142" s="818"/>
      <c r="AP142" s="818"/>
      <c r="AQ142" s="818"/>
      <c r="AU142" s="258"/>
      <c r="AV142" s="258"/>
      <c r="AW142" s="258"/>
      <c r="AX142" s="258"/>
      <c r="AY142" s="258"/>
      <c r="AZ142" s="258"/>
      <c r="BA142" s="258"/>
      <c r="BB142" s="258"/>
      <c r="BC142" s="258"/>
      <c r="BD142" s="258"/>
      <c r="BE142" s="258"/>
      <c r="BF142" s="258"/>
      <c r="BG142" s="258"/>
      <c r="BH142" s="258"/>
      <c r="BI142" s="258"/>
      <c r="BJ142" s="258"/>
      <c r="BK142" s="258"/>
      <c r="BL142" s="258"/>
      <c r="BM142" s="258"/>
      <c r="BN142" s="258"/>
      <c r="BO142" s="258"/>
      <c r="BP142" s="258"/>
      <c r="BQ142" s="258"/>
      <c r="BR142" s="258"/>
      <c r="BS142" s="258"/>
      <c r="BT142" s="258"/>
      <c r="BU142" s="257"/>
      <c r="BV142" s="258"/>
      <c r="BW142" s="258"/>
      <c r="BX142" s="258"/>
      <c r="BY142" s="258"/>
      <c r="BZ142" s="446"/>
      <c r="CA142" s="446"/>
      <c r="CB142" s="446"/>
      <c r="CC142" s="446"/>
      <c r="CD142" s="446"/>
      <c r="CE142" s="446"/>
      <c r="CF142" s="446"/>
      <c r="CG142" s="446"/>
      <c r="CH142" s="446"/>
      <c r="CI142" s="446"/>
      <c r="CJ142" s="446"/>
      <c r="CK142" s="446"/>
      <c r="CL142" s="446"/>
      <c r="CM142" s="446"/>
      <c r="CN142" s="446"/>
      <c r="CO142" s="446"/>
      <c r="CP142" s="446"/>
      <c r="CQ142" s="446"/>
      <c r="CR142" s="446"/>
      <c r="CS142" s="446"/>
      <c r="CT142" s="446"/>
      <c r="CU142" s="446"/>
      <c r="CV142" s="446"/>
      <c r="CW142" s="820">
        <v>0</v>
      </c>
      <c r="CX142" s="446"/>
      <c r="CY142" s="446"/>
      <c r="CZ142" s="446"/>
      <c r="DA142" s="446"/>
      <c r="DB142" s="446"/>
      <c r="DC142" s="446"/>
      <c r="DD142" s="446"/>
      <c r="DE142" s="446"/>
      <c r="DF142" s="446"/>
      <c r="DG142" s="446"/>
      <c r="DH142" s="446"/>
      <c r="DI142" s="446"/>
      <c r="DJ142" s="446"/>
      <c r="DK142" s="446"/>
      <c r="DL142" s="446"/>
      <c r="DM142" s="446"/>
      <c r="DN142" s="446"/>
      <c r="DO142" s="446"/>
      <c r="DP142" s="258"/>
      <c r="DQ142" s="258"/>
      <c r="DR142" s="258"/>
      <c r="DS142" s="258"/>
      <c r="DT142" s="258"/>
      <c r="DU142" s="258"/>
      <c r="DV142" s="258"/>
      <c r="DW142" s="258"/>
      <c r="DX142" s="258"/>
      <c r="DY142" s="258"/>
      <c r="DZ142" s="282"/>
      <c r="EA142" s="229"/>
      <c r="EB142" s="229"/>
    </row>
    <row r="143" spans="2:132" s="219" customFormat="1" ht="14.25" hidden="1" customHeight="1" x14ac:dyDescent="0.2">
      <c r="B143" s="811">
        <f ca="1">B142+INT(C142/12)</f>
        <v>2017</v>
      </c>
      <c r="C143" s="811">
        <v>1</v>
      </c>
      <c r="D143" s="821">
        <f t="shared" ref="D143:D174" si="11">G143+J143+M143+P143+T143+W143+Z143+AC143+AF143+AI143</f>
        <v>0</v>
      </c>
      <c r="E143" s="822">
        <f>H143+K143+N143+Q143+U143+X143+AA143+AD143+AG143+AJ143+AM143+AP143</f>
        <v>0</v>
      </c>
      <c r="F143" s="822">
        <f t="shared" ref="F143:F174" si="12">I143+L143+O143+S143+V143+Y143+AB143+AE143+AH143+AK143+AN143+AQ143</f>
        <v>0</v>
      </c>
      <c r="G143" s="822">
        <f t="shared" ref="G143:G174" si="13">IF(AND(I143&gt;0,I142=0),$H$133,0)</f>
        <v>0</v>
      </c>
      <c r="H143" s="823">
        <f t="shared" ref="H143:H174" si="14">IF(AND($C143&lt;=H$139,$C143&gt;=H$138),H$133/(H$134*12),0)</f>
        <v>0</v>
      </c>
      <c r="I143" s="824">
        <f t="shared" ref="I143:I174" si="15">IF(AND($C143&gt;=H$140,$C143&lt;=H$139),(H$133-($C143-H$138)*H143)*H$135/12,0)</f>
        <v>0</v>
      </c>
      <c r="J143" s="822">
        <f>IF(AND(L143&gt;0,L142=0),K133,0)</f>
        <v>0</v>
      </c>
      <c r="K143" s="823">
        <f t="shared" ref="K143:K174" si="16">IF(AND($C143&lt;=K$139,$C143&gt;=K$138),K$133/(K$134*12),0)</f>
        <v>0</v>
      </c>
      <c r="L143" s="824">
        <f t="shared" ref="L143:L174" si="17">IF(AND($C143&gt;=K$140,$C143&lt;=K$139),(K$133-($C143-K$138)*K143)*K$135/12,0)</f>
        <v>0</v>
      </c>
      <c r="M143" s="822">
        <f>IF(AND(O143&gt;0,O142=0),N133,0)</f>
        <v>0</v>
      </c>
      <c r="N143" s="823">
        <f t="shared" ref="N143:N174" si="18">IF(AND($C143&lt;=N$139,$C143&gt;=N$138),N$133/(N$134*12),0)</f>
        <v>0</v>
      </c>
      <c r="O143" s="824">
        <f t="shared" ref="O143:O174" si="19">IF(AND($C143&gt;=N$140,$C143&lt;=N$139),(N$133-($C143-N$138)*N143)*N$135/12,0)</f>
        <v>0</v>
      </c>
      <c r="P143" s="822">
        <f>IF(AND(S143&gt;0,S142=0),Q133,0)</f>
        <v>0</v>
      </c>
      <c r="Q143" s="825">
        <f t="shared" ref="Q143:Q174" si="20">IF(AND($C143&lt;=Q$139,$C143&gt;=Q$138),Q$133/(Q$134*12),0)</f>
        <v>0</v>
      </c>
      <c r="S143" s="826">
        <f t="shared" ref="S143:S174" si="21">IF(AND($C143&gt;=Q$140,$C143&lt;=Q$139),(Q$133-($C143-Q$138)*Q143)*Q$135/12,0)</f>
        <v>0</v>
      </c>
      <c r="T143" s="822">
        <f>IF(AND(V143&gt;0,V142=0),U133,0)</f>
        <v>0</v>
      </c>
      <c r="U143" s="823">
        <f t="shared" ref="U143:U174" si="22">IF(AND($C143&lt;=U$139,$C143&gt;=U$138),U$133/(U$134*12),0)</f>
        <v>0</v>
      </c>
      <c r="V143" s="824">
        <f t="shared" ref="V143:V174" si="23">IF(AND($C143&gt;=U$140,$C143&lt;=U$139),(U$133-($C143-U$138)*U143)*U$135/12,0)</f>
        <v>0</v>
      </c>
      <c r="W143" s="822">
        <f>IF(AND(Y143&gt;0,Y142=0),X133,0)</f>
        <v>0</v>
      </c>
      <c r="X143" s="823">
        <f t="shared" ref="X143:X174" si="24">IF(AND($C143&lt;=X$139,$C143&gt;=X$138),X$133/(X$134*12),0)</f>
        <v>0</v>
      </c>
      <c r="Y143" s="824">
        <f t="shared" ref="Y143:Y174" si="25">IF(AND($C143&gt;=X$140,$C143&lt;=X$139),(X$133-($C143-X$138)*X143)*X$135/12,0)</f>
        <v>0</v>
      </c>
      <c r="Z143" s="822">
        <f>IF(AND(AB143&gt;0,AB142=0),AA133,0)</f>
        <v>0</v>
      </c>
      <c r="AA143" s="823">
        <f t="shared" ref="AA143:AA174" si="26">IF(AND($C143&lt;=AA$139,$C143&gt;=AA$138),AA$133/(AA$134*12),0)</f>
        <v>0</v>
      </c>
      <c r="AB143" s="824">
        <f t="shared" ref="AB143:AB174" si="27">IF(AND($C143&gt;=AA$140,$C143&lt;=AA$139),(AA$133-($C143-AA$138)*AA143)*AA$135/12,0)</f>
        <v>0</v>
      </c>
      <c r="AC143" s="822">
        <f>IF(AND(AE143&gt;0,AE142=0),AD133,0)</f>
        <v>0</v>
      </c>
      <c r="AD143" s="823">
        <f t="shared" ref="AD143:AD174" si="28">IF(AND($C143&lt;=AD$139,$C143&gt;=AD$138),AD$133/(AD$134*12),0)</f>
        <v>0</v>
      </c>
      <c r="AE143" s="824">
        <f t="shared" ref="AE143:AE174" si="29">IF(AND($C143&gt;=AD$140,$C143&lt;=AD$139),(AD$133-($C143-AD$138)*AD143)*AD$135/12,0)</f>
        <v>0</v>
      </c>
      <c r="AF143" s="822">
        <f>IF(AND(AH143&gt;0,AH142=0),AG133,0)</f>
        <v>0</v>
      </c>
      <c r="AG143" s="823">
        <f t="shared" ref="AG143:AG174" si="30">IF(AND($C143&lt;=AG$139,$C143&gt;=AG$138),AG$133/(AG$134*12),0)</f>
        <v>0</v>
      </c>
      <c r="AH143" s="824">
        <f t="shared" ref="AH143:AH174" si="31">IF(AND($C143&gt;=AG$140,$C143&lt;=AG$139),(AG$133-($C143-AG$138)*AG143)*AG$135/12,0)</f>
        <v>0</v>
      </c>
      <c r="AI143" s="822">
        <f>IF(AND(AK143&gt;0,AK142=0),AJ133,0)</f>
        <v>0</v>
      </c>
      <c r="AJ143" s="823">
        <f t="shared" ref="AJ143:AJ174" si="32">IF(AND($C143&lt;=AJ$139,$C143&gt;=AJ$138),AJ$133/(AJ$134*12),0)</f>
        <v>0</v>
      </c>
      <c r="AK143" s="824">
        <f t="shared" ref="AK143:AK174" si="33">IF(AND($C143&gt;=AJ$140,$C143&lt;=AJ$139),(AJ$133-($C143-AJ$138)*AJ143)*AJ$135/12,0)</f>
        <v>0</v>
      </c>
      <c r="AL143" s="822">
        <f t="shared" ref="AL143:AL174" ca="1" si="34">IF(AND($AM$137=B143,$AM$140=C143),$AM$133,0)</f>
        <v>0</v>
      </c>
      <c r="AM143" s="827"/>
      <c r="AN143" s="824"/>
      <c r="AO143" s="822">
        <f t="shared" ref="AO143:AO174" ca="1" si="35">IF(AND($AP$137=B143,$AP$140=C143),$AP$133,0)</f>
        <v>0</v>
      </c>
      <c r="AP143" s="827"/>
      <c r="AQ143" s="824"/>
      <c r="AU143" s="258"/>
      <c r="AV143" s="258"/>
      <c r="AW143" s="258"/>
      <c r="AX143" s="258"/>
      <c r="AY143" s="258"/>
      <c r="AZ143" s="258"/>
      <c r="BA143" s="258"/>
      <c r="BB143" s="258"/>
      <c r="BC143" s="258"/>
      <c r="BD143" s="258"/>
      <c r="BE143" s="258"/>
      <c r="BF143" s="258"/>
      <c r="BG143" s="258"/>
      <c r="BH143" s="258"/>
      <c r="BI143" s="258"/>
      <c r="BJ143" s="258"/>
      <c r="BK143" s="258"/>
      <c r="BL143" s="258"/>
      <c r="BM143" s="258"/>
      <c r="BN143" s="258"/>
      <c r="BO143" s="258"/>
      <c r="BP143" s="258"/>
      <c r="BQ143" s="258"/>
      <c r="BR143" s="258"/>
      <c r="BS143" s="258"/>
      <c r="BT143" s="258"/>
      <c r="BU143" s="257"/>
      <c r="BV143" s="258"/>
      <c r="BW143" s="258"/>
      <c r="BX143" s="258"/>
      <c r="BY143" s="258"/>
      <c r="BZ143" s="446"/>
      <c r="CA143" s="446"/>
      <c r="CB143" s="446"/>
      <c r="CC143" s="446"/>
      <c r="CD143" s="446"/>
      <c r="CE143" s="446"/>
      <c r="CF143" s="446"/>
      <c r="CG143" s="446"/>
      <c r="CH143" s="446"/>
      <c r="CI143" s="446"/>
      <c r="CJ143" s="446"/>
      <c r="CK143" s="446"/>
      <c r="CL143" s="446"/>
      <c r="CM143" s="446"/>
      <c r="CN143" s="446"/>
      <c r="CO143" s="446"/>
      <c r="CP143" s="446"/>
      <c r="CQ143" s="446"/>
      <c r="CR143" s="446"/>
      <c r="CS143" s="446"/>
      <c r="CT143" s="446"/>
      <c r="CU143" s="446"/>
      <c r="CV143" s="446"/>
      <c r="CW143" s="820">
        <v>1</v>
      </c>
      <c r="CX143" s="446"/>
      <c r="CY143" s="446"/>
      <c r="CZ143" s="446"/>
      <c r="DA143" s="446"/>
      <c r="DB143" s="446"/>
      <c r="DC143" s="446"/>
      <c r="DD143" s="446"/>
      <c r="DE143" s="446"/>
      <c r="DF143" s="446"/>
      <c r="DG143" s="446"/>
      <c r="DH143" s="446"/>
      <c r="DI143" s="446"/>
      <c r="DJ143" s="446"/>
      <c r="DK143" s="446"/>
      <c r="DL143" s="446"/>
      <c r="DM143" s="446"/>
      <c r="DN143" s="446"/>
      <c r="DO143" s="446"/>
      <c r="DP143" s="258"/>
      <c r="DQ143" s="258"/>
      <c r="DR143" s="258"/>
      <c r="DS143" s="258"/>
      <c r="DT143" s="258"/>
      <c r="DU143" s="258"/>
      <c r="DV143" s="258"/>
      <c r="DW143" s="258"/>
      <c r="DX143" s="258"/>
      <c r="DY143" s="258"/>
      <c r="DZ143" s="282"/>
      <c r="EA143" s="229"/>
      <c r="EB143" s="229"/>
    </row>
    <row r="144" spans="2:132" s="219" customFormat="1" ht="14.25" hidden="1" customHeight="1" x14ac:dyDescent="0.2">
      <c r="B144" s="811">
        <f ca="1">B142+INT(C143/12)</f>
        <v>2017</v>
      </c>
      <c r="C144" s="811">
        <v>2</v>
      </c>
      <c r="D144" s="828">
        <f t="shared" si="11"/>
        <v>0</v>
      </c>
      <c r="E144" s="822">
        <f t="shared" ref="E144:E202" si="36">H144+K144+N144+Q144+U144+X144+AA144+AD144+AG144+AJ144+AM144+AP144</f>
        <v>0</v>
      </c>
      <c r="F144" s="829">
        <f t="shared" si="12"/>
        <v>0</v>
      </c>
      <c r="G144" s="829">
        <f t="shared" si="13"/>
        <v>0</v>
      </c>
      <c r="H144" s="830">
        <f t="shared" si="14"/>
        <v>0</v>
      </c>
      <c r="I144" s="831">
        <f t="shared" si="15"/>
        <v>0</v>
      </c>
      <c r="J144" s="829">
        <f>IF(AND(L144&gt;0,L143=0),K133,0)</f>
        <v>0</v>
      </c>
      <c r="K144" s="830">
        <f t="shared" si="16"/>
        <v>0</v>
      </c>
      <c r="L144" s="831">
        <f t="shared" si="17"/>
        <v>0</v>
      </c>
      <c r="M144" s="829">
        <f>IF(AND(O144&gt;0,O143=0),N133,0)</f>
        <v>0</v>
      </c>
      <c r="N144" s="830">
        <f t="shared" si="18"/>
        <v>0</v>
      </c>
      <c r="O144" s="831">
        <f t="shared" si="19"/>
        <v>0</v>
      </c>
      <c r="P144" s="829">
        <f>IF(AND(S144&gt;0,S143=0),Q133,0)</f>
        <v>0</v>
      </c>
      <c r="Q144" s="832">
        <f t="shared" si="20"/>
        <v>0</v>
      </c>
      <c r="S144" s="833">
        <f t="shared" si="21"/>
        <v>0</v>
      </c>
      <c r="T144" s="829">
        <f>IF(AND(V144&gt;0,V143=0),U133,0)</f>
        <v>0</v>
      </c>
      <c r="U144" s="830">
        <f t="shared" si="22"/>
        <v>0</v>
      </c>
      <c r="V144" s="831">
        <f t="shared" si="23"/>
        <v>0</v>
      </c>
      <c r="W144" s="829">
        <f>IF(AND(Y144&gt;0,Y143=0),X133,0)</f>
        <v>0</v>
      </c>
      <c r="X144" s="830">
        <f t="shared" si="24"/>
        <v>0</v>
      </c>
      <c r="Y144" s="831">
        <f t="shared" si="25"/>
        <v>0</v>
      </c>
      <c r="Z144" s="829">
        <f>IF(AND(AB144&gt;0,AB143=0),AA133,0)</f>
        <v>0</v>
      </c>
      <c r="AA144" s="830">
        <f t="shared" si="26"/>
        <v>0</v>
      </c>
      <c r="AB144" s="831">
        <f t="shared" si="27"/>
        <v>0</v>
      </c>
      <c r="AC144" s="829">
        <f>IF(AND(AE144&gt;0,AE143=0),AD133,0)</f>
        <v>0</v>
      </c>
      <c r="AD144" s="830">
        <f t="shared" si="28"/>
        <v>0</v>
      </c>
      <c r="AE144" s="831">
        <f t="shared" si="29"/>
        <v>0</v>
      </c>
      <c r="AF144" s="829">
        <f>IF(AND(AH144&gt;0,AH143=0),AG133,0)</f>
        <v>0</v>
      </c>
      <c r="AG144" s="830">
        <f t="shared" si="30"/>
        <v>0</v>
      </c>
      <c r="AH144" s="831">
        <f t="shared" si="31"/>
        <v>0</v>
      </c>
      <c r="AI144" s="829">
        <f>IF(AND(AK144&gt;0,AK143=0),AJ133,0)</f>
        <v>0</v>
      </c>
      <c r="AJ144" s="830">
        <f t="shared" si="32"/>
        <v>0</v>
      </c>
      <c r="AK144" s="831">
        <f t="shared" si="33"/>
        <v>0</v>
      </c>
      <c r="AL144" s="829">
        <f t="shared" ca="1" si="34"/>
        <v>0</v>
      </c>
      <c r="AM144" s="834"/>
      <c r="AN144" s="831"/>
      <c r="AO144" s="829">
        <f t="shared" ca="1" si="35"/>
        <v>0</v>
      </c>
      <c r="AP144" s="834"/>
      <c r="AQ144" s="831"/>
      <c r="AU144" s="258"/>
      <c r="AV144" s="258"/>
      <c r="AW144" s="258"/>
      <c r="AX144" s="258"/>
      <c r="AY144" s="258"/>
      <c r="AZ144" s="258"/>
      <c r="BA144" s="258"/>
      <c r="BB144" s="258"/>
      <c r="BC144" s="258"/>
      <c r="BD144" s="258"/>
      <c r="BE144" s="258"/>
      <c r="BF144" s="258"/>
      <c r="BG144" s="258"/>
      <c r="BH144" s="258"/>
      <c r="BI144" s="258"/>
      <c r="BJ144" s="258"/>
      <c r="BK144" s="258"/>
      <c r="BL144" s="258"/>
      <c r="BM144" s="258"/>
      <c r="BN144" s="258"/>
      <c r="BO144" s="258"/>
      <c r="BP144" s="258"/>
      <c r="BQ144" s="258"/>
      <c r="BR144" s="258"/>
      <c r="BS144" s="258"/>
      <c r="BT144" s="258"/>
      <c r="BU144" s="257"/>
      <c r="BV144" s="258"/>
      <c r="BW144" s="258"/>
      <c r="BX144" s="258"/>
      <c r="BY144" s="258"/>
      <c r="BZ144" s="446"/>
      <c r="CA144" s="446"/>
      <c r="CB144" s="446"/>
      <c r="CC144" s="446"/>
      <c r="CD144" s="446"/>
      <c r="CE144" s="446"/>
      <c r="CF144" s="446"/>
      <c r="CG144" s="446"/>
      <c r="CH144" s="446"/>
      <c r="CI144" s="446"/>
      <c r="CJ144" s="446"/>
      <c r="CK144" s="446"/>
      <c r="CL144" s="446"/>
      <c r="CM144" s="446"/>
      <c r="CN144" s="446"/>
      <c r="CO144" s="446"/>
      <c r="CP144" s="446"/>
      <c r="CQ144" s="446"/>
      <c r="CR144" s="446"/>
      <c r="CS144" s="446"/>
      <c r="CT144" s="446"/>
      <c r="CU144" s="446"/>
      <c r="CV144" s="446"/>
      <c r="CW144" s="820">
        <v>2</v>
      </c>
      <c r="CX144" s="446"/>
      <c r="CY144" s="446"/>
      <c r="CZ144" s="446"/>
      <c r="DA144" s="446"/>
      <c r="DB144" s="446"/>
      <c r="DC144" s="446"/>
      <c r="DD144" s="446"/>
      <c r="DE144" s="446"/>
      <c r="DF144" s="446"/>
      <c r="DG144" s="446"/>
      <c r="DH144" s="446"/>
      <c r="DI144" s="446"/>
      <c r="DJ144" s="446"/>
      <c r="DK144" s="446"/>
      <c r="DL144" s="446"/>
      <c r="DM144" s="446"/>
      <c r="DN144" s="446"/>
      <c r="DO144" s="446"/>
      <c r="DP144" s="258"/>
      <c r="DQ144" s="258"/>
      <c r="DR144" s="258"/>
      <c r="DS144" s="258"/>
      <c r="DT144" s="258"/>
      <c r="DU144" s="258"/>
      <c r="DV144" s="258"/>
      <c r="DW144" s="258"/>
      <c r="DX144" s="258"/>
      <c r="DY144" s="258"/>
      <c r="DZ144" s="282"/>
      <c r="EA144" s="229"/>
      <c r="EB144" s="229"/>
    </row>
    <row r="145" spans="2:132" s="219" customFormat="1" ht="14.25" hidden="1" customHeight="1" x14ac:dyDescent="0.2">
      <c r="B145" s="811">
        <f ca="1">B142+INT(C144/12)</f>
        <v>2017</v>
      </c>
      <c r="C145" s="811">
        <v>3</v>
      </c>
      <c r="D145" s="828">
        <f t="shared" si="11"/>
        <v>0</v>
      </c>
      <c r="E145" s="822">
        <f t="shared" si="36"/>
        <v>0</v>
      </c>
      <c r="F145" s="829">
        <f t="shared" si="12"/>
        <v>0</v>
      </c>
      <c r="G145" s="829">
        <f t="shared" si="13"/>
        <v>0</v>
      </c>
      <c r="H145" s="830">
        <f t="shared" si="14"/>
        <v>0</v>
      </c>
      <c r="I145" s="831">
        <f t="shared" si="15"/>
        <v>0</v>
      </c>
      <c r="J145" s="829">
        <f>IF(AND(L145&gt;0,L144=0),K133,0)</f>
        <v>0</v>
      </c>
      <c r="K145" s="830">
        <f t="shared" si="16"/>
        <v>0</v>
      </c>
      <c r="L145" s="831">
        <f t="shared" si="17"/>
        <v>0</v>
      </c>
      <c r="M145" s="829">
        <f>IF(AND(O145&gt;0,O144=0),N133,0)</f>
        <v>0</v>
      </c>
      <c r="N145" s="830">
        <f t="shared" si="18"/>
        <v>0</v>
      </c>
      <c r="O145" s="831">
        <f t="shared" si="19"/>
        <v>0</v>
      </c>
      <c r="P145" s="829">
        <f>IF(AND(S145&gt;0,S144=0),Q133,0)</f>
        <v>0</v>
      </c>
      <c r="Q145" s="832">
        <f t="shared" si="20"/>
        <v>0</v>
      </c>
      <c r="S145" s="833">
        <f t="shared" si="21"/>
        <v>0</v>
      </c>
      <c r="T145" s="829">
        <f>IF(AND(V145&gt;0,V144=0),U133,0)</f>
        <v>0</v>
      </c>
      <c r="U145" s="830">
        <f t="shared" si="22"/>
        <v>0</v>
      </c>
      <c r="V145" s="831">
        <f t="shared" si="23"/>
        <v>0</v>
      </c>
      <c r="W145" s="829">
        <f>IF(AND(Y145&gt;0,Y144=0),X133,0)</f>
        <v>0</v>
      </c>
      <c r="X145" s="830">
        <f t="shared" si="24"/>
        <v>0</v>
      </c>
      <c r="Y145" s="831">
        <f t="shared" si="25"/>
        <v>0</v>
      </c>
      <c r="Z145" s="829">
        <f>IF(AND(AB145&gt;0,AB144=0),AA133,0)</f>
        <v>0</v>
      </c>
      <c r="AA145" s="830">
        <f t="shared" si="26"/>
        <v>0</v>
      </c>
      <c r="AB145" s="831">
        <f t="shared" si="27"/>
        <v>0</v>
      </c>
      <c r="AC145" s="829">
        <f>IF(AND(AE145&gt;0,AE144=0),AD133,0)</f>
        <v>0</v>
      </c>
      <c r="AD145" s="830">
        <f t="shared" si="28"/>
        <v>0</v>
      </c>
      <c r="AE145" s="831">
        <f t="shared" si="29"/>
        <v>0</v>
      </c>
      <c r="AF145" s="829">
        <f>IF(AND(AH145&gt;0,AH144=0),AG133,0)</f>
        <v>0</v>
      </c>
      <c r="AG145" s="830">
        <f t="shared" si="30"/>
        <v>0</v>
      </c>
      <c r="AH145" s="831">
        <f t="shared" si="31"/>
        <v>0</v>
      </c>
      <c r="AI145" s="829">
        <f>IF(AND(AK145&gt;0,AK144=0),AJ133,0)</f>
        <v>0</v>
      </c>
      <c r="AJ145" s="830">
        <f t="shared" si="32"/>
        <v>0</v>
      </c>
      <c r="AK145" s="831">
        <f t="shared" si="33"/>
        <v>0</v>
      </c>
      <c r="AL145" s="829">
        <f t="shared" ca="1" si="34"/>
        <v>0</v>
      </c>
      <c r="AM145" s="834"/>
      <c r="AN145" s="831"/>
      <c r="AO145" s="829">
        <f t="shared" ca="1" si="35"/>
        <v>0</v>
      </c>
      <c r="AP145" s="834"/>
      <c r="AQ145" s="831"/>
      <c r="AU145" s="258"/>
      <c r="AV145" s="258"/>
      <c r="AW145" s="258"/>
      <c r="AX145" s="258"/>
      <c r="AY145" s="258"/>
      <c r="AZ145" s="258"/>
      <c r="BA145" s="258"/>
      <c r="BB145" s="258"/>
      <c r="BC145" s="258"/>
      <c r="BD145" s="258"/>
      <c r="BE145" s="258"/>
      <c r="BF145" s="258"/>
      <c r="BG145" s="258"/>
      <c r="BH145" s="258"/>
      <c r="BI145" s="258"/>
      <c r="BJ145" s="258"/>
      <c r="BK145" s="258"/>
      <c r="BL145" s="258"/>
      <c r="BM145" s="258"/>
      <c r="BN145" s="258"/>
      <c r="BO145" s="258"/>
      <c r="BP145" s="258"/>
      <c r="BQ145" s="258"/>
      <c r="BR145" s="258"/>
      <c r="BS145" s="258"/>
      <c r="BT145" s="258"/>
      <c r="BU145" s="257"/>
      <c r="BV145" s="258"/>
      <c r="BW145" s="258"/>
      <c r="BX145" s="258"/>
      <c r="BY145" s="258"/>
      <c r="BZ145" s="446"/>
      <c r="CA145" s="446"/>
      <c r="CB145" s="446"/>
      <c r="CC145" s="446"/>
      <c r="CD145" s="446"/>
      <c r="CE145" s="446"/>
      <c r="CF145" s="446"/>
      <c r="CG145" s="446"/>
      <c r="CH145" s="446"/>
      <c r="CI145" s="446"/>
      <c r="CJ145" s="446"/>
      <c r="CK145" s="446"/>
      <c r="CL145" s="446"/>
      <c r="CM145" s="446"/>
      <c r="CN145" s="446"/>
      <c r="CO145" s="446"/>
      <c r="CP145" s="446"/>
      <c r="CQ145" s="446"/>
      <c r="CR145" s="446"/>
      <c r="CS145" s="446"/>
      <c r="CT145" s="446"/>
      <c r="CU145" s="446"/>
      <c r="CV145" s="446"/>
      <c r="CW145" s="820">
        <v>3</v>
      </c>
      <c r="CX145" s="446"/>
      <c r="CY145" s="446"/>
      <c r="CZ145" s="446"/>
      <c r="DA145" s="446"/>
      <c r="DB145" s="446"/>
      <c r="DC145" s="446"/>
      <c r="DD145" s="446"/>
      <c r="DE145" s="446"/>
      <c r="DF145" s="446"/>
      <c r="DG145" s="446"/>
      <c r="DH145" s="446"/>
      <c r="DI145" s="446"/>
      <c r="DJ145" s="446"/>
      <c r="DK145" s="446"/>
      <c r="DL145" s="446"/>
      <c r="DM145" s="446"/>
      <c r="DN145" s="446"/>
      <c r="DO145" s="446"/>
      <c r="DP145" s="258"/>
      <c r="DQ145" s="258"/>
      <c r="DR145" s="258"/>
      <c r="DS145" s="258"/>
      <c r="DT145" s="258"/>
      <c r="DU145" s="258"/>
      <c r="DV145" s="258"/>
      <c r="DW145" s="258"/>
      <c r="DX145" s="258"/>
      <c r="DY145" s="258"/>
      <c r="DZ145" s="282"/>
      <c r="EA145" s="229"/>
      <c r="EB145" s="229"/>
    </row>
    <row r="146" spans="2:132" s="219" customFormat="1" ht="14.25" hidden="1" customHeight="1" x14ac:dyDescent="0.2">
      <c r="B146" s="811">
        <f ca="1">B142+INT(C145/12)</f>
        <v>2017</v>
      </c>
      <c r="C146" s="811">
        <v>4</v>
      </c>
      <c r="D146" s="828">
        <f t="shared" si="11"/>
        <v>0</v>
      </c>
      <c r="E146" s="822">
        <f t="shared" si="36"/>
        <v>0</v>
      </c>
      <c r="F146" s="829">
        <f t="shared" si="12"/>
        <v>0</v>
      </c>
      <c r="G146" s="829">
        <f t="shared" si="13"/>
        <v>0</v>
      </c>
      <c r="H146" s="830">
        <f t="shared" si="14"/>
        <v>0</v>
      </c>
      <c r="I146" s="831">
        <f t="shared" si="15"/>
        <v>0</v>
      </c>
      <c r="J146" s="829">
        <f>IF(AND(L146&gt;0,L145=0),K133,0)</f>
        <v>0</v>
      </c>
      <c r="K146" s="830">
        <f t="shared" si="16"/>
        <v>0</v>
      </c>
      <c r="L146" s="831">
        <f t="shared" si="17"/>
        <v>0</v>
      </c>
      <c r="M146" s="829">
        <f>IF(AND(O146&gt;0,O145=0),N133,0)</f>
        <v>0</v>
      </c>
      <c r="N146" s="830">
        <f t="shared" si="18"/>
        <v>0</v>
      </c>
      <c r="O146" s="831">
        <f t="shared" si="19"/>
        <v>0</v>
      </c>
      <c r="P146" s="829">
        <f>IF(AND(S146&gt;0,S145=0),Q133,0)</f>
        <v>0</v>
      </c>
      <c r="Q146" s="832">
        <f t="shared" si="20"/>
        <v>0</v>
      </c>
      <c r="S146" s="833">
        <f t="shared" si="21"/>
        <v>0</v>
      </c>
      <c r="T146" s="829">
        <f>IF(AND(V146&gt;0,V145=0),U133,0)</f>
        <v>0</v>
      </c>
      <c r="U146" s="830">
        <f t="shared" si="22"/>
        <v>0</v>
      </c>
      <c r="V146" s="831">
        <f t="shared" si="23"/>
        <v>0</v>
      </c>
      <c r="W146" s="829">
        <f>IF(AND(Y146&gt;0,Y145=0),X133,0)</f>
        <v>0</v>
      </c>
      <c r="X146" s="830">
        <f t="shared" si="24"/>
        <v>0</v>
      </c>
      <c r="Y146" s="831">
        <f t="shared" si="25"/>
        <v>0</v>
      </c>
      <c r="Z146" s="829">
        <f>IF(AND(AB146&gt;0,AB145=0),AA133,0)</f>
        <v>0</v>
      </c>
      <c r="AA146" s="830">
        <f t="shared" si="26"/>
        <v>0</v>
      </c>
      <c r="AB146" s="831">
        <f t="shared" si="27"/>
        <v>0</v>
      </c>
      <c r="AC146" s="829">
        <f>IF(AND(AE146&gt;0,AE145=0),AD133,0)</f>
        <v>0</v>
      </c>
      <c r="AD146" s="830">
        <f t="shared" si="28"/>
        <v>0</v>
      </c>
      <c r="AE146" s="831">
        <f t="shared" si="29"/>
        <v>0</v>
      </c>
      <c r="AF146" s="829">
        <f>IF(AND(AH146&gt;0,AH145=0),AG133,0)</f>
        <v>0</v>
      </c>
      <c r="AG146" s="830">
        <f t="shared" si="30"/>
        <v>0</v>
      </c>
      <c r="AH146" s="831">
        <f t="shared" si="31"/>
        <v>0</v>
      </c>
      <c r="AI146" s="829">
        <f>IF(AND(AK146&gt;0,AK145=0),AJ133,0)</f>
        <v>0</v>
      </c>
      <c r="AJ146" s="830">
        <f t="shared" si="32"/>
        <v>0</v>
      </c>
      <c r="AK146" s="831">
        <f t="shared" si="33"/>
        <v>0</v>
      </c>
      <c r="AL146" s="829">
        <f t="shared" ca="1" si="34"/>
        <v>0</v>
      </c>
      <c r="AM146" s="834"/>
      <c r="AN146" s="831"/>
      <c r="AO146" s="829">
        <f t="shared" ca="1" si="35"/>
        <v>0</v>
      </c>
      <c r="AP146" s="834"/>
      <c r="AQ146" s="831"/>
      <c r="AU146" s="258"/>
      <c r="AV146" s="258"/>
      <c r="AW146" s="258"/>
      <c r="AX146" s="258"/>
      <c r="AY146" s="258"/>
      <c r="AZ146" s="258"/>
      <c r="BA146" s="258"/>
      <c r="BB146" s="258"/>
      <c r="BC146" s="258"/>
      <c r="BD146" s="258"/>
      <c r="BE146" s="258"/>
      <c r="BF146" s="258"/>
      <c r="BG146" s="258"/>
      <c r="BH146" s="258"/>
      <c r="BI146" s="258"/>
      <c r="BJ146" s="258"/>
      <c r="BK146" s="258"/>
      <c r="BL146" s="258"/>
      <c r="BM146" s="258"/>
      <c r="BN146" s="258"/>
      <c r="BO146" s="258"/>
      <c r="BP146" s="258"/>
      <c r="BQ146" s="258"/>
      <c r="BR146" s="258"/>
      <c r="BS146" s="258"/>
      <c r="BT146" s="258"/>
      <c r="BU146" s="257"/>
      <c r="BV146" s="258"/>
      <c r="BW146" s="258"/>
      <c r="BX146" s="258"/>
      <c r="BY146" s="258"/>
      <c r="BZ146" s="446"/>
      <c r="CA146" s="446"/>
      <c r="CB146" s="446"/>
      <c r="CC146" s="446"/>
      <c r="CD146" s="446"/>
      <c r="CE146" s="446"/>
      <c r="CF146" s="446"/>
      <c r="CG146" s="446"/>
      <c r="CH146" s="446"/>
      <c r="CI146" s="446"/>
      <c r="CJ146" s="446"/>
      <c r="CK146" s="446"/>
      <c r="CL146" s="446"/>
      <c r="CM146" s="446"/>
      <c r="CN146" s="446"/>
      <c r="CO146" s="446"/>
      <c r="CP146" s="446"/>
      <c r="CQ146" s="446"/>
      <c r="CR146" s="446"/>
      <c r="CS146" s="446"/>
      <c r="CT146" s="446"/>
      <c r="CU146" s="446"/>
      <c r="CV146" s="446"/>
      <c r="CW146" s="820">
        <v>4</v>
      </c>
      <c r="CX146" s="446"/>
      <c r="CY146" s="446"/>
      <c r="CZ146" s="446"/>
      <c r="DA146" s="446"/>
      <c r="DB146" s="446"/>
      <c r="DC146" s="446"/>
      <c r="DD146" s="446"/>
      <c r="DE146" s="446"/>
      <c r="DF146" s="446"/>
      <c r="DG146" s="446"/>
      <c r="DH146" s="446"/>
      <c r="DI146" s="446"/>
      <c r="DJ146" s="446"/>
      <c r="DK146" s="446"/>
      <c r="DL146" s="446"/>
      <c r="DM146" s="446"/>
      <c r="DN146" s="446"/>
      <c r="DO146" s="446"/>
      <c r="DP146" s="258"/>
      <c r="DQ146" s="258"/>
      <c r="DR146" s="258"/>
      <c r="DS146" s="258"/>
      <c r="DT146" s="258"/>
      <c r="DU146" s="258"/>
      <c r="DV146" s="258"/>
      <c r="DW146" s="258"/>
      <c r="DX146" s="258"/>
      <c r="DY146" s="258"/>
      <c r="DZ146" s="282"/>
      <c r="EA146" s="229"/>
      <c r="EB146" s="229"/>
    </row>
    <row r="147" spans="2:132" s="219" customFormat="1" ht="14.25" hidden="1" customHeight="1" x14ac:dyDescent="0.2">
      <c r="B147" s="811">
        <f ca="1">B142+INT(C146/12)</f>
        <v>2017</v>
      </c>
      <c r="C147" s="811">
        <v>5</v>
      </c>
      <c r="D147" s="828">
        <f t="shared" si="11"/>
        <v>0</v>
      </c>
      <c r="E147" s="822">
        <f t="shared" si="36"/>
        <v>0</v>
      </c>
      <c r="F147" s="829">
        <f t="shared" si="12"/>
        <v>0</v>
      </c>
      <c r="G147" s="829">
        <f t="shared" si="13"/>
        <v>0</v>
      </c>
      <c r="H147" s="830">
        <f t="shared" si="14"/>
        <v>0</v>
      </c>
      <c r="I147" s="831">
        <f t="shared" si="15"/>
        <v>0</v>
      </c>
      <c r="J147" s="829">
        <f>IF(AND(L147&gt;0,L146=0),K133,0)</f>
        <v>0</v>
      </c>
      <c r="K147" s="830">
        <f t="shared" si="16"/>
        <v>0</v>
      </c>
      <c r="L147" s="831">
        <f t="shared" si="17"/>
        <v>0</v>
      </c>
      <c r="M147" s="829">
        <f>IF(AND(O147&gt;0,O146=0),N133,0)</f>
        <v>0</v>
      </c>
      <c r="N147" s="830">
        <f t="shared" si="18"/>
        <v>0</v>
      </c>
      <c r="O147" s="831">
        <f t="shared" si="19"/>
        <v>0</v>
      </c>
      <c r="P147" s="829">
        <f>IF(AND(S147&gt;0,S146=0),Q133,0)</f>
        <v>0</v>
      </c>
      <c r="Q147" s="832">
        <f t="shared" si="20"/>
        <v>0</v>
      </c>
      <c r="S147" s="833">
        <f t="shared" si="21"/>
        <v>0</v>
      </c>
      <c r="T147" s="829">
        <f>IF(AND(V147&gt;0,V146=0),U133,0)</f>
        <v>0</v>
      </c>
      <c r="U147" s="830">
        <f t="shared" si="22"/>
        <v>0</v>
      </c>
      <c r="V147" s="831">
        <f t="shared" si="23"/>
        <v>0</v>
      </c>
      <c r="W147" s="829">
        <f>IF(AND(Y147&gt;0,Y146=0),X133,0)</f>
        <v>0</v>
      </c>
      <c r="X147" s="830">
        <f t="shared" si="24"/>
        <v>0</v>
      </c>
      <c r="Y147" s="831">
        <f t="shared" si="25"/>
        <v>0</v>
      </c>
      <c r="Z147" s="829">
        <f>IF(AND(AB147&gt;0,AB146=0),AA133,0)</f>
        <v>0</v>
      </c>
      <c r="AA147" s="830">
        <f t="shared" si="26"/>
        <v>0</v>
      </c>
      <c r="AB147" s="831">
        <f t="shared" si="27"/>
        <v>0</v>
      </c>
      <c r="AC147" s="829">
        <f>IF(AND(AE147&gt;0,AE146=0),AD133,0)</f>
        <v>0</v>
      </c>
      <c r="AD147" s="830">
        <f t="shared" si="28"/>
        <v>0</v>
      </c>
      <c r="AE147" s="831">
        <f t="shared" si="29"/>
        <v>0</v>
      </c>
      <c r="AF147" s="829">
        <f>IF(AND(AH147&gt;0,AH146=0),AG133,0)</f>
        <v>0</v>
      </c>
      <c r="AG147" s="830">
        <f t="shared" si="30"/>
        <v>0</v>
      </c>
      <c r="AH147" s="831">
        <f t="shared" si="31"/>
        <v>0</v>
      </c>
      <c r="AI147" s="829">
        <f>IF(AND(AK147&gt;0,AK146=0),AJ133,0)</f>
        <v>0</v>
      </c>
      <c r="AJ147" s="830">
        <f t="shared" si="32"/>
        <v>0</v>
      </c>
      <c r="AK147" s="831">
        <f t="shared" si="33"/>
        <v>0</v>
      </c>
      <c r="AL147" s="829">
        <f t="shared" ca="1" si="34"/>
        <v>0</v>
      </c>
      <c r="AM147" s="834"/>
      <c r="AN147" s="831"/>
      <c r="AO147" s="829">
        <f t="shared" ca="1" si="35"/>
        <v>0</v>
      </c>
      <c r="AP147" s="834"/>
      <c r="AQ147" s="831"/>
      <c r="AU147" s="258"/>
      <c r="AV147" s="258"/>
      <c r="AW147" s="258"/>
      <c r="AX147" s="258"/>
      <c r="AY147" s="258"/>
      <c r="AZ147" s="258"/>
      <c r="BA147" s="258"/>
      <c r="BB147" s="258"/>
      <c r="BC147" s="258"/>
      <c r="BD147" s="258"/>
      <c r="BE147" s="258"/>
      <c r="BF147" s="258"/>
      <c r="BG147" s="258"/>
      <c r="BH147" s="258"/>
      <c r="BI147" s="258"/>
      <c r="BJ147" s="258"/>
      <c r="BK147" s="258"/>
      <c r="BL147" s="258"/>
      <c r="BM147" s="258"/>
      <c r="BN147" s="258"/>
      <c r="BO147" s="258"/>
      <c r="BP147" s="258"/>
      <c r="BQ147" s="258"/>
      <c r="BR147" s="258"/>
      <c r="BS147" s="258"/>
      <c r="BT147" s="258"/>
      <c r="BU147" s="257"/>
      <c r="BV147" s="258"/>
      <c r="BW147" s="258"/>
      <c r="BX147" s="258"/>
      <c r="BY147" s="258"/>
      <c r="BZ147" s="446"/>
      <c r="CA147" s="446"/>
      <c r="CB147" s="446"/>
      <c r="CC147" s="446"/>
      <c r="CD147" s="446"/>
      <c r="CE147" s="446"/>
      <c r="CF147" s="446"/>
      <c r="CG147" s="446"/>
      <c r="CH147" s="446"/>
      <c r="CI147" s="446"/>
      <c r="CJ147" s="446"/>
      <c r="CK147" s="446"/>
      <c r="CL147" s="446"/>
      <c r="CM147" s="446"/>
      <c r="CN147" s="446"/>
      <c r="CO147" s="446"/>
      <c r="CP147" s="446"/>
      <c r="CQ147" s="446"/>
      <c r="CR147" s="446"/>
      <c r="CS147" s="446"/>
      <c r="CT147" s="446"/>
      <c r="CU147" s="446"/>
      <c r="CV147" s="446"/>
      <c r="CW147" s="820">
        <v>5</v>
      </c>
      <c r="CX147" s="446"/>
      <c r="CY147" s="446"/>
      <c r="CZ147" s="446"/>
      <c r="DA147" s="446"/>
      <c r="DB147" s="446"/>
      <c r="DC147" s="446"/>
      <c r="DD147" s="446"/>
      <c r="DE147" s="446"/>
      <c r="DF147" s="446"/>
      <c r="DG147" s="446"/>
      <c r="DH147" s="446"/>
      <c r="DI147" s="446"/>
      <c r="DJ147" s="446"/>
      <c r="DK147" s="446"/>
      <c r="DL147" s="446"/>
      <c r="DM147" s="446"/>
      <c r="DN147" s="446"/>
      <c r="DO147" s="446"/>
      <c r="DP147" s="258"/>
      <c r="DQ147" s="258"/>
      <c r="DR147" s="258"/>
      <c r="DS147" s="258"/>
      <c r="DT147" s="258"/>
      <c r="DU147" s="258"/>
      <c r="DV147" s="258"/>
      <c r="DW147" s="258"/>
      <c r="DX147" s="258"/>
      <c r="DY147" s="258"/>
      <c r="DZ147" s="282"/>
      <c r="EA147" s="229"/>
      <c r="EB147" s="229"/>
    </row>
    <row r="148" spans="2:132" s="219" customFormat="1" ht="14.25" hidden="1" customHeight="1" x14ac:dyDescent="0.2">
      <c r="B148" s="811">
        <f ca="1">B142+INT(C147/12)</f>
        <v>2017</v>
      </c>
      <c r="C148" s="811">
        <v>6</v>
      </c>
      <c r="D148" s="828">
        <f t="shared" si="11"/>
        <v>0</v>
      </c>
      <c r="E148" s="822">
        <f t="shared" si="36"/>
        <v>0</v>
      </c>
      <c r="F148" s="829">
        <f t="shared" si="12"/>
        <v>0</v>
      </c>
      <c r="G148" s="829">
        <f t="shared" si="13"/>
        <v>0</v>
      </c>
      <c r="H148" s="830">
        <f t="shared" si="14"/>
        <v>0</v>
      </c>
      <c r="I148" s="831">
        <f t="shared" si="15"/>
        <v>0</v>
      </c>
      <c r="J148" s="829">
        <f>IF(AND(L148&gt;0,L147=0),K133,0)</f>
        <v>0</v>
      </c>
      <c r="K148" s="830">
        <f t="shared" si="16"/>
        <v>0</v>
      </c>
      <c r="L148" s="831">
        <f t="shared" si="17"/>
        <v>0</v>
      </c>
      <c r="M148" s="829">
        <f>IF(AND(O148&gt;0,O147=0),N133,0)</f>
        <v>0</v>
      </c>
      <c r="N148" s="830">
        <f t="shared" si="18"/>
        <v>0</v>
      </c>
      <c r="O148" s="831">
        <f t="shared" si="19"/>
        <v>0</v>
      </c>
      <c r="P148" s="829">
        <f>IF(AND(S148&gt;0,S147=0),Q133,0)</f>
        <v>0</v>
      </c>
      <c r="Q148" s="832">
        <f t="shared" si="20"/>
        <v>0</v>
      </c>
      <c r="S148" s="833">
        <f t="shared" si="21"/>
        <v>0</v>
      </c>
      <c r="T148" s="829">
        <f>IF(AND(V148&gt;0,V147=0),U133,0)</f>
        <v>0</v>
      </c>
      <c r="U148" s="830">
        <f t="shared" si="22"/>
        <v>0</v>
      </c>
      <c r="V148" s="831">
        <f t="shared" si="23"/>
        <v>0</v>
      </c>
      <c r="W148" s="829">
        <f>IF(AND(Y148&gt;0,Y147=0),X133,0)</f>
        <v>0</v>
      </c>
      <c r="X148" s="830">
        <f t="shared" si="24"/>
        <v>0</v>
      </c>
      <c r="Y148" s="831">
        <f t="shared" si="25"/>
        <v>0</v>
      </c>
      <c r="Z148" s="829">
        <f>IF(AND(AB148&gt;0,AB147=0),AA133,0)</f>
        <v>0</v>
      </c>
      <c r="AA148" s="830">
        <f t="shared" si="26"/>
        <v>0</v>
      </c>
      <c r="AB148" s="831">
        <f t="shared" si="27"/>
        <v>0</v>
      </c>
      <c r="AC148" s="829">
        <f>IF(AND(AE148&gt;0,AE147=0),AD133,0)</f>
        <v>0</v>
      </c>
      <c r="AD148" s="830">
        <f t="shared" si="28"/>
        <v>0</v>
      </c>
      <c r="AE148" s="831">
        <f t="shared" si="29"/>
        <v>0</v>
      </c>
      <c r="AF148" s="829">
        <f>IF(AND(AH148&gt;0,AH147=0),AG133,0)</f>
        <v>0</v>
      </c>
      <c r="AG148" s="830">
        <f t="shared" si="30"/>
        <v>0</v>
      </c>
      <c r="AH148" s="831">
        <f t="shared" si="31"/>
        <v>0</v>
      </c>
      <c r="AI148" s="829">
        <f>IF(AND(AK148&gt;0,AK147=0),AJ133,0)</f>
        <v>0</v>
      </c>
      <c r="AJ148" s="830">
        <f t="shared" si="32"/>
        <v>0</v>
      </c>
      <c r="AK148" s="831">
        <f t="shared" si="33"/>
        <v>0</v>
      </c>
      <c r="AL148" s="829">
        <f t="shared" ca="1" si="34"/>
        <v>0</v>
      </c>
      <c r="AM148" s="834"/>
      <c r="AN148" s="831"/>
      <c r="AO148" s="829">
        <f t="shared" ca="1" si="35"/>
        <v>0</v>
      </c>
      <c r="AP148" s="834"/>
      <c r="AQ148" s="831"/>
      <c r="AU148" s="258"/>
      <c r="AV148" s="258"/>
      <c r="AW148" s="258"/>
      <c r="AX148" s="258"/>
      <c r="AY148" s="258"/>
      <c r="AZ148" s="258"/>
      <c r="BA148" s="258"/>
      <c r="BB148" s="258"/>
      <c r="BC148" s="258"/>
      <c r="BD148" s="258"/>
      <c r="BE148" s="258"/>
      <c r="BF148" s="258"/>
      <c r="BG148" s="258"/>
      <c r="BH148" s="258"/>
      <c r="BI148" s="258"/>
      <c r="BJ148" s="258"/>
      <c r="BK148" s="258"/>
      <c r="BL148" s="258"/>
      <c r="BM148" s="258"/>
      <c r="BN148" s="258"/>
      <c r="BO148" s="258"/>
      <c r="BP148" s="258"/>
      <c r="BQ148" s="258"/>
      <c r="BR148" s="258"/>
      <c r="BS148" s="258"/>
      <c r="BT148" s="258"/>
      <c r="BU148" s="257"/>
      <c r="BV148" s="258"/>
      <c r="BW148" s="258"/>
      <c r="BX148" s="258"/>
      <c r="BY148" s="258"/>
      <c r="BZ148" s="446"/>
      <c r="CA148" s="446"/>
      <c r="CB148" s="446"/>
      <c r="CC148" s="446"/>
      <c r="CD148" s="446"/>
      <c r="CE148" s="446"/>
      <c r="CF148" s="446"/>
      <c r="CG148" s="446"/>
      <c r="CH148" s="446"/>
      <c r="CI148" s="446"/>
      <c r="CJ148" s="446"/>
      <c r="CK148" s="446"/>
      <c r="CL148" s="446"/>
      <c r="CM148" s="446"/>
      <c r="CN148" s="446"/>
      <c r="CO148" s="446"/>
      <c r="CP148" s="446"/>
      <c r="CQ148" s="446"/>
      <c r="CR148" s="446"/>
      <c r="CS148" s="446"/>
      <c r="CT148" s="446"/>
      <c r="CU148" s="446"/>
      <c r="CV148" s="446"/>
      <c r="CW148" s="820">
        <v>6</v>
      </c>
      <c r="CX148" s="446"/>
      <c r="CY148" s="446"/>
      <c r="CZ148" s="446"/>
      <c r="DA148" s="446"/>
      <c r="DB148" s="446"/>
      <c r="DC148" s="446"/>
      <c r="DD148" s="446"/>
      <c r="DE148" s="446"/>
      <c r="DF148" s="446"/>
      <c r="DG148" s="446"/>
      <c r="DH148" s="446"/>
      <c r="DI148" s="446"/>
      <c r="DJ148" s="446"/>
      <c r="DK148" s="446"/>
      <c r="DL148" s="446"/>
      <c r="DM148" s="446"/>
      <c r="DN148" s="446"/>
      <c r="DO148" s="446"/>
      <c r="DP148" s="258"/>
      <c r="DQ148" s="258"/>
      <c r="DR148" s="258"/>
      <c r="DS148" s="258"/>
      <c r="DT148" s="258"/>
      <c r="DU148" s="258"/>
      <c r="DV148" s="258"/>
      <c r="DW148" s="258"/>
      <c r="DX148" s="258"/>
      <c r="DY148" s="258"/>
      <c r="DZ148" s="282"/>
      <c r="EA148" s="229"/>
      <c r="EB148" s="229"/>
    </row>
    <row r="149" spans="2:132" s="219" customFormat="1" ht="14.25" hidden="1" customHeight="1" x14ac:dyDescent="0.2">
      <c r="B149" s="811">
        <f ca="1">B142+INT(C148/12)</f>
        <v>2017</v>
      </c>
      <c r="C149" s="811">
        <v>7</v>
      </c>
      <c r="D149" s="828">
        <f t="shared" si="11"/>
        <v>0</v>
      </c>
      <c r="E149" s="822">
        <f t="shared" si="36"/>
        <v>0</v>
      </c>
      <c r="F149" s="829">
        <f t="shared" si="12"/>
        <v>0</v>
      </c>
      <c r="G149" s="829">
        <f t="shared" si="13"/>
        <v>0</v>
      </c>
      <c r="H149" s="830">
        <f t="shared" si="14"/>
        <v>0</v>
      </c>
      <c r="I149" s="831">
        <f t="shared" si="15"/>
        <v>0</v>
      </c>
      <c r="J149" s="829">
        <f>IF(AND(L149&gt;0,L148=0),K133,0)</f>
        <v>0</v>
      </c>
      <c r="K149" s="830">
        <f t="shared" si="16"/>
        <v>0</v>
      </c>
      <c r="L149" s="831">
        <f t="shared" si="17"/>
        <v>0</v>
      </c>
      <c r="M149" s="829">
        <f>IF(AND(O149&gt;0,O148=0),N133,0)</f>
        <v>0</v>
      </c>
      <c r="N149" s="830">
        <f t="shared" si="18"/>
        <v>0</v>
      </c>
      <c r="O149" s="831">
        <f t="shared" si="19"/>
        <v>0</v>
      </c>
      <c r="P149" s="829">
        <f>IF(AND(S149&gt;0,S148=0),Q133,0)</f>
        <v>0</v>
      </c>
      <c r="Q149" s="832">
        <f t="shared" si="20"/>
        <v>0</v>
      </c>
      <c r="S149" s="833">
        <f t="shared" si="21"/>
        <v>0</v>
      </c>
      <c r="T149" s="829">
        <f>IF(AND(V149&gt;0,V148=0),U133,0)</f>
        <v>0</v>
      </c>
      <c r="U149" s="830">
        <f t="shared" si="22"/>
        <v>0</v>
      </c>
      <c r="V149" s="831">
        <f t="shared" si="23"/>
        <v>0</v>
      </c>
      <c r="W149" s="829">
        <f>IF(AND(Y149&gt;0,Y148=0),X133,0)</f>
        <v>0</v>
      </c>
      <c r="X149" s="830">
        <f t="shared" si="24"/>
        <v>0</v>
      </c>
      <c r="Y149" s="831">
        <f t="shared" si="25"/>
        <v>0</v>
      </c>
      <c r="Z149" s="829">
        <f>IF(AND(AB149&gt;0,AB148=0),AA133,0)</f>
        <v>0</v>
      </c>
      <c r="AA149" s="830">
        <f t="shared" si="26"/>
        <v>0</v>
      </c>
      <c r="AB149" s="831">
        <f t="shared" si="27"/>
        <v>0</v>
      </c>
      <c r="AC149" s="829">
        <f>IF(AND(AE149&gt;0,AE148=0),AD133,0)</f>
        <v>0</v>
      </c>
      <c r="AD149" s="830">
        <f t="shared" si="28"/>
        <v>0</v>
      </c>
      <c r="AE149" s="831">
        <f t="shared" si="29"/>
        <v>0</v>
      </c>
      <c r="AF149" s="829">
        <f>IF(AND(AH149&gt;0,AH148=0),AG133,0)</f>
        <v>0</v>
      </c>
      <c r="AG149" s="830">
        <f t="shared" si="30"/>
        <v>0</v>
      </c>
      <c r="AH149" s="831">
        <f t="shared" si="31"/>
        <v>0</v>
      </c>
      <c r="AI149" s="829">
        <f>IF(AND(AK149&gt;0,AK148=0),AJ133,0)</f>
        <v>0</v>
      </c>
      <c r="AJ149" s="830">
        <f t="shared" si="32"/>
        <v>0</v>
      </c>
      <c r="AK149" s="831">
        <f t="shared" si="33"/>
        <v>0</v>
      </c>
      <c r="AL149" s="829">
        <f t="shared" ca="1" si="34"/>
        <v>0</v>
      </c>
      <c r="AM149" s="834"/>
      <c r="AN149" s="831"/>
      <c r="AO149" s="829">
        <f t="shared" ca="1" si="35"/>
        <v>0</v>
      </c>
      <c r="AP149" s="834"/>
      <c r="AQ149" s="831"/>
      <c r="AU149" s="258"/>
      <c r="AV149" s="258"/>
      <c r="AW149" s="258"/>
      <c r="AX149" s="258"/>
      <c r="AY149" s="258"/>
      <c r="AZ149" s="258"/>
      <c r="BA149" s="258"/>
      <c r="BB149" s="258"/>
      <c r="BC149" s="258"/>
      <c r="BD149" s="258"/>
      <c r="BE149" s="258"/>
      <c r="BF149" s="258"/>
      <c r="BG149" s="258"/>
      <c r="BH149" s="258"/>
      <c r="BI149" s="258"/>
      <c r="BJ149" s="258"/>
      <c r="BK149" s="258"/>
      <c r="BL149" s="258"/>
      <c r="BM149" s="258"/>
      <c r="BN149" s="258"/>
      <c r="BO149" s="258"/>
      <c r="BP149" s="258"/>
      <c r="BQ149" s="258"/>
      <c r="BR149" s="258"/>
      <c r="BS149" s="258"/>
      <c r="BT149" s="258"/>
      <c r="BU149" s="257"/>
      <c r="BV149" s="258"/>
      <c r="BW149" s="258"/>
      <c r="BX149" s="258"/>
      <c r="BY149" s="258"/>
      <c r="BZ149" s="446"/>
      <c r="CA149" s="446"/>
      <c r="CB149" s="446"/>
      <c r="CC149" s="446"/>
      <c r="CD149" s="446"/>
      <c r="CE149" s="446"/>
      <c r="CF149" s="446"/>
      <c r="CG149" s="446"/>
      <c r="CH149" s="446"/>
      <c r="CI149" s="446"/>
      <c r="CJ149" s="446"/>
      <c r="CK149" s="446"/>
      <c r="CL149" s="446"/>
      <c r="CM149" s="446"/>
      <c r="CN149" s="446"/>
      <c r="CO149" s="446"/>
      <c r="CP149" s="446"/>
      <c r="CQ149" s="446"/>
      <c r="CR149" s="446"/>
      <c r="CS149" s="446"/>
      <c r="CT149" s="446"/>
      <c r="CU149" s="446"/>
      <c r="CV149" s="446"/>
      <c r="CW149" s="820">
        <v>7</v>
      </c>
      <c r="CX149" s="446"/>
      <c r="CY149" s="446"/>
      <c r="CZ149" s="446"/>
      <c r="DA149" s="446"/>
      <c r="DB149" s="446"/>
      <c r="DC149" s="446"/>
      <c r="DD149" s="446"/>
      <c r="DE149" s="446"/>
      <c r="DF149" s="446"/>
      <c r="DG149" s="446"/>
      <c r="DH149" s="446"/>
      <c r="DI149" s="446"/>
      <c r="DJ149" s="446"/>
      <c r="DK149" s="446"/>
      <c r="DL149" s="446"/>
      <c r="DM149" s="446"/>
      <c r="DN149" s="446"/>
      <c r="DO149" s="446"/>
      <c r="DP149" s="258"/>
      <c r="DQ149" s="258"/>
      <c r="DR149" s="258"/>
      <c r="DS149" s="258"/>
      <c r="DT149" s="258"/>
      <c r="DU149" s="258"/>
      <c r="DV149" s="258"/>
      <c r="DW149" s="258"/>
      <c r="DX149" s="258"/>
      <c r="DY149" s="258"/>
      <c r="DZ149" s="282"/>
      <c r="EA149" s="229"/>
      <c r="EB149" s="229"/>
    </row>
    <row r="150" spans="2:132" s="219" customFormat="1" ht="14.25" hidden="1" customHeight="1" x14ac:dyDescent="0.2">
      <c r="B150" s="811">
        <f ca="1">B142+INT(C150/12)</f>
        <v>2017</v>
      </c>
      <c r="C150" s="811">
        <v>8</v>
      </c>
      <c r="D150" s="828">
        <f t="shared" si="11"/>
        <v>0</v>
      </c>
      <c r="E150" s="822">
        <f t="shared" si="36"/>
        <v>0</v>
      </c>
      <c r="F150" s="829">
        <f t="shared" si="12"/>
        <v>0</v>
      </c>
      <c r="G150" s="829">
        <f t="shared" si="13"/>
        <v>0</v>
      </c>
      <c r="H150" s="830">
        <f t="shared" si="14"/>
        <v>0</v>
      </c>
      <c r="I150" s="831">
        <f t="shared" si="15"/>
        <v>0</v>
      </c>
      <c r="J150" s="829">
        <f>IF(AND(L150&gt;0,L149=0),K133,0)</f>
        <v>0</v>
      </c>
      <c r="K150" s="830">
        <f t="shared" si="16"/>
        <v>0</v>
      </c>
      <c r="L150" s="831">
        <f t="shared" si="17"/>
        <v>0</v>
      </c>
      <c r="M150" s="829">
        <f>IF(AND(O150&gt;0,O149=0),N133,0)</f>
        <v>0</v>
      </c>
      <c r="N150" s="830">
        <f t="shared" si="18"/>
        <v>0</v>
      </c>
      <c r="O150" s="831">
        <f t="shared" si="19"/>
        <v>0</v>
      </c>
      <c r="P150" s="829">
        <f>IF(AND(S150&gt;0,S149=0),Q133,0)</f>
        <v>0</v>
      </c>
      <c r="Q150" s="832">
        <f t="shared" si="20"/>
        <v>0</v>
      </c>
      <c r="S150" s="833">
        <f t="shared" si="21"/>
        <v>0</v>
      </c>
      <c r="T150" s="829">
        <f>IF(AND(V150&gt;0,V149=0),U133,0)</f>
        <v>0</v>
      </c>
      <c r="U150" s="830">
        <f t="shared" si="22"/>
        <v>0</v>
      </c>
      <c r="V150" s="831">
        <f t="shared" si="23"/>
        <v>0</v>
      </c>
      <c r="W150" s="829">
        <f>IF(AND(Y150&gt;0,Y149=0),X133,0)</f>
        <v>0</v>
      </c>
      <c r="X150" s="830">
        <f t="shared" si="24"/>
        <v>0</v>
      </c>
      <c r="Y150" s="831">
        <f t="shared" si="25"/>
        <v>0</v>
      </c>
      <c r="Z150" s="829">
        <f>IF(AND(AB150&gt;0,AB149=0),AA133,0)</f>
        <v>0</v>
      </c>
      <c r="AA150" s="830">
        <f t="shared" si="26"/>
        <v>0</v>
      </c>
      <c r="AB150" s="831">
        <f t="shared" si="27"/>
        <v>0</v>
      </c>
      <c r="AC150" s="829">
        <f>IF(AND(AE150&gt;0,AE149=0),AD133,0)</f>
        <v>0</v>
      </c>
      <c r="AD150" s="830">
        <f t="shared" si="28"/>
        <v>0</v>
      </c>
      <c r="AE150" s="831">
        <f t="shared" si="29"/>
        <v>0</v>
      </c>
      <c r="AF150" s="829">
        <f>IF(AND(AH150&gt;0,AH149=0),AG133,0)</f>
        <v>0</v>
      </c>
      <c r="AG150" s="830">
        <f t="shared" si="30"/>
        <v>0</v>
      </c>
      <c r="AH150" s="831">
        <f t="shared" si="31"/>
        <v>0</v>
      </c>
      <c r="AI150" s="829">
        <f>IF(AND(AK150&gt;0,AK149=0),AJ133,0)</f>
        <v>0</v>
      </c>
      <c r="AJ150" s="830">
        <f t="shared" si="32"/>
        <v>0</v>
      </c>
      <c r="AK150" s="831">
        <f t="shared" si="33"/>
        <v>0</v>
      </c>
      <c r="AL150" s="829">
        <f t="shared" ca="1" si="34"/>
        <v>0</v>
      </c>
      <c r="AM150" s="834"/>
      <c r="AN150" s="831"/>
      <c r="AO150" s="829">
        <f t="shared" ca="1" si="35"/>
        <v>0</v>
      </c>
      <c r="AP150" s="834"/>
      <c r="AQ150" s="831"/>
      <c r="AU150" s="258"/>
      <c r="AV150" s="258"/>
      <c r="AW150" s="258"/>
      <c r="AX150" s="258"/>
      <c r="AY150" s="258"/>
      <c r="AZ150" s="258"/>
      <c r="BA150" s="258"/>
      <c r="BB150" s="258"/>
      <c r="BC150" s="258"/>
      <c r="BD150" s="258"/>
      <c r="BE150" s="258"/>
      <c r="BF150" s="258"/>
      <c r="BG150" s="258"/>
      <c r="BH150" s="258"/>
      <c r="BI150" s="258"/>
      <c r="BJ150" s="258"/>
      <c r="BK150" s="258"/>
      <c r="BL150" s="258"/>
      <c r="BM150" s="258"/>
      <c r="BN150" s="258"/>
      <c r="BO150" s="258"/>
      <c r="BP150" s="258"/>
      <c r="BQ150" s="258"/>
      <c r="BR150" s="258"/>
      <c r="BS150" s="258"/>
      <c r="BT150" s="258"/>
      <c r="BU150" s="257"/>
      <c r="BV150" s="258"/>
      <c r="BW150" s="258"/>
      <c r="BX150" s="258"/>
      <c r="BY150" s="258"/>
      <c r="BZ150" s="446"/>
      <c r="CA150" s="446"/>
      <c r="CB150" s="446"/>
      <c r="CC150" s="446"/>
      <c r="CD150" s="446"/>
      <c r="CE150" s="446"/>
      <c r="CF150" s="446"/>
      <c r="CG150" s="446"/>
      <c r="CH150" s="446"/>
      <c r="CI150" s="446"/>
      <c r="CJ150" s="446"/>
      <c r="CK150" s="446"/>
      <c r="CL150" s="446"/>
      <c r="CM150" s="446"/>
      <c r="CN150" s="446"/>
      <c r="CO150" s="446"/>
      <c r="CP150" s="446"/>
      <c r="CQ150" s="446"/>
      <c r="CR150" s="446"/>
      <c r="CS150" s="446"/>
      <c r="CT150" s="446"/>
      <c r="CU150" s="446"/>
      <c r="CV150" s="446"/>
      <c r="CW150" s="820">
        <v>8</v>
      </c>
      <c r="CX150" s="446"/>
      <c r="CY150" s="446"/>
      <c r="CZ150" s="446"/>
      <c r="DA150" s="446"/>
      <c r="DB150" s="446"/>
      <c r="DC150" s="446"/>
      <c r="DD150" s="446"/>
      <c r="DE150" s="446"/>
      <c r="DF150" s="446"/>
      <c r="DG150" s="446"/>
      <c r="DH150" s="446"/>
      <c r="DI150" s="446"/>
      <c r="DJ150" s="446"/>
      <c r="DK150" s="446"/>
      <c r="DL150" s="446"/>
      <c r="DM150" s="446"/>
      <c r="DN150" s="446"/>
      <c r="DO150" s="446"/>
      <c r="DP150" s="258"/>
      <c r="DQ150" s="258"/>
      <c r="DR150" s="258"/>
      <c r="DS150" s="258"/>
      <c r="DT150" s="258"/>
      <c r="DU150" s="258"/>
      <c r="DV150" s="258"/>
      <c r="DW150" s="258"/>
      <c r="DX150" s="258"/>
      <c r="DY150" s="258"/>
      <c r="DZ150" s="282"/>
      <c r="EA150" s="229"/>
      <c r="EB150" s="229"/>
    </row>
    <row r="151" spans="2:132" s="219" customFormat="1" ht="14.25" hidden="1" customHeight="1" x14ac:dyDescent="0.2">
      <c r="B151" s="811">
        <f ca="1">B142+INT(C150/12)</f>
        <v>2017</v>
      </c>
      <c r="C151" s="811">
        <v>9</v>
      </c>
      <c r="D151" s="828">
        <f t="shared" si="11"/>
        <v>0</v>
      </c>
      <c r="E151" s="822">
        <f t="shared" si="36"/>
        <v>0</v>
      </c>
      <c r="F151" s="829">
        <f t="shared" si="12"/>
        <v>0</v>
      </c>
      <c r="G151" s="829">
        <f t="shared" si="13"/>
        <v>0</v>
      </c>
      <c r="H151" s="830">
        <f t="shared" si="14"/>
        <v>0</v>
      </c>
      <c r="I151" s="831">
        <f t="shared" si="15"/>
        <v>0</v>
      </c>
      <c r="J151" s="829">
        <f>IF(AND(L151&gt;0,L150=0),K133,0)</f>
        <v>0</v>
      </c>
      <c r="K151" s="830">
        <f t="shared" si="16"/>
        <v>0</v>
      </c>
      <c r="L151" s="831">
        <f t="shared" si="17"/>
        <v>0</v>
      </c>
      <c r="M151" s="829">
        <f>IF(AND(O151&gt;0,O150=0),N133,0)</f>
        <v>0</v>
      </c>
      <c r="N151" s="830">
        <f t="shared" si="18"/>
        <v>0</v>
      </c>
      <c r="O151" s="831">
        <f t="shared" si="19"/>
        <v>0</v>
      </c>
      <c r="P151" s="829">
        <f>IF(AND(S151&gt;0,S150=0),Q133,0)</f>
        <v>0</v>
      </c>
      <c r="Q151" s="832">
        <f t="shared" si="20"/>
        <v>0</v>
      </c>
      <c r="S151" s="833">
        <f t="shared" si="21"/>
        <v>0</v>
      </c>
      <c r="T151" s="829">
        <f>IF(AND(V151&gt;0,V150=0),U133,0)</f>
        <v>0</v>
      </c>
      <c r="U151" s="830">
        <f t="shared" si="22"/>
        <v>0</v>
      </c>
      <c r="V151" s="831">
        <f t="shared" si="23"/>
        <v>0</v>
      </c>
      <c r="W151" s="829">
        <f>IF(AND(Y151&gt;0,Y150=0),X133,0)</f>
        <v>0</v>
      </c>
      <c r="X151" s="830">
        <f t="shared" si="24"/>
        <v>0</v>
      </c>
      <c r="Y151" s="831">
        <f t="shared" si="25"/>
        <v>0</v>
      </c>
      <c r="Z151" s="829">
        <f>IF(AND(AB151&gt;0,AB150=0),AA133,0)</f>
        <v>0</v>
      </c>
      <c r="AA151" s="830">
        <f t="shared" si="26"/>
        <v>0</v>
      </c>
      <c r="AB151" s="831">
        <f t="shared" si="27"/>
        <v>0</v>
      </c>
      <c r="AC151" s="829">
        <f>IF(AND(AE151&gt;0,AE150=0),AD133,0)</f>
        <v>0</v>
      </c>
      <c r="AD151" s="830">
        <f t="shared" si="28"/>
        <v>0</v>
      </c>
      <c r="AE151" s="831">
        <f t="shared" si="29"/>
        <v>0</v>
      </c>
      <c r="AF151" s="829">
        <f>IF(AND(AH151&gt;0,AH150=0),AG133,0)</f>
        <v>0</v>
      </c>
      <c r="AG151" s="830">
        <f t="shared" si="30"/>
        <v>0</v>
      </c>
      <c r="AH151" s="831">
        <f t="shared" si="31"/>
        <v>0</v>
      </c>
      <c r="AI151" s="829">
        <f>IF(AND(AK151&gt;0,AK150=0),AJ133,0)</f>
        <v>0</v>
      </c>
      <c r="AJ151" s="830">
        <f t="shared" si="32"/>
        <v>0</v>
      </c>
      <c r="AK151" s="831">
        <f t="shared" si="33"/>
        <v>0</v>
      </c>
      <c r="AL151" s="829">
        <f t="shared" ca="1" si="34"/>
        <v>0</v>
      </c>
      <c r="AM151" s="834"/>
      <c r="AN151" s="831"/>
      <c r="AO151" s="829">
        <f t="shared" ca="1" si="35"/>
        <v>0</v>
      </c>
      <c r="AP151" s="834"/>
      <c r="AQ151" s="831"/>
      <c r="AU151" s="258"/>
      <c r="AV151" s="258"/>
      <c r="AW151" s="258"/>
      <c r="AX151" s="258"/>
      <c r="AY151" s="258"/>
      <c r="AZ151" s="258"/>
      <c r="BA151" s="258"/>
      <c r="BB151" s="258"/>
      <c r="BC151" s="258"/>
      <c r="BD151" s="258"/>
      <c r="BE151" s="258"/>
      <c r="BF151" s="258"/>
      <c r="BG151" s="258"/>
      <c r="BH151" s="258"/>
      <c r="BI151" s="258"/>
      <c r="BJ151" s="258"/>
      <c r="BK151" s="258"/>
      <c r="BL151" s="258"/>
      <c r="BM151" s="258"/>
      <c r="BN151" s="258"/>
      <c r="BO151" s="258"/>
      <c r="BP151" s="258"/>
      <c r="BQ151" s="258"/>
      <c r="BR151" s="258"/>
      <c r="BS151" s="258"/>
      <c r="BT151" s="258"/>
      <c r="BU151" s="257"/>
      <c r="BV151" s="258"/>
      <c r="BW151" s="258"/>
      <c r="BX151" s="258"/>
      <c r="BY151" s="258"/>
      <c r="BZ151" s="446"/>
      <c r="CA151" s="446"/>
      <c r="CB151" s="446"/>
      <c r="CC151" s="446"/>
      <c r="CD151" s="446"/>
      <c r="CE151" s="446"/>
      <c r="CF151" s="446"/>
      <c r="CG151" s="446"/>
      <c r="CH151" s="446"/>
      <c r="CI151" s="446"/>
      <c r="CJ151" s="446"/>
      <c r="CK151" s="446"/>
      <c r="CL151" s="446"/>
      <c r="CM151" s="446"/>
      <c r="CN151" s="446"/>
      <c r="CO151" s="446"/>
      <c r="CP151" s="446"/>
      <c r="CQ151" s="446"/>
      <c r="CR151" s="446"/>
      <c r="CS151" s="446"/>
      <c r="CT151" s="446"/>
      <c r="CU151" s="446"/>
      <c r="CV151" s="446"/>
      <c r="CW151" s="820">
        <v>9</v>
      </c>
      <c r="CX151" s="446"/>
      <c r="CY151" s="446"/>
      <c r="CZ151" s="446"/>
      <c r="DA151" s="446"/>
      <c r="DB151" s="446"/>
      <c r="DC151" s="446"/>
      <c r="DD151" s="446"/>
      <c r="DE151" s="446"/>
      <c r="DF151" s="446"/>
      <c r="DG151" s="446"/>
      <c r="DH151" s="446"/>
      <c r="DI151" s="446"/>
      <c r="DJ151" s="446"/>
      <c r="DK151" s="446"/>
      <c r="DL151" s="446"/>
      <c r="DM151" s="446"/>
      <c r="DN151" s="446"/>
      <c r="DO151" s="446"/>
      <c r="DP151" s="258"/>
      <c r="DQ151" s="258"/>
      <c r="DR151" s="258"/>
      <c r="DS151" s="258"/>
      <c r="DT151" s="258"/>
      <c r="DU151" s="258"/>
      <c r="DV151" s="258"/>
      <c r="DW151" s="258"/>
      <c r="DX151" s="258"/>
      <c r="DY151" s="258"/>
      <c r="DZ151" s="282"/>
      <c r="EA151" s="229"/>
      <c r="EB151" s="229"/>
    </row>
    <row r="152" spans="2:132" s="219" customFormat="1" ht="14.25" hidden="1" customHeight="1" x14ac:dyDescent="0.2">
      <c r="B152" s="811">
        <f ca="1">B142+INT(C151/12)</f>
        <v>2017</v>
      </c>
      <c r="C152" s="811">
        <v>10</v>
      </c>
      <c r="D152" s="828">
        <f t="shared" si="11"/>
        <v>0</v>
      </c>
      <c r="E152" s="822">
        <f t="shared" si="36"/>
        <v>0</v>
      </c>
      <c r="F152" s="829">
        <f t="shared" si="12"/>
        <v>0</v>
      </c>
      <c r="G152" s="829">
        <f t="shared" si="13"/>
        <v>0</v>
      </c>
      <c r="H152" s="830">
        <f t="shared" si="14"/>
        <v>0</v>
      </c>
      <c r="I152" s="831">
        <f t="shared" si="15"/>
        <v>0</v>
      </c>
      <c r="J152" s="829">
        <f>IF(AND(L152&gt;0,L151=0),K133,0)</f>
        <v>0</v>
      </c>
      <c r="K152" s="830">
        <f t="shared" si="16"/>
        <v>0</v>
      </c>
      <c r="L152" s="831">
        <f t="shared" si="17"/>
        <v>0</v>
      </c>
      <c r="M152" s="829">
        <f>IF(AND(O152&gt;0,O151=0),N133,0)</f>
        <v>0</v>
      </c>
      <c r="N152" s="830">
        <f t="shared" si="18"/>
        <v>0</v>
      </c>
      <c r="O152" s="831">
        <f t="shared" si="19"/>
        <v>0</v>
      </c>
      <c r="P152" s="829">
        <f>IF(AND(S152&gt;0,S151=0),Q133,0)</f>
        <v>0</v>
      </c>
      <c r="Q152" s="832">
        <f t="shared" si="20"/>
        <v>0</v>
      </c>
      <c r="S152" s="833">
        <f t="shared" si="21"/>
        <v>0</v>
      </c>
      <c r="T152" s="829">
        <f>IF(AND(V152&gt;0,V151=0),U133,0)</f>
        <v>0</v>
      </c>
      <c r="U152" s="830">
        <f t="shared" si="22"/>
        <v>0</v>
      </c>
      <c r="V152" s="831">
        <f t="shared" si="23"/>
        <v>0</v>
      </c>
      <c r="W152" s="829">
        <f>IF(AND(Y152&gt;0,Y151=0),X133,0)</f>
        <v>0</v>
      </c>
      <c r="X152" s="830">
        <f t="shared" si="24"/>
        <v>0</v>
      </c>
      <c r="Y152" s="831">
        <f t="shared" si="25"/>
        <v>0</v>
      </c>
      <c r="Z152" s="829">
        <f>IF(AND(AB152&gt;0,AB151=0),AA133,0)</f>
        <v>0</v>
      </c>
      <c r="AA152" s="830">
        <f t="shared" si="26"/>
        <v>0</v>
      </c>
      <c r="AB152" s="831">
        <f t="shared" si="27"/>
        <v>0</v>
      </c>
      <c r="AC152" s="829">
        <f>IF(AND(AE152&gt;0,AE151=0),AD133,0)</f>
        <v>0</v>
      </c>
      <c r="AD152" s="830">
        <f t="shared" si="28"/>
        <v>0</v>
      </c>
      <c r="AE152" s="831">
        <f t="shared" si="29"/>
        <v>0</v>
      </c>
      <c r="AF152" s="829">
        <f>IF(AND(AH152&gt;0,AH151=0),AG133,0)</f>
        <v>0</v>
      </c>
      <c r="AG152" s="830">
        <f t="shared" si="30"/>
        <v>0</v>
      </c>
      <c r="AH152" s="831">
        <f t="shared" si="31"/>
        <v>0</v>
      </c>
      <c r="AI152" s="829">
        <f>IF(AND(AK152&gt;0,AK151=0),AJ133,0)</f>
        <v>0</v>
      </c>
      <c r="AJ152" s="830">
        <f t="shared" si="32"/>
        <v>0</v>
      </c>
      <c r="AK152" s="831">
        <f t="shared" si="33"/>
        <v>0</v>
      </c>
      <c r="AL152" s="829">
        <f t="shared" ca="1" si="34"/>
        <v>0</v>
      </c>
      <c r="AM152" s="834"/>
      <c r="AN152" s="831"/>
      <c r="AO152" s="829">
        <f t="shared" ca="1" si="35"/>
        <v>0</v>
      </c>
      <c r="AP152" s="834"/>
      <c r="AQ152" s="831"/>
      <c r="AU152" s="258"/>
      <c r="AV152" s="258"/>
      <c r="AW152" s="258"/>
      <c r="AX152" s="258"/>
      <c r="AY152" s="258"/>
      <c r="AZ152" s="258"/>
      <c r="BA152" s="258"/>
      <c r="BB152" s="258"/>
      <c r="BC152" s="258"/>
      <c r="BD152" s="258"/>
      <c r="BE152" s="258"/>
      <c r="BF152" s="258"/>
      <c r="BG152" s="258"/>
      <c r="BH152" s="258"/>
      <c r="BI152" s="258"/>
      <c r="BJ152" s="258"/>
      <c r="BK152" s="258"/>
      <c r="BL152" s="258"/>
      <c r="BM152" s="258"/>
      <c r="BN152" s="258"/>
      <c r="BO152" s="258"/>
      <c r="BP152" s="258"/>
      <c r="BQ152" s="258"/>
      <c r="BR152" s="258"/>
      <c r="BS152" s="258"/>
      <c r="BT152" s="258"/>
      <c r="BU152" s="257"/>
      <c r="BV152" s="258"/>
      <c r="BW152" s="258"/>
      <c r="BX152" s="258"/>
      <c r="BY152" s="258"/>
      <c r="BZ152" s="446"/>
      <c r="CA152" s="446"/>
      <c r="CB152" s="446"/>
      <c r="CC152" s="446"/>
      <c r="CD152" s="446"/>
      <c r="CE152" s="446"/>
      <c r="CF152" s="446"/>
      <c r="CG152" s="446"/>
      <c r="CH152" s="446"/>
      <c r="CI152" s="446"/>
      <c r="CJ152" s="446"/>
      <c r="CK152" s="446"/>
      <c r="CL152" s="446"/>
      <c r="CM152" s="446"/>
      <c r="CN152" s="446"/>
      <c r="CO152" s="446"/>
      <c r="CP152" s="446"/>
      <c r="CQ152" s="446"/>
      <c r="CR152" s="446"/>
      <c r="CS152" s="446"/>
      <c r="CT152" s="446"/>
      <c r="CU152" s="446"/>
      <c r="CV152" s="446"/>
      <c r="CW152" s="820">
        <v>10</v>
      </c>
      <c r="CX152" s="446"/>
      <c r="CY152" s="446"/>
      <c r="CZ152" s="446"/>
      <c r="DA152" s="446"/>
      <c r="DB152" s="446"/>
      <c r="DC152" s="446"/>
      <c r="DD152" s="446"/>
      <c r="DE152" s="446"/>
      <c r="DF152" s="446"/>
      <c r="DG152" s="446"/>
      <c r="DH152" s="446"/>
      <c r="DI152" s="446"/>
      <c r="DJ152" s="446"/>
      <c r="DK152" s="446"/>
      <c r="DL152" s="446"/>
      <c r="DM152" s="446"/>
      <c r="DN152" s="446"/>
      <c r="DO152" s="446"/>
      <c r="DP152" s="258"/>
      <c r="DQ152" s="258"/>
      <c r="DR152" s="258"/>
      <c r="DS152" s="258"/>
      <c r="DT152" s="258"/>
      <c r="DU152" s="258"/>
      <c r="DV152" s="258"/>
      <c r="DW152" s="258"/>
      <c r="DX152" s="258"/>
      <c r="DY152" s="258"/>
      <c r="DZ152" s="282"/>
      <c r="EA152" s="229"/>
      <c r="EB152" s="229"/>
    </row>
    <row r="153" spans="2:132" s="219" customFormat="1" ht="14.25" hidden="1" customHeight="1" x14ac:dyDescent="0.2">
      <c r="B153" s="811">
        <f ca="1">B142+INT(C152/12)</f>
        <v>2017</v>
      </c>
      <c r="C153" s="811">
        <v>11</v>
      </c>
      <c r="D153" s="828">
        <f t="shared" si="11"/>
        <v>0</v>
      </c>
      <c r="E153" s="822">
        <f t="shared" si="36"/>
        <v>0</v>
      </c>
      <c r="F153" s="829">
        <f t="shared" si="12"/>
        <v>0</v>
      </c>
      <c r="G153" s="829">
        <f t="shared" si="13"/>
        <v>0</v>
      </c>
      <c r="H153" s="830">
        <f t="shared" si="14"/>
        <v>0</v>
      </c>
      <c r="I153" s="831">
        <f t="shared" si="15"/>
        <v>0</v>
      </c>
      <c r="J153" s="829">
        <f>IF(AND(L153&gt;0,L152=0),K133,0)</f>
        <v>0</v>
      </c>
      <c r="K153" s="830">
        <f t="shared" si="16"/>
        <v>0</v>
      </c>
      <c r="L153" s="831">
        <f t="shared" si="17"/>
        <v>0</v>
      </c>
      <c r="M153" s="829">
        <f>IF(AND(O153&gt;0,O152=0),N133,0)</f>
        <v>0</v>
      </c>
      <c r="N153" s="830">
        <f t="shared" si="18"/>
        <v>0</v>
      </c>
      <c r="O153" s="831">
        <f t="shared" si="19"/>
        <v>0</v>
      </c>
      <c r="P153" s="829">
        <f>IF(AND(S153&gt;0,S152=0),Q133,0)</f>
        <v>0</v>
      </c>
      <c r="Q153" s="832">
        <f t="shared" si="20"/>
        <v>0</v>
      </c>
      <c r="S153" s="833">
        <f t="shared" si="21"/>
        <v>0</v>
      </c>
      <c r="T153" s="829">
        <f>IF(AND(V153&gt;0,V152=0),U133,0)</f>
        <v>0</v>
      </c>
      <c r="U153" s="830">
        <f t="shared" si="22"/>
        <v>0</v>
      </c>
      <c r="V153" s="831">
        <f t="shared" si="23"/>
        <v>0</v>
      </c>
      <c r="W153" s="829">
        <f>IF(AND(Y153&gt;0,Y152=0),X133,0)</f>
        <v>0</v>
      </c>
      <c r="X153" s="830">
        <f t="shared" si="24"/>
        <v>0</v>
      </c>
      <c r="Y153" s="831">
        <f t="shared" si="25"/>
        <v>0</v>
      </c>
      <c r="Z153" s="829">
        <f>IF(AND(AB153&gt;0,AB152=0),AA133,0)</f>
        <v>0</v>
      </c>
      <c r="AA153" s="830">
        <f t="shared" si="26"/>
        <v>0</v>
      </c>
      <c r="AB153" s="831">
        <f t="shared" si="27"/>
        <v>0</v>
      </c>
      <c r="AC153" s="829">
        <f>IF(AND(AE153&gt;0,AE152=0),AD133,0)</f>
        <v>0</v>
      </c>
      <c r="AD153" s="830">
        <f t="shared" si="28"/>
        <v>0</v>
      </c>
      <c r="AE153" s="831">
        <f t="shared" si="29"/>
        <v>0</v>
      </c>
      <c r="AF153" s="829">
        <f>IF(AND(AH153&gt;0,AH152=0),AG133,0)</f>
        <v>0</v>
      </c>
      <c r="AG153" s="830">
        <f t="shared" si="30"/>
        <v>0</v>
      </c>
      <c r="AH153" s="831">
        <f t="shared" si="31"/>
        <v>0</v>
      </c>
      <c r="AI153" s="829">
        <f>IF(AND(AK153&gt;0,AK152=0),AJ133,0)</f>
        <v>0</v>
      </c>
      <c r="AJ153" s="830">
        <f t="shared" si="32"/>
        <v>0</v>
      </c>
      <c r="AK153" s="831">
        <f t="shared" si="33"/>
        <v>0</v>
      </c>
      <c r="AL153" s="829">
        <f t="shared" ca="1" si="34"/>
        <v>0</v>
      </c>
      <c r="AM153" s="834"/>
      <c r="AN153" s="831"/>
      <c r="AO153" s="829">
        <f t="shared" ca="1" si="35"/>
        <v>0</v>
      </c>
      <c r="AP153" s="834"/>
      <c r="AQ153" s="831"/>
      <c r="AU153" s="258"/>
      <c r="AV153" s="258"/>
      <c r="AW153" s="258"/>
      <c r="AX153" s="258"/>
      <c r="AY153" s="258"/>
      <c r="AZ153" s="258"/>
      <c r="BA153" s="258"/>
      <c r="BB153" s="258"/>
      <c r="BC153" s="258"/>
      <c r="BD153" s="258"/>
      <c r="BE153" s="258"/>
      <c r="BF153" s="258"/>
      <c r="BG153" s="258"/>
      <c r="BH153" s="258"/>
      <c r="BI153" s="258"/>
      <c r="BJ153" s="258"/>
      <c r="BK153" s="258"/>
      <c r="BL153" s="258"/>
      <c r="BM153" s="258"/>
      <c r="BN153" s="258"/>
      <c r="BO153" s="258"/>
      <c r="BP153" s="258"/>
      <c r="BQ153" s="258"/>
      <c r="BR153" s="258"/>
      <c r="BS153" s="258"/>
      <c r="BT153" s="258"/>
      <c r="BU153" s="257"/>
      <c r="BV153" s="258"/>
      <c r="BW153" s="258"/>
      <c r="BX153" s="258"/>
      <c r="BY153" s="258"/>
      <c r="BZ153" s="446"/>
      <c r="CA153" s="446"/>
      <c r="CB153" s="446"/>
      <c r="CC153" s="446"/>
      <c r="CD153" s="446"/>
      <c r="CE153" s="446"/>
      <c r="CF153" s="446"/>
      <c r="CG153" s="446"/>
      <c r="CH153" s="446"/>
      <c r="CI153" s="446"/>
      <c r="CJ153" s="446"/>
      <c r="CK153" s="446"/>
      <c r="CL153" s="446"/>
      <c r="CM153" s="446"/>
      <c r="CN153" s="446"/>
      <c r="CO153" s="446"/>
      <c r="CP153" s="446"/>
      <c r="CQ153" s="446"/>
      <c r="CR153" s="446"/>
      <c r="CS153" s="446"/>
      <c r="CT153" s="446"/>
      <c r="CU153" s="446"/>
      <c r="CV153" s="446"/>
      <c r="CW153" s="820">
        <v>11</v>
      </c>
      <c r="CX153" s="446"/>
      <c r="CY153" s="446"/>
      <c r="CZ153" s="446"/>
      <c r="DA153" s="446"/>
      <c r="DB153" s="446"/>
      <c r="DC153" s="446"/>
      <c r="DD153" s="446"/>
      <c r="DE153" s="446"/>
      <c r="DF153" s="446"/>
      <c r="DG153" s="446"/>
      <c r="DH153" s="446"/>
      <c r="DI153" s="446"/>
      <c r="DJ153" s="446"/>
      <c r="DK153" s="446"/>
      <c r="DL153" s="446"/>
      <c r="DM153" s="446"/>
      <c r="DN153" s="446"/>
      <c r="DO153" s="446"/>
      <c r="DP153" s="258"/>
      <c r="DQ153" s="258"/>
      <c r="DR153" s="258"/>
      <c r="DS153" s="258"/>
      <c r="DT153" s="258"/>
      <c r="DU153" s="258"/>
      <c r="DV153" s="258"/>
      <c r="DW153" s="258"/>
      <c r="DX153" s="258"/>
      <c r="DY153" s="258"/>
      <c r="DZ153" s="282"/>
      <c r="EA153" s="229"/>
      <c r="EB153" s="229"/>
    </row>
    <row r="154" spans="2:132" s="219" customFormat="1" ht="14.25" hidden="1" customHeight="1" x14ac:dyDescent="0.2">
      <c r="B154" s="812">
        <f ca="1">B142+INT(C153/12)</f>
        <v>2017</v>
      </c>
      <c r="C154" s="812">
        <v>12</v>
      </c>
      <c r="D154" s="835">
        <f t="shared" si="11"/>
        <v>0</v>
      </c>
      <c r="E154" s="822">
        <f t="shared" si="36"/>
        <v>0</v>
      </c>
      <c r="F154" s="836">
        <f t="shared" si="12"/>
        <v>0</v>
      </c>
      <c r="G154" s="836">
        <f t="shared" si="13"/>
        <v>0</v>
      </c>
      <c r="H154" s="837">
        <f t="shared" si="14"/>
        <v>0</v>
      </c>
      <c r="I154" s="838">
        <f t="shared" si="15"/>
        <v>0</v>
      </c>
      <c r="J154" s="836">
        <f>IF(AND(L154&gt;0,L153=0),K133,0)</f>
        <v>0</v>
      </c>
      <c r="K154" s="837">
        <f t="shared" si="16"/>
        <v>0</v>
      </c>
      <c r="L154" s="838">
        <f t="shared" si="17"/>
        <v>0</v>
      </c>
      <c r="M154" s="836">
        <f>IF(AND(O154&gt;0,O153=0),N133,0)</f>
        <v>0</v>
      </c>
      <c r="N154" s="837">
        <f t="shared" si="18"/>
        <v>0</v>
      </c>
      <c r="O154" s="838">
        <f t="shared" si="19"/>
        <v>0</v>
      </c>
      <c r="P154" s="836">
        <f>IF(AND(S154&gt;0,S153=0),Q133,0)</f>
        <v>0</v>
      </c>
      <c r="Q154" s="839">
        <f t="shared" si="20"/>
        <v>0</v>
      </c>
      <c r="S154" s="840">
        <f t="shared" si="21"/>
        <v>0</v>
      </c>
      <c r="T154" s="836">
        <f>IF(AND(V154&gt;0,V153=0),U133,0)</f>
        <v>0</v>
      </c>
      <c r="U154" s="837">
        <f t="shared" si="22"/>
        <v>0</v>
      </c>
      <c r="V154" s="838">
        <f t="shared" si="23"/>
        <v>0</v>
      </c>
      <c r="W154" s="836">
        <f>IF(AND(Y154&gt;0,Y153=0),X133,0)</f>
        <v>0</v>
      </c>
      <c r="X154" s="837">
        <f t="shared" si="24"/>
        <v>0</v>
      </c>
      <c r="Y154" s="838">
        <f t="shared" si="25"/>
        <v>0</v>
      </c>
      <c r="Z154" s="836">
        <f>IF(AND(AB154&gt;0,AB153=0),AA133,0)</f>
        <v>0</v>
      </c>
      <c r="AA154" s="837">
        <f t="shared" si="26"/>
        <v>0</v>
      </c>
      <c r="AB154" s="838">
        <f t="shared" si="27"/>
        <v>0</v>
      </c>
      <c r="AC154" s="836">
        <f>IF(AND(AE154&gt;0,AE153=0),AD133,0)</f>
        <v>0</v>
      </c>
      <c r="AD154" s="837">
        <f t="shared" si="28"/>
        <v>0</v>
      </c>
      <c r="AE154" s="838">
        <f t="shared" si="29"/>
        <v>0</v>
      </c>
      <c r="AF154" s="836">
        <f>IF(AND(AH154&gt;0,AH153=0),AG133,0)</f>
        <v>0</v>
      </c>
      <c r="AG154" s="837">
        <f t="shared" si="30"/>
        <v>0</v>
      </c>
      <c r="AH154" s="838">
        <f t="shared" si="31"/>
        <v>0</v>
      </c>
      <c r="AI154" s="836">
        <f>IF(AND(AK154&gt;0,AK153=0),AJ133,0)</f>
        <v>0</v>
      </c>
      <c r="AJ154" s="837">
        <f t="shared" si="32"/>
        <v>0</v>
      </c>
      <c r="AK154" s="838">
        <f t="shared" si="33"/>
        <v>0</v>
      </c>
      <c r="AL154" s="836">
        <f t="shared" ca="1" si="34"/>
        <v>0</v>
      </c>
      <c r="AM154" s="834"/>
      <c r="AN154" s="831"/>
      <c r="AO154" s="836">
        <f t="shared" ca="1" si="35"/>
        <v>0</v>
      </c>
      <c r="AP154" s="834"/>
      <c r="AQ154" s="831"/>
      <c r="AU154" s="258"/>
      <c r="AV154" s="258"/>
      <c r="AW154" s="258"/>
      <c r="AX154" s="258"/>
      <c r="AY154" s="258"/>
      <c r="AZ154" s="258"/>
      <c r="BA154" s="258"/>
      <c r="BB154" s="258"/>
      <c r="BC154" s="258"/>
      <c r="BD154" s="258"/>
      <c r="BE154" s="258"/>
      <c r="BF154" s="258"/>
      <c r="BG154" s="258"/>
      <c r="BH154" s="258"/>
      <c r="BI154" s="258"/>
      <c r="BJ154" s="258"/>
      <c r="BK154" s="258"/>
      <c r="BL154" s="258"/>
      <c r="BM154" s="258"/>
      <c r="BN154" s="258"/>
      <c r="BO154" s="258"/>
      <c r="BP154" s="258"/>
      <c r="BQ154" s="258"/>
      <c r="BR154" s="258"/>
      <c r="BS154" s="258"/>
      <c r="BT154" s="258"/>
      <c r="BU154" s="257"/>
      <c r="BV154" s="258"/>
      <c r="BW154" s="258"/>
      <c r="BX154" s="258"/>
      <c r="BY154" s="258"/>
      <c r="BZ154" s="446"/>
      <c r="CA154" s="446"/>
      <c r="CB154" s="446"/>
      <c r="CC154" s="446"/>
      <c r="CD154" s="446"/>
      <c r="CE154" s="446"/>
      <c r="CF154" s="446"/>
      <c r="CG154" s="446"/>
      <c r="CH154" s="446"/>
      <c r="CI154" s="446"/>
      <c r="CJ154" s="446"/>
      <c r="CK154" s="446"/>
      <c r="CL154" s="446"/>
      <c r="CM154" s="446"/>
      <c r="CN154" s="446"/>
      <c r="CO154" s="446"/>
      <c r="CP154" s="446"/>
      <c r="CQ154" s="446"/>
      <c r="CR154" s="446"/>
      <c r="CS154" s="446"/>
      <c r="CT154" s="446"/>
      <c r="CU154" s="446"/>
      <c r="CV154" s="446"/>
      <c r="CW154" s="820">
        <v>12</v>
      </c>
      <c r="CX154" s="446"/>
      <c r="CY154" s="446"/>
      <c r="CZ154" s="446"/>
      <c r="DA154" s="446"/>
      <c r="DB154" s="446"/>
      <c r="DC154" s="446"/>
      <c r="DD154" s="446"/>
      <c r="DE154" s="446"/>
      <c r="DF154" s="446"/>
      <c r="DG154" s="446"/>
      <c r="DH154" s="446"/>
      <c r="DI154" s="446"/>
      <c r="DJ154" s="446"/>
      <c r="DK154" s="446"/>
      <c r="DL154" s="446"/>
      <c r="DM154" s="446"/>
      <c r="DN154" s="446"/>
      <c r="DO154" s="446"/>
      <c r="DP154" s="258"/>
      <c r="DQ154" s="258"/>
      <c r="DR154" s="258"/>
      <c r="DS154" s="258"/>
      <c r="DT154" s="258"/>
      <c r="DU154" s="258"/>
      <c r="DV154" s="258"/>
      <c r="DW154" s="258"/>
      <c r="DX154" s="258"/>
      <c r="DY154" s="258"/>
      <c r="DZ154" s="282"/>
      <c r="EA154" s="229"/>
      <c r="EB154" s="229"/>
    </row>
    <row r="155" spans="2:132" s="219" customFormat="1" ht="14.25" hidden="1" customHeight="1" x14ac:dyDescent="0.2">
      <c r="B155" s="841">
        <f ca="1">B142+INT(C154/12)</f>
        <v>2018</v>
      </c>
      <c r="C155" s="841">
        <v>13</v>
      </c>
      <c r="D155" s="821">
        <f t="shared" si="11"/>
        <v>0</v>
      </c>
      <c r="E155" s="822">
        <f t="shared" si="36"/>
        <v>0</v>
      </c>
      <c r="F155" s="822">
        <f t="shared" si="12"/>
        <v>0</v>
      </c>
      <c r="G155" s="822">
        <f t="shared" si="13"/>
        <v>0</v>
      </c>
      <c r="H155" s="823">
        <f t="shared" si="14"/>
        <v>0</v>
      </c>
      <c r="I155" s="824">
        <f t="shared" si="15"/>
        <v>0</v>
      </c>
      <c r="J155" s="822">
        <f>IF(AND(L155&gt;0,L154=0),K133,0)</f>
        <v>0</v>
      </c>
      <c r="K155" s="823">
        <f t="shared" si="16"/>
        <v>0</v>
      </c>
      <c r="L155" s="824">
        <f t="shared" si="17"/>
        <v>0</v>
      </c>
      <c r="M155" s="822">
        <f>IF(AND(O155&gt;0,O154=0),N133,0)</f>
        <v>0</v>
      </c>
      <c r="N155" s="823">
        <f t="shared" si="18"/>
        <v>0</v>
      </c>
      <c r="O155" s="824">
        <f t="shared" si="19"/>
        <v>0</v>
      </c>
      <c r="P155" s="822">
        <f>IF(AND(S155&gt;0,S154=0),Q133,0)</f>
        <v>0</v>
      </c>
      <c r="Q155" s="825">
        <f t="shared" si="20"/>
        <v>0</v>
      </c>
      <c r="S155" s="826">
        <f t="shared" si="21"/>
        <v>0</v>
      </c>
      <c r="T155" s="822">
        <f>IF(AND(V155&gt;0,V154=0),U133,0)</f>
        <v>0</v>
      </c>
      <c r="U155" s="823">
        <f t="shared" si="22"/>
        <v>0</v>
      </c>
      <c r="V155" s="824">
        <f t="shared" si="23"/>
        <v>0</v>
      </c>
      <c r="W155" s="822">
        <f>IF(AND(Y155&gt;0,Y154=0),X133,0)</f>
        <v>0</v>
      </c>
      <c r="X155" s="823">
        <f t="shared" si="24"/>
        <v>0</v>
      </c>
      <c r="Y155" s="824">
        <f t="shared" si="25"/>
        <v>0</v>
      </c>
      <c r="Z155" s="822">
        <f>IF(AND(AB155&gt;0,AB154=0),AA133,0)</f>
        <v>0</v>
      </c>
      <c r="AA155" s="823">
        <f t="shared" si="26"/>
        <v>0</v>
      </c>
      <c r="AB155" s="824">
        <f t="shared" si="27"/>
        <v>0</v>
      </c>
      <c r="AC155" s="822">
        <f>IF(AND(AE155&gt;0,AE154=0),AD133,0)</f>
        <v>0</v>
      </c>
      <c r="AD155" s="823">
        <f t="shared" si="28"/>
        <v>0</v>
      </c>
      <c r="AE155" s="824">
        <f t="shared" si="29"/>
        <v>0</v>
      </c>
      <c r="AF155" s="822">
        <f>IF(AND(AH155&gt;0,AH154=0),AG133,0)</f>
        <v>0</v>
      </c>
      <c r="AG155" s="823">
        <f t="shared" si="30"/>
        <v>0</v>
      </c>
      <c r="AH155" s="824">
        <f t="shared" si="31"/>
        <v>0</v>
      </c>
      <c r="AI155" s="822">
        <f>IF(AND(AK155&gt;0,AK154=0),AJ133,0)</f>
        <v>0</v>
      </c>
      <c r="AJ155" s="823">
        <f t="shared" si="32"/>
        <v>0</v>
      </c>
      <c r="AK155" s="824">
        <f t="shared" si="33"/>
        <v>0</v>
      </c>
      <c r="AL155" s="822">
        <f t="shared" ca="1" si="34"/>
        <v>0</v>
      </c>
      <c r="AM155" s="834"/>
      <c r="AN155" s="831"/>
      <c r="AO155" s="822">
        <f t="shared" ca="1" si="35"/>
        <v>0</v>
      </c>
      <c r="AP155" s="834"/>
      <c r="AQ155" s="831"/>
      <c r="AU155" s="258"/>
      <c r="AV155" s="258"/>
      <c r="AW155" s="258"/>
      <c r="AX155" s="258"/>
      <c r="AY155" s="258"/>
      <c r="AZ155" s="258"/>
      <c r="BA155" s="258"/>
      <c r="BB155" s="258"/>
      <c r="BC155" s="258"/>
      <c r="BD155" s="258"/>
      <c r="BE155" s="258"/>
      <c r="BF155" s="258"/>
      <c r="BG155" s="258"/>
      <c r="BH155" s="258"/>
      <c r="BI155" s="258"/>
      <c r="BJ155" s="258"/>
      <c r="BK155" s="258"/>
      <c r="BL155" s="258"/>
      <c r="BM155" s="258"/>
      <c r="BN155" s="258"/>
      <c r="BO155" s="258"/>
      <c r="BP155" s="258"/>
      <c r="BQ155" s="258"/>
      <c r="BR155" s="258"/>
      <c r="BS155" s="258"/>
      <c r="BT155" s="258"/>
      <c r="BU155" s="257"/>
      <c r="BV155" s="258"/>
      <c r="BW155" s="258"/>
      <c r="BX155" s="258"/>
      <c r="BY155" s="258"/>
      <c r="BZ155" s="446"/>
      <c r="CA155" s="446"/>
      <c r="CB155" s="446"/>
      <c r="CC155" s="446"/>
      <c r="CD155" s="446"/>
      <c r="CE155" s="446"/>
      <c r="CF155" s="446"/>
      <c r="CG155" s="446"/>
      <c r="CH155" s="446"/>
      <c r="CI155" s="446"/>
      <c r="CJ155" s="446"/>
      <c r="CK155" s="446"/>
      <c r="CL155" s="446"/>
      <c r="CM155" s="446"/>
      <c r="CN155" s="446"/>
      <c r="CO155" s="446"/>
      <c r="CP155" s="446"/>
      <c r="CQ155" s="446"/>
      <c r="CR155" s="446"/>
      <c r="CS155" s="446"/>
      <c r="CT155" s="446"/>
      <c r="CU155" s="446"/>
      <c r="CV155" s="446"/>
      <c r="CW155" s="820">
        <v>13</v>
      </c>
      <c r="CX155" s="446"/>
      <c r="CY155" s="446"/>
      <c r="CZ155" s="446"/>
      <c r="DA155" s="446"/>
      <c r="DB155" s="446"/>
      <c r="DC155" s="446"/>
      <c r="DD155" s="446"/>
      <c r="DE155" s="446"/>
      <c r="DF155" s="446"/>
      <c r="DG155" s="446"/>
      <c r="DH155" s="446"/>
      <c r="DI155" s="446"/>
      <c r="DJ155" s="446"/>
      <c r="DK155" s="446"/>
      <c r="DL155" s="446"/>
      <c r="DM155" s="446"/>
      <c r="DN155" s="446"/>
      <c r="DO155" s="446"/>
      <c r="DP155" s="258"/>
      <c r="DQ155" s="258"/>
      <c r="DR155" s="258"/>
      <c r="DS155" s="258"/>
      <c r="DT155" s="258"/>
      <c r="DU155" s="258"/>
      <c r="DV155" s="258"/>
      <c r="DW155" s="258"/>
      <c r="DX155" s="258"/>
      <c r="DY155" s="258"/>
      <c r="DZ155" s="282"/>
      <c r="EA155" s="229"/>
      <c r="EB155" s="229"/>
    </row>
    <row r="156" spans="2:132" s="219" customFormat="1" ht="14.25" hidden="1" customHeight="1" x14ac:dyDescent="0.2">
      <c r="B156" s="811">
        <f ca="1">B142+INT(C155/12)</f>
        <v>2018</v>
      </c>
      <c r="C156" s="811">
        <v>14</v>
      </c>
      <c r="D156" s="828">
        <f t="shared" si="11"/>
        <v>0</v>
      </c>
      <c r="E156" s="822">
        <f t="shared" si="36"/>
        <v>0</v>
      </c>
      <c r="F156" s="829">
        <f t="shared" si="12"/>
        <v>0</v>
      </c>
      <c r="G156" s="829">
        <f t="shared" si="13"/>
        <v>0</v>
      </c>
      <c r="H156" s="830">
        <f t="shared" si="14"/>
        <v>0</v>
      </c>
      <c r="I156" s="831">
        <f t="shared" si="15"/>
        <v>0</v>
      </c>
      <c r="J156" s="829">
        <f>IF(AND(L156&gt;0,L155=0),K133,0)</f>
        <v>0</v>
      </c>
      <c r="K156" s="830">
        <f t="shared" si="16"/>
        <v>0</v>
      </c>
      <c r="L156" s="831">
        <f t="shared" si="17"/>
        <v>0</v>
      </c>
      <c r="M156" s="829">
        <f>IF(AND(O156&gt;0,O155=0),N133,0)</f>
        <v>0</v>
      </c>
      <c r="N156" s="830">
        <f t="shared" si="18"/>
        <v>0</v>
      </c>
      <c r="O156" s="831">
        <f t="shared" si="19"/>
        <v>0</v>
      </c>
      <c r="P156" s="829">
        <f>IF(AND(S156&gt;0,S155=0),Q133,0)</f>
        <v>0</v>
      </c>
      <c r="Q156" s="832">
        <f t="shared" si="20"/>
        <v>0</v>
      </c>
      <c r="S156" s="833">
        <f t="shared" si="21"/>
        <v>0</v>
      </c>
      <c r="T156" s="829">
        <f>IF(AND(V156&gt;0,V155=0),U133,0)</f>
        <v>0</v>
      </c>
      <c r="U156" s="830">
        <f t="shared" si="22"/>
        <v>0</v>
      </c>
      <c r="V156" s="831">
        <f t="shared" si="23"/>
        <v>0</v>
      </c>
      <c r="W156" s="829">
        <f>IF(AND(Y156&gt;0,Y155=0),X133,0)</f>
        <v>0</v>
      </c>
      <c r="X156" s="830">
        <f t="shared" si="24"/>
        <v>0</v>
      </c>
      <c r="Y156" s="831">
        <f t="shared" si="25"/>
        <v>0</v>
      </c>
      <c r="Z156" s="829">
        <f>IF(AND(AB156&gt;0,AB155=0),AA133,0)</f>
        <v>0</v>
      </c>
      <c r="AA156" s="830">
        <f t="shared" si="26"/>
        <v>0</v>
      </c>
      <c r="AB156" s="831">
        <f t="shared" si="27"/>
        <v>0</v>
      </c>
      <c r="AC156" s="829">
        <f>IF(AND(AE156&gt;0,AE155=0),AD133,0)</f>
        <v>0</v>
      </c>
      <c r="AD156" s="830">
        <f t="shared" si="28"/>
        <v>0</v>
      </c>
      <c r="AE156" s="831">
        <f t="shared" si="29"/>
        <v>0</v>
      </c>
      <c r="AF156" s="829">
        <f>IF(AND(AH156&gt;0,AH155=0),AG133,0)</f>
        <v>0</v>
      </c>
      <c r="AG156" s="830">
        <f t="shared" si="30"/>
        <v>0</v>
      </c>
      <c r="AH156" s="831">
        <f t="shared" si="31"/>
        <v>0</v>
      </c>
      <c r="AI156" s="829">
        <f>IF(AND(AK156&gt;0,AK155=0),AJ133,0)</f>
        <v>0</v>
      </c>
      <c r="AJ156" s="830">
        <f t="shared" si="32"/>
        <v>0</v>
      </c>
      <c r="AK156" s="831">
        <f t="shared" si="33"/>
        <v>0</v>
      </c>
      <c r="AL156" s="829">
        <f t="shared" ca="1" si="34"/>
        <v>0</v>
      </c>
      <c r="AM156" s="834"/>
      <c r="AN156" s="831"/>
      <c r="AO156" s="829">
        <f t="shared" ca="1" si="35"/>
        <v>0</v>
      </c>
      <c r="AP156" s="834"/>
      <c r="AQ156" s="831"/>
      <c r="AU156" s="258"/>
      <c r="AV156" s="258"/>
      <c r="AW156" s="258"/>
      <c r="AX156" s="258"/>
      <c r="AY156" s="258"/>
      <c r="AZ156" s="258"/>
      <c r="BA156" s="258"/>
      <c r="BB156" s="258"/>
      <c r="BC156" s="258"/>
      <c r="BD156" s="258"/>
      <c r="BE156" s="258"/>
      <c r="BF156" s="258"/>
      <c r="BG156" s="258"/>
      <c r="BH156" s="258"/>
      <c r="BI156" s="258"/>
      <c r="BJ156" s="258"/>
      <c r="BK156" s="258"/>
      <c r="BL156" s="258"/>
      <c r="BM156" s="258"/>
      <c r="BN156" s="258"/>
      <c r="BO156" s="258"/>
      <c r="BP156" s="258"/>
      <c r="BQ156" s="258"/>
      <c r="BR156" s="258"/>
      <c r="BS156" s="258"/>
      <c r="BT156" s="258"/>
      <c r="BU156" s="257"/>
      <c r="BV156" s="258"/>
      <c r="BW156" s="258"/>
      <c r="BX156" s="258"/>
      <c r="BY156" s="258"/>
      <c r="BZ156" s="446"/>
      <c r="CA156" s="446"/>
      <c r="CB156" s="446"/>
      <c r="CC156" s="446"/>
      <c r="CD156" s="446"/>
      <c r="CE156" s="446"/>
      <c r="CF156" s="446"/>
      <c r="CG156" s="446"/>
      <c r="CH156" s="446"/>
      <c r="CI156" s="446"/>
      <c r="CJ156" s="446"/>
      <c r="CK156" s="446"/>
      <c r="CL156" s="446"/>
      <c r="CM156" s="446"/>
      <c r="CN156" s="446"/>
      <c r="CO156" s="446"/>
      <c r="CP156" s="446"/>
      <c r="CQ156" s="446"/>
      <c r="CR156" s="446"/>
      <c r="CS156" s="446"/>
      <c r="CT156" s="446"/>
      <c r="CU156" s="446"/>
      <c r="CV156" s="446"/>
      <c r="CW156" s="820">
        <v>14</v>
      </c>
      <c r="CX156" s="446"/>
      <c r="CY156" s="446"/>
      <c r="CZ156" s="446"/>
      <c r="DA156" s="446"/>
      <c r="DB156" s="446"/>
      <c r="DC156" s="446"/>
      <c r="DD156" s="446"/>
      <c r="DE156" s="446"/>
      <c r="DF156" s="446"/>
      <c r="DG156" s="446"/>
      <c r="DH156" s="446"/>
      <c r="DI156" s="446"/>
      <c r="DJ156" s="446"/>
      <c r="DK156" s="446"/>
      <c r="DL156" s="446"/>
      <c r="DM156" s="446"/>
      <c r="DN156" s="446"/>
      <c r="DO156" s="446"/>
      <c r="DP156" s="258"/>
      <c r="DQ156" s="258"/>
      <c r="DR156" s="258"/>
      <c r="DS156" s="258"/>
      <c r="DT156" s="258"/>
      <c r="DU156" s="258"/>
      <c r="DV156" s="258"/>
      <c r="DW156" s="258"/>
      <c r="DX156" s="258"/>
      <c r="DY156" s="258"/>
      <c r="DZ156" s="282"/>
      <c r="EA156" s="229"/>
      <c r="EB156" s="229"/>
    </row>
    <row r="157" spans="2:132" s="219" customFormat="1" ht="14.25" hidden="1" customHeight="1" x14ac:dyDescent="0.2">
      <c r="B157" s="811">
        <f ca="1">B142+INT(C156/12)</f>
        <v>2018</v>
      </c>
      <c r="C157" s="811">
        <v>15</v>
      </c>
      <c r="D157" s="828">
        <f t="shared" si="11"/>
        <v>0</v>
      </c>
      <c r="E157" s="822">
        <f t="shared" si="36"/>
        <v>0</v>
      </c>
      <c r="F157" s="829">
        <f t="shared" si="12"/>
        <v>0</v>
      </c>
      <c r="G157" s="829">
        <f t="shared" si="13"/>
        <v>0</v>
      </c>
      <c r="H157" s="830">
        <f t="shared" si="14"/>
        <v>0</v>
      </c>
      <c r="I157" s="831">
        <f t="shared" si="15"/>
        <v>0</v>
      </c>
      <c r="J157" s="829">
        <f>IF(AND(L157&gt;0,L156=0),K133,0)</f>
        <v>0</v>
      </c>
      <c r="K157" s="830">
        <f t="shared" si="16"/>
        <v>0</v>
      </c>
      <c r="L157" s="831">
        <f t="shared" si="17"/>
        <v>0</v>
      </c>
      <c r="M157" s="829">
        <f>IF(AND(O157&gt;0,O156=0),N133,0)</f>
        <v>0</v>
      </c>
      <c r="N157" s="830">
        <f t="shared" si="18"/>
        <v>0</v>
      </c>
      <c r="O157" s="831">
        <f t="shared" si="19"/>
        <v>0</v>
      </c>
      <c r="P157" s="829">
        <f>IF(AND(S157&gt;0,S156=0),Q133,0)</f>
        <v>0</v>
      </c>
      <c r="Q157" s="832">
        <f t="shared" si="20"/>
        <v>0</v>
      </c>
      <c r="S157" s="833">
        <f t="shared" si="21"/>
        <v>0</v>
      </c>
      <c r="T157" s="829">
        <f>IF(AND(V157&gt;0,V156=0),U133,0)</f>
        <v>0</v>
      </c>
      <c r="U157" s="830">
        <f t="shared" si="22"/>
        <v>0</v>
      </c>
      <c r="V157" s="831">
        <f t="shared" si="23"/>
        <v>0</v>
      </c>
      <c r="W157" s="829">
        <f>IF(AND(Y157&gt;0,Y156=0),X133,0)</f>
        <v>0</v>
      </c>
      <c r="X157" s="830">
        <f t="shared" si="24"/>
        <v>0</v>
      </c>
      <c r="Y157" s="831">
        <f t="shared" si="25"/>
        <v>0</v>
      </c>
      <c r="Z157" s="829">
        <f>IF(AND(AB157&gt;0,AB156=0),AA133,0)</f>
        <v>0</v>
      </c>
      <c r="AA157" s="830">
        <f t="shared" si="26"/>
        <v>0</v>
      </c>
      <c r="AB157" s="831">
        <f t="shared" si="27"/>
        <v>0</v>
      </c>
      <c r="AC157" s="829">
        <f>IF(AND(AE157&gt;0,AE156=0),AD133,0)</f>
        <v>0</v>
      </c>
      <c r="AD157" s="830">
        <f t="shared" si="28"/>
        <v>0</v>
      </c>
      <c r="AE157" s="831">
        <f t="shared" si="29"/>
        <v>0</v>
      </c>
      <c r="AF157" s="829">
        <f>IF(AND(AH157&gt;0,AH156=0),AG133,0)</f>
        <v>0</v>
      </c>
      <c r="AG157" s="830">
        <f t="shared" si="30"/>
        <v>0</v>
      </c>
      <c r="AH157" s="831">
        <f t="shared" si="31"/>
        <v>0</v>
      </c>
      <c r="AI157" s="829">
        <f>IF(AND(AK157&gt;0,AK156=0),AJ133,0)</f>
        <v>0</v>
      </c>
      <c r="AJ157" s="830">
        <f t="shared" si="32"/>
        <v>0</v>
      </c>
      <c r="AK157" s="831">
        <f t="shared" si="33"/>
        <v>0</v>
      </c>
      <c r="AL157" s="829">
        <f t="shared" ca="1" si="34"/>
        <v>0</v>
      </c>
      <c r="AM157" s="834"/>
      <c r="AN157" s="831"/>
      <c r="AO157" s="829">
        <f t="shared" ca="1" si="35"/>
        <v>0</v>
      </c>
      <c r="AP157" s="834"/>
      <c r="AQ157" s="831"/>
      <c r="AU157" s="258"/>
      <c r="AV157" s="258"/>
      <c r="AW157" s="258"/>
      <c r="AX157" s="258"/>
      <c r="AY157" s="258"/>
      <c r="AZ157" s="258"/>
      <c r="BA157" s="258"/>
      <c r="BB157" s="258"/>
      <c r="BC157" s="258"/>
      <c r="BD157" s="258"/>
      <c r="BE157" s="258"/>
      <c r="BF157" s="258"/>
      <c r="BG157" s="258"/>
      <c r="BH157" s="258"/>
      <c r="BI157" s="258"/>
      <c r="BJ157" s="258"/>
      <c r="BK157" s="258"/>
      <c r="BL157" s="258"/>
      <c r="BM157" s="258"/>
      <c r="BN157" s="258"/>
      <c r="BO157" s="258"/>
      <c r="BP157" s="258"/>
      <c r="BQ157" s="258"/>
      <c r="BR157" s="258"/>
      <c r="BS157" s="258"/>
      <c r="BT157" s="258"/>
      <c r="BU157" s="257"/>
      <c r="BV157" s="258"/>
      <c r="BW157" s="258"/>
      <c r="BX157" s="258"/>
      <c r="BY157" s="258"/>
      <c r="BZ157" s="446"/>
      <c r="CA157" s="446"/>
      <c r="CB157" s="446"/>
      <c r="CC157" s="446"/>
      <c r="CD157" s="446"/>
      <c r="CE157" s="446"/>
      <c r="CF157" s="446"/>
      <c r="CG157" s="446"/>
      <c r="CH157" s="446"/>
      <c r="CI157" s="446"/>
      <c r="CJ157" s="446"/>
      <c r="CK157" s="446"/>
      <c r="CL157" s="446"/>
      <c r="CM157" s="446"/>
      <c r="CN157" s="446"/>
      <c r="CO157" s="446"/>
      <c r="CP157" s="446"/>
      <c r="CQ157" s="446"/>
      <c r="CR157" s="446"/>
      <c r="CS157" s="446"/>
      <c r="CT157" s="446"/>
      <c r="CU157" s="446"/>
      <c r="CV157" s="446"/>
      <c r="CW157" s="820">
        <v>15</v>
      </c>
      <c r="CX157" s="446"/>
      <c r="CY157" s="446"/>
      <c r="CZ157" s="446"/>
      <c r="DA157" s="446"/>
      <c r="DB157" s="446"/>
      <c r="DC157" s="446"/>
      <c r="DD157" s="446"/>
      <c r="DE157" s="446"/>
      <c r="DF157" s="446"/>
      <c r="DG157" s="446"/>
      <c r="DH157" s="446"/>
      <c r="DI157" s="446"/>
      <c r="DJ157" s="446"/>
      <c r="DK157" s="446"/>
      <c r="DL157" s="446"/>
      <c r="DM157" s="446"/>
      <c r="DN157" s="446"/>
      <c r="DO157" s="446"/>
      <c r="DP157" s="258"/>
      <c r="DQ157" s="258"/>
      <c r="DR157" s="258"/>
      <c r="DS157" s="258"/>
      <c r="DT157" s="258"/>
      <c r="DU157" s="258"/>
      <c r="DV157" s="258"/>
      <c r="DW157" s="258"/>
      <c r="DX157" s="258"/>
      <c r="DY157" s="258"/>
      <c r="DZ157" s="282"/>
      <c r="EA157" s="229"/>
      <c r="EB157" s="229"/>
    </row>
    <row r="158" spans="2:132" s="219" customFormat="1" ht="14.25" hidden="1" customHeight="1" x14ac:dyDescent="0.2">
      <c r="B158" s="811">
        <f ca="1">B142+INT(C157/12)</f>
        <v>2018</v>
      </c>
      <c r="C158" s="811">
        <v>16</v>
      </c>
      <c r="D158" s="828">
        <f t="shared" si="11"/>
        <v>0</v>
      </c>
      <c r="E158" s="822">
        <f t="shared" si="36"/>
        <v>0</v>
      </c>
      <c r="F158" s="829">
        <f t="shared" si="12"/>
        <v>0</v>
      </c>
      <c r="G158" s="829">
        <f t="shared" si="13"/>
        <v>0</v>
      </c>
      <c r="H158" s="830">
        <f t="shared" si="14"/>
        <v>0</v>
      </c>
      <c r="I158" s="831">
        <f t="shared" si="15"/>
        <v>0</v>
      </c>
      <c r="J158" s="829">
        <f>IF(AND(L158&gt;0,L157=0),K133,0)</f>
        <v>0</v>
      </c>
      <c r="K158" s="830">
        <f t="shared" si="16"/>
        <v>0</v>
      </c>
      <c r="L158" s="831">
        <f t="shared" si="17"/>
        <v>0</v>
      </c>
      <c r="M158" s="829">
        <f>IF(AND(O158&gt;0,O157=0),N133,0)</f>
        <v>0</v>
      </c>
      <c r="N158" s="830">
        <f t="shared" si="18"/>
        <v>0</v>
      </c>
      <c r="O158" s="831">
        <f t="shared" si="19"/>
        <v>0</v>
      </c>
      <c r="P158" s="829">
        <f>IF(AND(S158&gt;0,S157=0),Q133,0)</f>
        <v>0</v>
      </c>
      <c r="Q158" s="832">
        <f t="shared" si="20"/>
        <v>0</v>
      </c>
      <c r="S158" s="833">
        <f t="shared" si="21"/>
        <v>0</v>
      </c>
      <c r="T158" s="829">
        <f>IF(AND(V158&gt;0,V157=0),U133,0)</f>
        <v>0</v>
      </c>
      <c r="U158" s="830">
        <f t="shared" si="22"/>
        <v>0</v>
      </c>
      <c r="V158" s="831">
        <f t="shared" si="23"/>
        <v>0</v>
      </c>
      <c r="W158" s="829">
        <f>IF(AND(Y158&gt;0,Y157=0),X133,0)</f>
        <v>0</v>
      </c>
      <c r="X158" s="830">
        <f t="shared" si="24"/>
        <v>0</v>
      </c>
      <c r="Y158" s="831">
        <f t="shared" si="25"/>
        <v>0</v>
      </c>
      <c r="Z158" s="829">
        <f>IF(AND(AB158&gt;0,AB157=0),AA133,0)</f>
        <v>0</v>
      </c>
      <c r="AA158" s="830">
        <f t="shared" si="26"/>
        <v>0</v>
      </c>
      <c r="AB158" s="831">
        <f t="shared" si="27"/>
        <v>0</v>
      </c>
      <c r="AC158" s="829">
        <f>IF(AND(AE158&gt;0,AE157=0),AD133,0)</f>
        <v>0</v>
      </c>
      <c r="AD158" s="830">
        <f t="shared" si="28"/>
        <v>0</v>
      </c>
      <c r="AE158" s="831">
        <f t="shared" si="29"/>
        <v>0</v>
      </c>
      <c r="AF158" s="829">
        <f>IF(AND(AH158&gt;0,AH157=0),AG133,0)</f>
        <v>0</v>
      </c>
      <c r="AG158" s="830">
        <f t="shared" si="30"/>
        <v>0</v>
      </c>
      <c r="AH158" s="831">
        <f t="shared" si="31"/>
        <v>0</v>
      </c>
      <c r="AI158" s="829">
        <f>IF(AND(AK158&gt;0,AK157=0),AJ133,0)</f>
        <v>0</v>
      </c>
      <c r="AJ158" s="830">
        <f t="shared" si="32"/>
        <v>0</v>
      </c>
      <c r="AK158" s="831">
        <f t="shared" si="33"/>
        <v>0</v>
      </c>
      <c r="AL158" s="829">
        <f t="shared" ca="1" si="34"/>
        <v>0</v>
      </c>
      <c r="AM158" s="834"/>
      <c r="AN158" s="831"/>
      <c r="AO158" s="829">
        <f t="shared" ca="1" si="35"/>
        <v>0</v>
      </c>
      <c r="AP158" s="834"/>
      <c r="AQ158" s="831"/>
      <c r="AU158" s="258"/>
      <c r="AV158" s="258"/>
      <c r="AW158" s="258"/>
      <c r="AX158" s="258"/>
      <c r="AY158" s="258"/>
      <c r="AZ158" s="258"/>
      <c r="BA158" s="258"/>
      <c r="BB158" s="258"/>
      <c r="BC158" s="258"/>
      <c r="BD158" s="258"/>
      <c r="BE158" s="258"/>
      <c r="BF158" s="258"/>
      <c r="BG158" s="258"/>
      <c r="BH158" s="258"/>
      <c r="BI158" s="258"/>
      <c r="BJ158" s="258"/>
      <c r="BK158" s="258"/>
      <c r="BL158" s="258"/>
      <c r="BM158" s="258"/>
      <c r="BN158" s="258"/>
      <c r="BO158" s="258"/>
      <c r="BP158" s="258"/>
      <c r="BQ158" s="258"/>
      <c r="BR158" s="258"/>
      <c r="BS158" s="258"/>
      <c r="BT158" s="258"/>
      <c r="BU158" s="257"/>
      <c r="BV158" s="258"/>
      <c r="BW158" s="258"/>
      <c r="BX158" s="258"/>
      <c r="BY158" s="258"/>
      <c r="BZ158" s="446"/>
      <c r="CA158" s="446"/>
      <c r="CB158" s="446"/>
      <c r="CC158" s="446"/>
      <c r="CD158" s="446"/>
      <c r="CE158" s="446"/>
      <c r="CF158" s="446"/>
      <c r="CG158" s="446"/>
      <c r="CH158" s="446"/>
      <c r="CI158" s="446"/>
      <c r="CJ158" s="446"/>
      <c r="CK158" s="446"/>
      <c r="CL158" s="446"/>
      <c r="CM158" s="446"/>
      <c r="CN158" s="446"/>
      <c r="CO158" s="446"/>
      <c r="CP158" s="446"/>
      <c r="CQ158" s="446"/>
      <c r="CR158" s="446"/>
      <c r="CS158" s="446"/>
      <c r="CT158" s="446"/>
      <c r="CU158" s="446"/>
      <c r="CV158" s="446"/>
      <c r="CW158" s="820">
        <v>16</v>
      </c>
      <c r="CX158" s="446"/>
      <c r="CY158" s="446"/>
      <c r="CZ158" s="446"/>
      <c r="DA158" s="446"/>
      <c r="DB158" s="446"/>
      <c r="DC158" s="446"/>
      <c r="DD158" s="446"/>
      <c r="DE158" s="446"/>
      <c r="DF158" s="446"/>
      <c r="DG158" s="446"/>
      <c r="DH158" s="446"/>
      <c r="DI158" s="446"/>
      <c r="DJ158" s="446"/>
      <c r="DK158" s="446"/>
      <c r="DL158" s="446"/>
      <c r="DM158" s="446"/>
      <c r="DN158" s="446"/>
      <c r="DO158" s="446"/>
      <c r="DP158" s="258"/>
      <c r="DQ158" s="258"/>
      <c r="DR158" s="258"/>
      <c r="DS158" s="258"/>
      <c r="DT158" s="258"/>
      <c r="DU158" s="258"/>
      <c r="DV158" s="258"/>
      <c r="DW158" s="258"/>
      <c r="DX158" s="258"/>
      <c r="DY158" s="258"/>
      <c r="DZ158" s="282"/>
      <c r="EA158" s="229"/>
      <c r="EB158" s="229"/>
    </row>
    <row r="159" spans="2:132" s="219" customFormat="1" ht="14.25" hidden="1" customHeight="1" x14ac:dyDescent="0.2">
      <c r="B159" s="811">
        <f ca="1">B142+INT(C158/12)</f>
        <v>2018</v>
      </c>
      <c r="C159" s="811">
        <v>17</v>
      </c>
      <c r="D159" s="828">
        <f t="shared" si="11"/>
        <v>0</v>
      </c>
      <c r="E159" s="822">
        <f t="shared" si="36"/>
        <v>0</v>
      </c>
      <c r="F159" s="829">
        <f t="shared" si="12"/>
        <v>0</v>
      </c>
      <c r="G159" s="829">
        <f t="shared" si="13"/>
        <v>0</v>
      </c>
      <c r="H159" s="830">
        <f t="shared" si="14"/>
        <v>0</v>
      </c>
      <c r="I159" s="831">
        <f t="shared" si="15"/>
        <v>0</v>
      </c>
      <c r="J159" s="829">
        <f>IF(AND(L159&gt;0,L158=0),K133,0)</f>
        <v>0</v>
      </c>
      <c r="K159" s="830">
        <f t="shared" si="16"/>
        <v>0</v>
      </c>
      <c r="L159" s="831">
        <f t="shared" si="17"/>
        <v>0</v>
      </c>
      <c r="M159" s="829">
        <f>IF(AND(O159&gt;0,O158=0),N133,0)</f>
        <v>0</v>
      </c>
      <c r="N159" s="830">
        <f t="shared" si="18"/>
        <v>0</v>
      </c>
      <c r="O159" s="831">
        <f t="shared" si="19"/>
        <v>0</v>
      </c>
      <c r="P159" s="829">
        <f>IF(AND(S159&gt;0,S158=0),Q133,0)</f>
        <v>0</v>
      </c>
      <c r="Q159" s="832">
        <f t="shared" si="20"/>
        <v>0</v>
      </c>
      <c r="S159" s="833">
        <f t="shared" si="21"/>
        <v>0</v>
      </c>
      <c r="T159" s="829">
        <f>IF(AND(V159&gt;0,V158=0),U133,0)</f>
        <v>0</v>
      </c>
      <c r="U159" s="830">
        <f t="shared" si="22"/>
        <v>0</v>
      </c>
      <c r="V159" s="831">
        <f t="shared" si="23"/>
        <v>0</v>
      </c>
      <c r="W159" s="829">
        <f>IF(AND(Y159&gt;0,Y158=0),X133,0)</f>
        <v>0</v>
      </c>
      <c r="X159" s="830">
        <f t="shared" si="24"/>
        <v>0</v>
      </c>
      <c r="Y159" s="831">
        <f t="shared" si="25"/>
        <v>0</v>
      </c>
      <c r="Z159" s="829">
        <f>IF(AND(AB159&gt;0,AB158=0),AA133,0)</f>
        <v>0</v>
      </c>
      <c r="AA159" s="830">
        <f t="shared" si="26"/>
        <v>0</v>
      </c>
      <c r="AB159" s="831">
        <f t="shared" si="27"/>
        <v>0</v>
      </c>
      <c r="AC159" s="829">
        <f>IF(AND(AE159&gt;0,AE158=0),AD133,0)</f>
        <v>0</v>
      </c>
      <c r="AD159" s="830">
        <f t="shared" si="28"/>
        <v>0</v>
      </c>
      <c r="AE159" s="831">
        <f t="shared" si="29"/>
        <v>0</v>
      </c>
      <c r="AF159" s="829">
        <f>IF(AND(AH159&gt;0,AH158=0),AG133,0)</f>
        <v>0</v>
      </c>
      <c r="AG159" s="830">
        <f t="shared" si="30"/>
        <v>0</v>
      </c>
      <c r="AH159" s="831">
        <f t="shared" si="31"/>
        <v>0</v>
      </c>
      <c r="AI159" s="829">
        <f>IF(AND(AK159&gt;0,AK158=0),AJ133,0)</f>
        <v>0</v>
      </c>
      <c r="AJ159" s="830">
        <f t="shared" si="32"/>
        <v>0</v>
      </c>
      <c r="AK159" s="831">
        <f t="shared" si="33"/>
        <v>0</v>
      </c>
      <c r="AL159" s="829">
        <f t="shared" ca="1" si="34"/>
        <v>0</v>
      </c>
      <c r="AM159" s="834"/>
      <c r="AN159" s="831"/>
      <c r="AO159" s="829">
        <f t="shared" ca="1" si="35"/>
        <v>0</v>
      </c>
      <c r="AP159" s="834"/>
      <c r="AQ159" s="831"/>
      <c r="AU159" s="258"/>
      <c r="AV159" s="258"/>
      <c r="AW159" s="258"/>
      <c r="AX159" s="258"/>
      <c r="AY159" s="258"/>
      <c r="AZ159" s="258"/>
      <c r="BA159" s="258"/>
      <c r="BB159" s="258"/>
      <c r="BC159" s="258"/>
      <c r="BD159" s="258"/>
      <c r="BE159" s="258"/>
      <c r="BF159" s="258"/>
      <c r="BG159" s="258"/>
      <c r="BH159" s="258"/>
      <c r="BI159" s="258"/>
      <c r="BJ159" s="258"/>
      <c r="BK159" s="258"/>
      <c r="BL159" s="258"/>
      <c r="BM159" s="258"/>
      <c r="BN159" s="258"/>
      <c r="BO159" s="258"/>
      <c r="BP159" s="258"/>
      <c r="BQ159" s="258"/>
      <c r="BR159" s="258"/>
      <c r="BS159" s="258"/>
      <c r="BT159" s="258"/>
      <c r="BU159" s="257"/>
      <c r="BV159" s="258"/>
      <c r="BW159" s="258"/>
      <c r="BX159" s="258"/>
      <c r="BY159" s="258"/>
      <c r="BZ159" s="446"/>
      <c r="CA159" s="446"/>
      <c r="CB159" s="446"/>
      <c r="CC159" s="446"/>
      <c r="CD159" s="446"/>
      <c r="CE159" s="446"/>
      <c r="CF159" s="446"/>
      <c r="CG159" s="446"/>
      <c r="CH159" s="446"/>
      <c r="CI159" s="446"/>
      <c r="CJ159" s="446"/>
      <c r="CK159" s="446"/>
      <c r="CL159" s="446"/>
      <c r="CM159" s="446"/>
      <c r="CN159" s="446"/>
      <c r="CO159" s="446"/>
      <c r="CP159" s="446"/>
      <c r="CQ159" s="446"/>
      <c r="CR159" s="446"/>
      <c r="CS159" s="446"/>
      <c r="CT159" s="446"/>
      <c r="CU159" s="446"/>
      <c r="CV159" s="446"/>
      <c r="CW159" s="820">
        <v>17</v>
      </c>
      <c r="CX159" s="446"/>
      <c r="CY159" s="446"/>
      <c r="CZ159" s="446"/>
      <c r="DA159" s="446"/>
      <c r="DB159" s="446"/>
      <c r="DC159" s="446"/>
      <c r="DD159" s="446"/>
      <c r="DE159" s="446"/>
      <c r="DF159" s="446"/>
      <c r="DG159" s="446"/>
      <c r="DH159" s="446"/>
      <c r="DI159" s="446"/>
      <c r="DJ159" s="446"/>
      <c r="DK159" s="446"/>
      <c r="DL159" s="446"/>
      <c r="DM159" s="446"/>
      <c r="DN159" s="446"/>
      <c r="DO159" s="446"/>
      <c r="DP159" s="258"/>
      <c r="DQ159" s="258"/>
      <c r="DR159" s="258"/>
      <c r="DS159" s="258"/>
      <c r="DT159" s="258"/>
      <c r="DU159" s="258"/>
      <c r="DV159" s="258"/>
      <c r="DW159" s="258"/>
      <c r="DX159" s="258"/>
      <c r="DY159" s="258"/>
      <c r="DZ159" s="282"/>
      <c r="EA159" s="229"/>
      <c r="EB159" s="229"/>
    </row>
    <row r="160" spans="2:132" s="219" customFormat="1" ht="14.25" hidden="1" customHeight="1" x14ac:dyDescent="0.2">
      <c r="B160" s="811">
        <f ca="1">B142+INT(C159/12)</f>
        <v>2018</v>
      </c>
      <c r="C160" s="811">
        <v>18</v>
      </c>
      <c r="D160" s="828">
        <f t="shared" si="11"/>
        <v>0</v>
      </c>
      <c r="E160" s="822">
        <f t="shared" si="36"/>
        <v>0</v>
      </c>
      <c r="F160" s="829">
        <f t="shared" si="12"/>
        <v>0</v>
      </c>
      <c r="G160" s="829">
        <f t="shared" si="13"/>
        <v>0</v>
      </c>
      <c r="H160" s="830">
        <f t="shared" si="14"/>
        <v>0</v>
      </c>
      <c r="I160" s="831">
        <f t="shared" si="15"/>
        <v>0</v>
      </c>
      <c r="J160" s="829">
        <f>IF(AND(L160&gt;0,L159=0),K133,0)</f>
        <v>0</v>
      </c>
      <c r="K160" s="830">
        <f t="shared" si="16"/>
        <v>0</v>
      </c>
      <c r="L160" s="831">
        <f t="shared" si="17"/>
        <v>0</v>
      </c>
      <c r="M160" s="829">
        <f>IF(AND(O160&gt;0,O159=0),N133,0)</f>
        <v>0</v>
      </c>
      <c r="N160" s="830">
        <f t="shared" si="18"/>
        <v>0</v>
      </c>
      <c r="O160" s="831">
        <f t="shared" si="19"/>
        <v>0</v>
      </c>
      <c r="P160" s="829">
        <f>IF(AND(S160&gt;0,S159=0),Q133,0)</f>
        <v>0</v>
      </c>
      <c r="Q160" s="832">
        <f t="shared" si="20"/>
        <v>0</v>
      </c>
      <c r="S160" s="833">
        <f t="shared" si="21"/>
        <v>0</v>
      </c>
      <c r="T160" s="829">
        <f>IF(AND(V160&gt;0,V159=0),U133,0)</f>
        <v>0</v>
      </c>
      <c r="U160" s="830">
        <f t="shared" si="22"/>
        <v>0</v>
      </c>
      <c r="V160" s="831">
        <f t="shared" si="23"/>
        <v>0</v>
      </c>
      <c r="W160" s="829">
        <f>IF(AND(Y160&gt;0,Y159=0),X133,0)</f>
        <v>0</v>
      </c>
      <c r="X160" s="830">
        <f t="shared" si="24"/>
        <v>0</v>
      </c>
      <c r="Y160" s="831">
        <f t="shared" si="25"/>
        <v>0</v>
      </c>
      <c r="Z160" s="829">
        <f>IF(AND(AB160&gt;0,AB159=0),AA133,0)</f>
        <v>0</v>
      </c>
      <c r="AA160" s="830">
        <f t="shared" si="26"/>
        <v>0</v>
      </c>
      <c r="AB160" s="831">
        <f t="shared" si="27"/>
        <v>0</v>
      </c>
      <c r="AC160" s="829">
        <f>IF(AND(AE160&gt;0,AE159=0),AD133,0)</f>
        <v>0</v>
      </c>
      <c r="AD160" s="830">
        <f t="shared" si="28"/>
        <v>0</v>
      </c>
      <c r="AE160" s="831">
        <f t="shared" si="29"/>
        <v>0</v>
      </c>
      <c r="AF160" s="829">
        <f>IF(AND(AH160&gt;0,AH159=0),AG133,0)</f>
        <v>0</v>
      </c>
      <c r="AG160" s="830">
        <f t="shared" si="30"/>
        <v>0</v>
      </c>
      <c r="AH160" s="831">
        <f t="shared" si="31"/>
        <v>0</v>
      </c>
      <c r="AI160" s="829">
        <f>IF(AND(AK160&gt;0,AK159=0),AJ133,0)</f>
        <v>0</v>
      </c>
      <c r="AJ160" s="830">
        <f t="shared" si="32"/>
        <v>0</v>
      </c>
      <c r="AK160" s="831">
        <f t="shared" si="33"/>
        <v>0</v>
      </c>
      <c r="AL160" s="829">
        <f t="shared" ca="1" si="34"/>
        <v>0</v>
      </c>
      <c r="AM160" s="834"/>
      <c r="AN160" s="831"/>
      <c r="AO160" s="829">
        <f t="shared" ca="1" si="35"/>
        <v>0</v>
      </c>
      <c r="AP160" s="834"/>
      <c r="AQ160" s="831"/>
      <c r="AU160" s="258"/>
      <c r="AV160" s="258"/>
      <c r="AW160" s="258"/>
      <c r="AX160" s="258"/>
      <c r="AY160" s="258"/>
      <c r="AZ160" s="258"/>
      <c r="BA160" s="258"/>
      <c r="BB160" s="258"/>
      <c r="BC160" s="258"/>
      <c r="BD160" s="258"/>
      <c r="BE160" s="258"/>
      <c r="BF160" s="258"/>
      <c r="BG160" s="258"/>
      <c r="BH160" s="258"/>
      <c r="BI160" s="258"/>
      <c r="BJ160" s="258"/>
      <c r="BK160" s="258"/>
      <c r="BL160" s="258"/>
      <c r="BM160" s="258"/>
      <c r="BN160" s="258"/>
      <c r="BO160" s="258"/>
      <c r="BP160" s="258"/>
      <c r="BQ160" s="258"/>
      <c r="BR160" s="258"/>
      <c r="BS160" s="258"/>
      <c r="BT160" s="258"/>
      <c r="BU160" s="257"/>
      <c r="BV160" s="258"/>
      <c r="BW160" s="258"/>
      <c r="BX160" s="258"/>
      <c r="BY160" s="258"/>
      <c r="BZ160" s="446"/>
      <c r="CA160" s="446"/>
      <c r="CB160" s="446"/>
      <c r="CC160" s="446"/>
      <c r="CD160" s="446"/>
      <c r="CE160" s="446"/>
      <c r="CF160" s="446"/>
      <c r="CG160" s="446"/>
      <c r="CH160" s="446"/>
      <c r="CI160" s="446"/>
      <c r="CJ160" s="446"/>
      <c r="CK160" s="446"/>
      <c r="CL160" s="446"/>
      <c r="CM160" s="446"/>
      <c r="CN160" s="446"/>
      <c r="CO160" s="446"/>
      <c r="CP160" s="446"/>
      <c r="CQ160" s="446"/>
      <c r="CR160" s="446"/>
      <c r="CS160" s="446"/>
      <c r="CT160" s="446"/>
      <c r="CU160" s="446"/>
      <c r="CV160" s="446"/>
      <c r="CW160" s="820">
        <v>18</v>
      </c>
      <c r="CX160" s="446"/>
      <c r="CY160" s="446"/>
      <c r="CZ160" s="446"/>
      <c r="DA160" s="446"/>
      <c r="DB160" s="446"/>
      <c r="DC160" s="446"/>
      <c r="DD160" s="446"/>
      <c r="DE160" s="446"/>
      <c r="DF160" s="446"/>
      <c r="DG160" s="446"/>
      <c r="DH160" s="446"/>
      <c r="DI160" s="446"/>
      <c r="DJ160" s="446"/>
      <c r="DK160" s="446"/>
      <c r="DL160" s="446"/>
      <c r="DM160" s="446"/>
      <c r="DN160" s="446"/>
      <c r="DO160" s="446"/>
      <c r="DP160" s="258"/>
      <c r="DQ160" s="258"/>
      <c r="DR160" s="258"/>
      <c r="DS160" s="258"/>
      <c r="DT160" s="258"/>
      <c r="DU160" s="258"/>
      <c r="DV160" s="258"/>
      <c r="DW160" s="258"/>
      <c r="DX160" s="258"/>
      <c r="DY160" s="258"/>
      <c r="DZ160" s="282"/>
      <c r="EA160" s="229"/>
      <c r="EB160" s="229"/>
    </row>
    <row r="161" spans="2:132" s="219" customFormat="1" ht="14.25" hidden="1" customHeight="1" x14ac:dyDescent="0.2">
      <c r="B161" s="811">
        <f ca="1">B142+INT(C160/12)</f>
        <v>2018</v>
      </c>
      <c r="C161" s="811">
        <v>19</v>
      </c>
      <c r="D161" s="828">
        <f t="shared" si="11"/>
        <v>0</v>
      </c>
      <c r="E161" s="822">
        <f t="shared" si="36"/>
        <v>0</v>
      </c>
      <c r="F161" s="829">
        <f t="shared" si="12"/>
        <v>0</v>
      </c>
      <c r="G161" s="829">
        <f t="shared" si="13"/>
        <v>0</v>
      </c>
      <c r="H161" s="830">
        <f t="shared" si="14"/>
        <v>0</v>
      </c>
      <c r="I161" s="831">
        <f t="shared" si="15"/>
        <v>0</v>
      </c>
      <c r="J161" s="829">
        <f>IF(AND(L161&gt;0,L160=0),K133,0)</f>
        <v>0</v>
      </c>
      <c r="K161" s="830">
        <f t="shared" si="16"/>
        <v>0</v>
      </c>
      <c r="L161" s="831">
        <f t="shared" si="17"/>
        <v>0</v>
      </c>
      <c r="M161" s="829">
        <f>IF(AND(O161&gt;0,O160=0),N133,0)</f>
        <v>0</v>
      </c>
      <c r="N161" s="830">
        <f t="shared" si="18"/>
        <v>0</v>
      </c>
      <c r="O161" s="831">
        <f t="shared" si="19"/>
        <v>0</v>
      </c>
      <c r="P161" s="829">
        <f>IF(AND(S161&gt;0,S160=0),Q133,0)</f>
        <v>0</v>
      </c>
      <c r="Q161" s="832">
        <f t="shared" si="20"/>
        <v>0</v>
      </c>
      <c r="S161" s="833">
        <f t="shared" si="21"/>
        <v>0</v>
      </c>
      <c r="T161" s="829">
        <f>IF(AND(V161&gt;0,V160=0),U133,0)</f>
        <v>0</v>
      </c>
      <c r="U161" s="830">
        <f t="shared" si="22"/>
        <v>0</v>
      </c>
      <c r="V161" s="831">
        <f t="shared" si="23"/>
        <v>0</v>
      </c>
      <c r="W161" s="829">
        <f>IF(AND(Y161&gt;0,Y160=0),X133,0)</f>
        <v>0</v>
      </c>
      <c r="X161" s="830">
        <f t="shared" si="24"/>
        <v>0</v>
      </c>
      <c r="Y161" s="831">
        <f t="shared" si="25"/>
        <v>0</v>
      </c>
      <c r="Z161" s="829">
        <f>IF(AND(AB161&gt;0,AB160=0),AA133,0)</f>
        <v>0</v>
      </c>
      <c r="AA161" s="830">
        <f t="shared" si="26"/>
        <v>0</v>
      </c>
      <c r="AB161" s="831">
        <f t="shared" si="27"/>
        <v>0</v>
      </c>
      <c r="AC161" s="829">
        <f>IF(AND(AE161&gt;0,AE160=0),AD133,0)</f>
        <v>0</v>
      </c>
      <c r="AD161" s="830">
        <f t="shared" si="28"/>
        <v>0</v>
      </c>
      <c r="AE161" s="831">
        <f t="shared" si="29"/>
        <v>0</v>
      </c>
      <c r="AF161" s="829">
        <f>IF(AND(AH161&gt;0,AH160=0),AG133,0)</f>
        <v>0</v>
      </c>
      <c r="AG161" s="830">
        <f t="shared" si="30"/>
        <v>0</v>
      </c>
      <c r="AH161" s="831">
        <f t="shared" si="31"/>
        <v>0</v>
      </c>
      <c r="AI161" s="829">
        <f>IF(AND(AK161&gt;0,AK160=0),AJ133,0)</f>
        <v>0</v>
      </c>
      <c r="AJ161" s="830">
        <f t="shared" si="32"/>
        <v>0</v>
      </c>
      <c r="AK161" s="831">
        <f t="shared" si="33"/>
        <v>0</v>
      </c>
      <c r="AL161" s="829">
        <f t="shared" ca="1" si="34"/>
        <v>0</v>
      </c>
      <c r="AM161" s="834"/>
      <c r="AN161" s="831"/>
      <c r="AO161" s="829">
        <f t="shared" ca="1" si="35"/>
        <v>0</v>
      </c>
      <c r="AP161" s="834"/>
      <c r="AQ161" s="831"/>
      <c r="AU161" s="258"/>
      <c r="AV161" s="258"/>
      <c r="AW161" s="258"/>
      <c r="AX161" s="258"/>
      <c r="AY161" s="258"/>
      <c r="AZ161" s="258"/>
      <c r="BA161" s="258"/>
      <c r="BB161" s="258"/>
      <c r="BC161" s="258"/>
      <c r="BD161" s="258"/>
      <c r="BE161" s="258"/>
      <c r="BF161" s="258"/>
      <c r="BG161" s="258"/>
      <c r="BH161" s="258"/>
      <c r="BI161" s="258"/>
      <c r="BJ161" s="258"/>
      <c r="BK161" s="258"/>
      <c r="BL161" s="258"/>
      <c r="BM161" s="258"/>
      <c r="BN161" s="258"/>
      <c r="BO161" s="258"/>
      <c r="BP161" s="258"/>
      <c r="BQ161" s="258"/>
      <c r="BR161" s="258"/>
      <c r="BS161" s="258"/>
      <c r="BT161" s="258"/>
      <c r="BU161" s="257"/>
      <c r="BV161" s="258"/>
      <c r="BW161" s="258"/>
      <c r="BX161" s="258"/>
      <c r="BY161" s="258"/>
      <c r="BZ161" s="446"/>
      <c r="CA161" s="446"/>
      <c r="CB161" s="446"/>
      <c r="CC161" s="446"/>
      <c r="CD161" s="446"/>
      <c r="CE161" s="446"/>
      <c r="CF161" s="446"/>
      <c r="CG161" s="446"/>
      <c r="CH161" s="446"/>
      <c r="CI161" s="446"/>
      <c r="CJ161" s="446"/>
      <c r="CK161" s="446"/>
      <c r="CL161" s="446"/>
      <c r="CM161" s="446"/>
      <c r="CN161" s="446"/>
      <c r="CO161" s="446"/>
      <c r="CP161" s="446"/>
      <c r="CQ161" s="446"/>
      <c r="CR161" s="446"/>
      <c r="CS161" s="446"/>
      <c r="CT161" s="446"/>
      <c r="CU161" s="446"/>
      <c r="CV161" s="446"/>
      <c r="CW161" s="820">
        <v>19</v>
      </c>
      <c r="CX161" s="446"/>
      <c r="CY161" s="446"/>
      <c r="CZ161" s="446"/>
      <c r="DA161" s="446"/>
      <c r="DB161" s="446"/>
      <c r="DC161" s="446"/>
      <c r="DD161" s="446"/>
      <c r="DE161" s="446"/>
      <c r="DF161" s="446"/>
      <c r="DG161" s="446"/>
      <c r="DH161" s="446"/>
      <c r="DI161" s="446"/>
      <c r="DJ161" s="446"/>
      <c r="DK161" s="446"/>
      <c r="DL161" s="446"/>
      <c r="DM161" s="446"/>
      <c r="DN161" s="446"/>
      <c r="DO161" s="446"/>
      <c r="DP161" s="258"/>
      <c r="DQ161" s="258"/>
      <c r="DR161" s="258"/>
      <c r="DS161" s="258"/>
      <c r="DT161" s="258"/>
      <c r="DU161" s="258"/>
      <c r="DV161" s="258"/>
      <c r="DW161" s="258"/>
      <c r="DX161" s="258"/>
      <c r="DY161" s="258"/>
      <c r="DZ161" s="282"/>
      <c r="EA161" s="229"/>
      <c r="EB161" s="229"/>
    </row>
    <row r="162" spans="2:132" s="219" customFormat="1" ht="14.25" hidden="1" customHeight="1" x14ac:dyDescent="0.2">
      <c r="B162" s="811">
        <f ca="1">B142+INT(C161/12)</f>
        <v>2018</v>
      </c>
      <c r="C162" s="811">
        <v>20</v>
      </c>
      <c r="D162" s="828">
        <f t="shared" si="11"/>
        <v>0</v>
      </c>
      <c r="E162" s="822">
        <f t="shared" si="36"/>
        <v>0</v>
      </c>
      <c r="F162" s="829">
        <f t="shared" si="12"/>
        <v>0</v>
      </c>
      <c r="G162" s="829">
        <f t="shared" si="13"/>
        <v>0</v>
      </c>
      <c r="H162" s="830">
        <f t="shared" si="14"/>
        <v>0</v>
      </c>
      <c r="I162" s="831">
        <f t="shared" si="15"/>
        <v>0</v>
      </c>
      <c r="J162" s="829">
        <f>IF(AND(L162&gt;0,L161=0),K133,0)</f>
        <v>0</v>
      </c>
      <c r="K162" s="830">
        <f t="shared" si="16"/>
        <v>0</v>
      </c>
      <c r="L162" s="831">
        <f t="shared" si="17"/>
        <v>0</v>
      </c>
      <c r="M162" s="829">
        <f>IF(AND(O162&gt;0,O161=0),N133,0)</f>
        <v>0</v>
      </c>
      <c r="N162" s="830">
        <f t="shared" si="18"/>
        <v>0</v>
      </c>
      <c r="O162" s="831">
        <f t="shared" si="19"/>
        <v>0</v>
      </c>
      <c r="P162" s="829">
        <f>IF(AND(S162&gt;0,S161=0),Q133,0)</f>
        <v>0</v>
      </c>
      <c r="Q162" s="832">
        <f t="shared" si="20"/>
        <v>0</v>
      </c>
      <c r="S162" s="833">
        <f t="shared" si="21"/>
        <v>0</v>
      </c>
      <c r="T162" s="829">
        <f>IF(AND(V162&gt;0,V161=0),U133,0)</f>
        <v>0</v>
      </c>
      <c r="U162" s="830">
        <f t="shared" si="22"/>
        <v>0</v>
      </c>
      <c r="V162" s="831">
        <f t="shared" si="23"/>
        <v>0</v>
      </c>
      <c r="W162" s="829">
        <f>IF(AND(Y162&gt;0,Y161=0),X133,0)</f>
        <v>0</v>
      </c>
      <c r="X162" s="830">
        <f t="shared" si="24"/>
        <v>0</v>
      </c>
      <c r="Y162" s="831">
        <f t="shared" si="25"/>
        <v>0</v>
      </c>
      <c r="Z162" s="829">
        <f>IF(AND(AB162&gt;0,AB161=0),AA133,0)</f>
        <v>0</v>
      </c>
      <c r="AA162" s="830">
        <f t="shared" si="26"/>
        <v>0</v>
      </c>
      <c r="AB162" s="831">
        <f t="shared" si="27"/>
        <v>0</v>
      </c>
      <c r="AC162" s="829">
        <f>IF(AND(AE162&gt;0,AE161=0),AD133,0)</f>
        <v>0</v>
      </c>
      <c r="AD162" s="830">
        <f t="shared" si="28"/>
        <v>0</v>
      </c>
      <c r="AE162" s="831">
        <f t="shared" si="29"/>
        <v>0</v>
      </c>
      <c r="AF162" s="829">
        <f>IF(AND(AH162&gt;0,AH161=0),AG133,0)</f>
        <v>0</v>
      </c>
      <c r="AG162" s="830">
        <f t="shared" si="30"/>
        <v>0</v>
      </c>
      <c r="AH162" s="831">
        <f t="shared" si="31"/>
        <v>0</v>
      </c>
      <c r="AI162" s="829">
        <f>IF(AND(AK162&gt;0,AK161=0),AJ133,0)</f>
        <v>0</v>
      </c>
      <c r="AJ162" s="830">
        <f t="shared" si="32"/>
        <v>0</v>
      </c>
      <c r="AK162" s="831">
        <f t="shared" si="33"/>
        <v>0</v>
      </c>
      <c r="AL162" s="829">
        <f t="shared" ca="1" si="34"/>
        <v>0</v>
      </c>
      <c r="AM162" s="834"/>
      <c r="AN162" s="831"/>
      <c r="AO162" s="829">
        <f t="shared" ca="1" si="35"/>
        <v>0</v>
      </c>
      <c r="AP162" s="834"/>
      <c r="AQ162" s="831"/>
      <c r="AU162" s="258"/>
      <c r="AV162" s="258"/>
      <c r="AW162" s="258"/>
      <c r="AX162" s="258"/>
      <c r="AY162" s="258"/>
      <c r="AZ162" s="258"/>
      <c r="BA162" s="258"/>
      <c r="BB162" s="258"/>
      <c r="BC162" s="258"/>
      <c r="BD162" s="258"/>
      <c r="BE162" s="258"/>
      <c r="BF162" s="258"/>
      <c r="BG162" s="258"/>
      <c r="BH162" s="258"/>
      <c r="BI162" s="258"/>
      <c r="BJ162" s="258"/>
      <c r="BK162" s="258"/>
      <c r="BL162" s="258"/>
      <c r="BM162" s="258"/>
      <c r="BN162" s="258"/>
      <c r="BO162" s="258"/>
      <c r="BP162" s="258"/>
      <c r="BQ162" s="258"/>
      <c r="BR162" s="258"/>
      <c r="BS162" s="258"/>
      <c r="BT162" s="258"/>
      <c r="BU162" s="257"/>
      <c r="BV162" s="258"/>
      <c r="BW162" s="258"/>
      <c r="BX162" s="258"/>
      <c r="BY162" s="258"/>
      <c r="BZ162" s="446"/>
      <c r="CA162" s="446"/>
      <c r="CB162" s="446"/>
      <c r="CC162" s="446"/>
      <c r="CD162" s="446"/>
      <c r="CE162" s="446"/>
      <c r="CF162" s="446"/>
      <c r="CG162" s="446"/>
      <c r="CH162" s="446"/>
      <c r="CI162" s="446"/>
      <c r="CJ162" s="446"/>
      <c r="CK162" s="446"/>
      <c r="CL162" s="446"/>
      <c r="CM162" s="446"/>
      <c r="CN162" s="446"/>
      <c r="CO162" s="446"/>
      <c r="CP162" s="446"/>
      <c r="CQ162" s="446"/>
      <c r="CR162" s="446"/>
      <c r="CS162" s="446"/>
      <c r="CT162" s="446"/>
      <c r="CU162" s="446"/>
      <c r="CV162" s="446"/>
      <c r="CW162" s="820">
        <v>20</v>
      </c>
      <c r="CX162" s="446"/>
      <c r="CY162" s="446"/>
      <c r="CZ162" s="446"/>
      <c r="DA162" s="446"/>
      <c r="DB162" s="446"/>
      <c r="DC162" s="446"/>
      <c r="DD162" s="446"/>
      <c r="DE162" s="446"/>
      <c r="DF162" s="446"/>
      <c r="DG162" s="446"/>
      <c r="DH162" s="446"/>
      <c r="DI162" s="446"/>
      <c r="DJ162" s="446"/>
      <c r="DK162" s="446"/>
      <c r="DL162" s="446"/>
      <c r="DM162" s="446"/>
      <c r="DN162" s="446"/>
      <c r="DO162" s="446"/>
      <c r="DP162" s="258"/>
      <c r="DQ162" s="258"/>
      <c r="DR162" s="258"/>
      <c r="DS162" s="258"/>
      <c r="DT162" s="258"/>
      <c r="DU162" s="258"/>
      <c r="DV162" s="258"/>
      <c r="DW162" s="258"/>
      <c r="DX162" s="258"/>
      <c r="DY162" s="258"/>
      <c r="DZ162" s="282"/>
      <c r="EA162" s="229"/>
      <c r="EB162" s="229"/>
    </row>
    <row r="163" spans="2:132" s="219" customFormat="1" ht="14.25" hidden="1" customHeight="1" x14ac:dyDescent="0.2">
      <c r="B163" s="811">
        <f ca="1">B142+INT(C162/12)</f>
        <v>2018</v>
      </c>
      <c r="C163" s="811">
        <v>21</v>
      </c>
      <c r="D163" s="828">
        <f t="shared" si="11"/>
        <v>0</v>
      </c>
      <c r="E163" s="822">
        <f t="shared" si="36"/>
        <v>0</v>
      </c>
      <c r="F163" s="829">
        <f t="shared" si="12"/>
        <v>0</v>
      </c>
      <c r="G163" s="829">
        <f t="shared" si="13"/>
        <v>0</v>
      </c>
      <c r="H163" s="830">
        <f t="shared" si="14"/>
        <v>0</v>
      </c>
      <c r="I163" s="831">
        <f t="shared" si="15"/>
        <v>0</v>
      </c>
      <c r="J163" s="829">
        <f>IF(AND(L163&gt;0,L162=0),K133,0)</f>
        <v>0</v>
      </c>
      <c r="K163" s="830">
        <f t="shared" si="16"/>
        <v>0</v>
      </c>
      <c r="L163" s="831">
        <f t="shared" si="17"/>
        <v>0</v>
      </c>
      <c r="M163" s="829">
        <f>IF(AND(O163&gt;0,O162=0),N133,0)</f>
        <v>0</v>
      </c>
      <c r="N163" s="830">
        <f t="shared" si="18"/>
        <v>0</v>
      </c>
      <c r="O163" s="831">
        <f t="shared" si="19"/>
        <v>0</v>
      </c>
      <c r="P163" s="829">
        <f>IF(AND(S163&gt;0,S162=0),Q133,0)</f>
        <v>0</v>
      </c>
      <c r="Q163" s="832">
        <f t="shared" si="20"/>
        <v>0</v>
      </c>
      <c r="S163" s="833">
        <f t="shared" si="21"/>
        <v>0</v>
      </c>
      <c r="T163" s="829">
        <f>IF(AND(V163&gt;0,V162=0),U133,0)</f>
        <v>0</v>
      </c>
      <c r="U163" s="830">
        <f t="shared" si="22"/>
        <v>0</v>
      </c>
      <c r="V163" s="831">
        <f t="shared" si="23"/>
        <v>0</v>
      </c>
      <c r="W163" s="829">
        <f>IF(AND(Y163&gt;0,Y162=0),X133,0)</f>
        <v>0</v>
      </c>
      <c r="X163" s="830">
        <f t="shared" si="24"/>
        <v>0</v>
      </c>
      <c r="Y163" s="831">
        <f t="shared" si="25"/>
        <v>0</v>
      </c>
      <c r="Z163" s="829">
        <f>IF(AND(AB163&gt;0,AB162=0),AA133,0)</f>
        <v>0</v>
      </c>
      <c r="AA163" s="830">
        <f t="shared" si="26"/>
        <v>0</v>
      </c>
      <c r="AB163" s="831">
        <f t="shared" si="27"/>
        <v>0</v>
      </c>
      <c r="AC163" s="829">
        <f>IF(AND(AE163&gt;0,AE162=0),AD133,0)</f>
        <v>0</v>
      </c>
      <c r="AD163" s="830">
        <f t="shared" si="28"/>
        <v>0</v>
      </c>
      <c r="AE163" s="831">
        <f t="shared" si="29"/>
        <v>0</v>
      </c>
      <c r="AF163" s="829">
        <f>IF(AND(AH163&gt;0,AH162=0),AG133,0)</f>
        <v>0</v>
      </c>
      <c r="AG163" s="830">
        <f t="shared" si="30"/>
        <v>0</v>
      </c>
      <c r="AH163" s="831">
        <f t="shared" si="31"/>
        <v>0</v>
      </c>
      <c r="AI163" s="829">
        <f>IF(AND(AK163&gt;0,AK162=0),AJ133,0)</f>
        <v>0</v>
      </c>
      <c r="AJ163" s="830">
        <f t="shared" si="32"/>
        <v>0</v>
      </c>
      <c r="AK163" s="831">
        <f t="shared" si="33"/>
        <v>0</v>
      </c>
      <c r="AL163" s="829">
        <f t="shared" ca="1" si="34"/>
        <v>0</v>
      </c>
      <c r="AM163" s="834"/>
      <c r="AN163" s="831"/>
      <c r="AO163" s="829">
        <f t="shared" ca="1" si="35"/>
        <v>0</v>
      </c>
      <c r="AP163" s="834"/>
      <c r="AQ163" s="831"/>
      <c r="AU163" s="258"/>
      <c r="AV163" s="258"/>
      <c r="AW163" s="258"/>
      <c r="AX163" s="258"/>
      <c r="AY163" s="258"/>
      <c r="AZ163" s="258"/>
      <c r="BA163" s="258"/>
      <c r="BB163" s="258"/>
      <c r="BC163" s="258"/>
      <c r="BD163" s="258"/>
      <c r="BE163" s="258"/>
      <c r="BF163" s="258"/>
      <c r="BG163" s="258"/>
      <c r="BH163" s="258"/>
      <c r="BI163" s="258"/>
      <c r="BJ163" s="258"/>
      <c r="BK163" s="258"/>
      <c r="BL163" s="258"/>
      <c r="BM163" s="258"/>
      <c r="BN163" s="258"/>
      <c r="BO163" s="258"/>
      <c r="BP163" s="258"/>
      <c r="BQ163" s="258"/>
      <c r="BR163" s="258"/>
      <c r="BS163" s="258"/>
      <c r="BT163" s="258"/>
      <c r="BU163" s="257"/>
      <c r="BV163" s="258"/>
      <c r="BW163" s="258"/>
      <c r="BX163" s="258"/>
      <c r="BY163" s="258"/>
      <c r="BZ163" s="446"/>
      <c r="CA163" s="446"/>
      <c r="CB163" s="446"/>
      <c r="CC163" s="446"/>
      <c r="CD163" s="446"/>
      <c r="CE163" s="446"/>
      <c r="CF163" s="446"/>
      <c r="CG163" s="446"/>
      <c r="CH163" s="446"/>
      <c r="CI163" s="446"/>
      <c r="CJ163" s="446"/>
      <c r="CK163" s="446"/>
      <c r="CL163" s="446"/>
      <c r="CM163" s="446"/>
      <c r="CN163" s="446"/>
      <c r="CO163" s="446"/>
      <c r="CP163" s="446"/>
      <c r="CQ163" s="446"/>
      <c r="CR163" s="446"/>
      <c r="CS163" s="446"/>
      <c r="CT163" s="446"/>
      <c r="CU163" s="446"/>
      <c r="CV163" s="446"/>
      <c r="CW163" s="820">
        <v>21</v>
      </c>
      <c r="CX163" s="446"/>
      <c r="CY163" s="446"/>
      <c r="CZ163" s="446"/>
      <c r="DA163" s="446"/>
      <c r="DB163" s="446"/>
      <c r="DC163" s="446"/>
      <c r="DD163" s="446"/>
      <c r="DE163" s="446"/>
      <c r="DF163" s="446"/>
      <c r="DG163" s="446"/>
      <c r="DH163" s="446"/>
      <c r="DI163" s="446"/>
      <c r="DJ163" s="446"/>
      <c r="DK163" s="446"/>
      <c r="DL163" s="446"/>
      <c r="DM163" s="446"/>
      <c r="DN163" s="446"/>
      <c r="DO163" s="446"/>
      <c r="DP163" s="258"/>
      <c r="DQ163" s="258"/>
      <c r="DR163" s="258"/>
      <c r="DS163" s="258"/>
      <c r="DT163" s="258"/>
      <c r="DU163" s="258"/>
      <c r="DV163" s="258"/>
      <c r="DW163" s="258"/>
      <c r="DX163" s="258"/>
      <c r="DY163" s="258"/>
      <c r="DZ163" s="282"/>
      <c r="EA163" s="229"/>
      <c r="EB163" s="229"/>
    </row>
    <row r="164" spans="2:132" s="219" customFormat="1" ht="14.25" hidden="1" customHeight="1" x14ac:dyDescent="0.2">
      <c r="B164" s="811">
        <f ca="1">B142+INT(C163/12)</f>
        <v>2018</v>
      </c>
      <c r="C164" s="811">
        <v>22</v>
      </c>
      <c r="D164" s="828">
        <f t="shared" si="11"/>
        <v>0</v>
      </c>
      <c r="E164" s="822">
        <f t="shared" si="36"/>
        <v>0</v>
      </c>
      <c r="F164" s="829">
        <f t="shared" si="12"/>
        <v>0</v>
      </c>
      <c r="G164" s="829">
        <f t="shared" si="13"/>
        <v>0</v>
      </c>
      <c r="H164" s="830">
        <f t="shared" si="14"/>
        <v>0</v>
      </c>
      <c r="I164" s="831">
        <f t="shared" si="15"/>
        <v>0</v>
      </c>
      <c r="J164" s="829">
        <f>IF(AND(L164&gt;0,L163=0),K133,0)</f>
        <v>0</v>
      </c>
      <c r="K164" s="830">
        <f t="shared" si="16"/>
        <v>0</v>
      </c>
      <c r="L164" s="831">
        <f t="shared" si="17"/>
        <v>0</v>
      </c>
      <c r="M164" s="829">
        <f>IF(AND(O164&gt;0,O163=0),N133,0)</f>
        <v>0</v>
      </c>
      <c r="N164" s="830">
        <f t="shared" si="18"/>
        <v>0</v>
      </c>
      <c r="O164" s="831">
        <f t="shared" si="19"/>
        <v>0</v>
      </c>
      <c r="P164" s="829">
        <f>IF(AND(S164&gt;0,S163=0),Q133,0)</f>
        <v>0</v>
      </c>
      <c r="Q164" s="832">
        <f t="shared" si="20"/>
        <v>0</v>
      </c>
      <c r="S164" s="833">
        <f t="shared" si="21"/>
        <v>0</v>
      </c>
      <c r="T164" s="829">
        <f>IF(AND(V164&gt;0,V163=0),U133,0)</f>
        <v>0</v>
      </c>
      <c r="U164" s="830">
        <f t="shared" si="22"/>
        <v>0</v>
      </c>
      <c r="V164" s="831">
        <f t="shared" si="23"/>
        <v>0</v>
      </c>
      <c r="W164" s="829">
        <f>IF(AND(Y164&gt;0,Y163=0),X133,0)</f>
        <v>0</v>
      </c>
      <c r="X164" s="830">
        <f t="shared" si="24"/>
        <v>0</v>
      </c>
      <c r="Y164" s="831">
        <f t="shared" si="25"/>
        <v>0</v>
      </c>
      <c r="Z164" s="829">
        <f>IF(AND(AB164&gt;0,AB163=0),AA133,0)</f>
        <v>0</v>
      </c>
      <c r="AA164" s="830">
        <f t="shared" si="26"/>
        <v>0</v>
      </c>
      <c r="AB164" s="831">
        <f t="shared" si="27"/>
        <v>0</v>
      </c>
      <c r="AC164" s="829">
        <f>IF(AND(AE164&gt;0,AE163=0),AD133,0)</f>
        <v>0</v>
      </c>
      <c r="AD164" s="830">
        <f t="shared" si="28"/>
        <v>0</v>
      </c>
      <c r="AE164" s="831">
        <f t="shared" si="29"/>
        <v>0</v>
      </c>
      <c r="AF164" s="829">
        <f>IF(AND(AH164&gt;0,AH163=0),AG133,0)</f>
        <v>0</v>
      </c>
      <c r="AG164" s="830">
        <f t="shared" si="30"/>
        <v>0</v>
      </c>
      <c r="AH164" s="831">
        <f t="shared" si="31"/>
        <v>0</v>
      </c>
      <c r="AI164" s="829">
        <f>IF(AND(AK164&gt;0,AK163=0),AJ133,0)</f>
        <v>0</v>
      </c>
      <c r="AJ164" s="830">
        <f t="shared" si="32"/>
        <v>0</v>
      </c>
      <c r="AK164" s="831">
        <f t="shared" si="33"/>
        <v>0</v>
      </c>
      <c r="AL164" s="829">
        <f t="shared" ca="1" si="34"/>
        <v>0</v>
      </c>
      <c r="AM164" s="834"/>
      <c r="AN164" s="831"/>
      <c r="AO164" s="829">
        <f t="shared" ca="1" si="35"/>
        <v>0</v>
      </c>
      <c r="AP164" s="834"/>
      <c r="AQ164" s="831"/>
      <c r="AU164" s="258"/>
      <c r="AV164" s="258"/>
      <c r="AW164" s="258"/>
      <c r="AX164" s="258"/>
      <c r="AY164" s="258"/>
      <c r="AZ164" s="258"/>
      <c r="BA164" s="258"/>
      <c r="BB164" s="258"/>
      <c r="BC164" s="258"/>
      <c r="BD164" s="258"/>
      <c r="BE164" s="258"/>
      <c r="BF164" s="258"/>
      <c r="BG164" s="258"/>
      <c r="BH164" s="258"/>
      <c r="BI164" s="258"/>
      <c r="BJ164" s="258"/>
      <c r="BK164" s="258"/>
      <c r="BL164" s="258"/>
      <c r="BM164" s="258"/>
      <c r="BN164" s="258"/>
      <c r="BO164" s="258"/>
      <c r="BP164" s="258"/>
      <c r="BQ164" s="258"/>
      <c r="BR164" s="258"/>
      <c r="BS164" s="258"/>
      <c r="BT164" s="258"/>
      <c r="BU164" s="257"/>
      <c r="BV164" s="258"/>
      <c r="BW164" s="258"/>
      <c r="BX164" s="258"/>
      <c r="BY164" s="258"/>
      <c r="BZ164" s="446"/>
      <c r="CA164" s="446"/>
      <c r="CB164" s="446"/>
      <c r="CC164" s="446"/>
      <c r="CD164" s="446"/>
      <c r="CE164" s="446"/>
      <c r="CF164" s="446"/>
      <c r="CG164" s="446"/>
      <c r="CH164" s="446"/>
      <c r="CI164" s="446"/>
      <c r="CJ164" s="446"/>
      <c r="CK164" s="446"/>
      <c r="CL164" s="446"/>
      <c r="CM164" s="446"/>
      <c r="CN164" s="446"/>
      <c r="CO164" s="446"/>
      <c r="CP164" s="446"/>
      <c r="CQ164" s="446"/>
      <c r="CR164" s="446"/>
      <c r="CS164" s="446"/>
      <c r="CT164" s="446"/>
      <c r="CU164" s="446"/>
      <c r="CV164" s="446"/>
      <c r="CW164" s="820">
        <v>22</v>
      </c>
      <c r="CX164" s="446"/>
      <c r="CY164" s="446"/>
      <c r="CZ164" s="446"/>
      <c r="DA164" s="446"/>
      <c r="DB164" s="446"/>
      <c r="DC164" s="446"/>
      <c r="DD164" s="446"/>
      <c r="DE164" s="446"/>
      <c r="DF164" s="446"/>
      <c r="DG164" s="446"/>
      <c r="DH164" s="446"/>
      <c r="DI164" s="446"/>
      <c r="DJ164" s="446"/>
      <c r="DK164" s="446"/>
      <c r="DL164" s="446"/>
      <c r="DM164" s="446"/>
      <c r="DN164" s="446"/>
      <c r="DO164" s="446"/>
      <c r="DP164" s="258"/>
      <c r="DQ164" s="258"/>
      <c r="DR164" s="258"/>
      <c r="DS164" s="258"/>
      <c r="DT164" s="258"/>
      <c r="DU164" s="258"/>
      <c r="DV164" s="258"/>
      <c r="DW164" s="258"/>
      <c r="DX164" s="258"/>
      <c r="DY164" s="258"/>
      <c r="DZ164" s="282"/>
      <c r="EA164" s="229"/>
      <c r="EB164" s="229"/>
    </row>
    <row r="165" spans="2:132" s="219" customFormat="1" ht="14.25" hidden="1" customHeight="1" x14ac:dyDescent="0.2">
      <c r="B165" s="811">
        <f ca="1">B142+INT(C164/12)</f>
        <v>2018</v>
      </c>
      <c r="C165" s="811">
        <v>23</v>
      </c>
      <c r="D165" s="828">
        <f t="shared" si="11"/>
        <v>0</v>
      </c>
      <c r="E165" s="822">
        <f t="shared" si="36"/>
        <v>0</v>
      </c>
      <c r="F165" s="829">
        <f t="shared" si="12"/>
        <v>0</v>
      </c>
      <c r="G165" s="829">
        <f t="shared" si="13"/>
        <v>0</v>
      </c>
      <c r="H165" s="830">
        <f t="shared" si="14"/>
        <v>0</v>
      </c>
      <c r="I165" s="831">
        <f t="shared" si="15"/>
        <v>0</v>
      </c>
      <c r="J165" s="829">
        <f>IF(AND(L165&gt;0,L164=0),K133,0)</f>
        <v>0</v>
      </c>
      <c r="K165" s="830">
        <f t="shared" si="16"/>
        <v>0</v>
      </c>
      <c r="L165" s="831">
        <f t="shared" si="17"/>
        <v>0</v>
      </c>
      <c r="M165" s="829">
        <f>IF(AND(O165&gt;0,O164=0),N133,0)</f>
        <v>0</v>
      </c>
      <c r="N165" s="830">
        <f t="shared" si="18"/>
        <v>0</v>
      </c>
      <c r="O165" s="831">
        <f t="shared" si="19"/>
        <v>0</v>
      </c>
      <c r="P165" s="829">
        <f>IF(AND(S165&gt;0,S164=0),Q133,0)</f>
        <v>0</v>
      </c>
      <c r="Q165" s="832">
        <f t="shared" si="20"/>
        <v>0</v>
      </c>
      <c r="S165" s="833">
        <f t="shared" si="21"/>
        <v>0</v>
      </c>
      <c r="T165" s="829">
        <f>IF(AND(V165&gt;0,V164=0),U133,0)</f>
        <v>0</v>
      </c>
      <c r="U165" s="830">
        <f t="shared" si="22"/>
        <v>0</v>
      </c>
      <c r="V165" s="831">
        <f t="shared" si="23"/>
        <v>0</v>
      </c>
      <c r="W165" s="829">
        <f>IF(AND(Y165&gt;0,Y164=0),X133,0)</f>
        <v>0</v>
      </c>
      <c r="X165" s="830">
        <f t="shared" si="24"/>
        <v>0</v>
      </c>
      <c r="Y165" s="831">
        <f t="shared" si="25"/>
        <v>0</v>
      </c>
      <c r="Z165" s="829">
        <f>IF(AND(AB165&gt;0,AB164=0),AA133,0)</f>
        <v>0</v>
      </c>
      <c r="AA165" s="830">
        <f t="shared" si="26"/>
        <v>0</v>
      </c>
      <c r="AB165" s="831">
        <f t="shared" si="27"/>
        <v>0</v>
      </c>
      <c r="AC165" s="829">
        <f>IF(AND(AE165&gt;0,AE164=0),AD133,0)</f>
        <v>0</v>
      </c>
      <c r="AD165" s="830">
        <f t="shared" si="28"/>
        <v>0</v>
      </c>
      <c r="AE165" s="831">
        <f t="shared" si="29"/>
        <v>0</v>
      </c>
      <c r="AF165" s="829">
        <f>IF(AND(AH165&gt;0,AH164=0),AG133,0)</f>
        <v>0</v>
      </c>
      <c r="AG165" s="830">
        <f t="shared" si="30"/>
        <v>0</v>
      </c>
      <c r="AH165" s="831">
        <f t="shared" si="31"/>
        <v>0</v>
      </c>
      <c r="AI165" s="829">
        <f>IF(AND(AK165&gt;0,AK164=0),AJ133,0)</f>
        <v>0</v>
      </c>
      <c r="AJ165" s="830">
        <f t="shared" si="32"/>
        <v>0</v>
      </c>
      <c r="AK165" s="831">
        <f t="shared" si="33"/>
        <v>0</v>
      </c>
      <c r="AL165" s="829">
        <f t="shared" ca="1" si="34"/>
        <v>0</v>
      </c>
      <c r="AM165" s="834"/>
      <c r="AN165" s="831"/>
      <c r="AO165" s="829">
        <f t="shared" ca="1" si="35"/>
        <v>0</v>
      </c>
      <c r="AP165" s="834"/>
      <c r="AQ165" s="831"/>
      <c r="AU165" s="258"/>
      <c r="AV165" s="258"/>
      <c r="AW165" s="258"/>
      <c r="AX165" s="258"/>
      <c r="AY165" s="258"/>
      <c r="AZ165" s="258"/>
      <c r="BA165" s="258"/>
      <c r="BB165" s="258"/>
      <c r="BC165" s="258"/>
      <c r="BD165" s="258"/>
      <c r="BE165" s="258"/>
      <c r="BF165" s="258"/>
      <c r="BG165" s="258"/>
      <c r="BH165" s="258"/>
      <c r="BI165" s="258"/>
      <c r="BJ165" s="258"/>
      <c r="BK165" s="258"/>
      <c r="BL165" s="258"/>
      <c r="BM165" s="258"/>
      <c r="BN165" s="258"/>
      <c r="BO165" s="258"/>
      <c r="BP165" s="258"/>
      <c r="BQ165" s="258"/>
      <c r="BR165" s="258"/>
      <c r="BS165" s="258"/>
      <c r="BT165" s="258"/>
      <c r="BU165" s="257"/>
      <c r="BV165" s="258"/>
      <c r="BW165" s="258"/>
      <c r="BX165" s="258"/>
      <c r="BY165" s="258"/>
      <c r="BZ165" s="446"/>
      <c r="CA165" s="446"/>
      <c r="CB165" s="446"/>
      <c r="CC165" s="446"/>
      <c r="CD165" s="446"/>
      <c r="CE165" s="446"/>
      <c r="CF165" s="446"/>
      <c r="CG165" s="446"/>
      <c r="CH165" s="446"/>
      <c r="CI165" s="446"/>
      <c r="CJ165" s="446"/>
      <c r="CK165" s="446"/>
      <c r="CL165" s="446"/>
      <c r="CM165" s="446"/>
      <c r="CN165" s="446"/>
      <c r="CO165" s="446"/>
      <c r="CP165" s="446"/>
      <c r="CQ165" s="446"/>
      <c r="CR165" s="446"/>
      <c r="CS165" s="446"/>
      <c r="CT165" s="446"/>
      <c r="CU165" s="446"/>
      <c r="CV165" s="446"/>
      <c r="CW165" s="820">
        <v>23</v>
      </c>
      <c r="CX165" s="446"/>
      <c r="CY165" s="446"/>
      <c r="CZ165" s="446"/>
      <c r="DA165" s="446"/>
      <c r="DB165" s="446"/>
      <c r="DC165" s="446"/>
      <c r="DD165" s="446"/>
      <c r="DE165" s="446"/>
      <c r="DF165" s="446"/>
      <c r="DG165" s="446"/>
      <c r="DH165" s="446"/>
      <c r="DI165" s="446"/>
      <c r="DJ165" s="446"/>
      <c r="DK165" s="446"/>
      <c r="DL165" s="446"/>
      <c r="DM165" s="446"/>
      <c r="DN165" s="446"/>
      <c r="DO165" s="446"/>
      <c r="DP165" s="258"/>
      <c r="DQ165" s="258"/>
      <c r="DR165" s="258"/>
      <c r="DS165" s="258"/>
      <c r="DT165" s="258"/>
      <c r="DU165" s="258"/>
      <c r="DV165" s="258"/>
      <c r="DW165" s="258"/>
      <c r="DX165" s="258"/>
      <c r="DY165" s="258"/>
      <c r="DZ165" s="282"/>
      <c r="EA165" s="229"/>
      <c r="EB165" s="229"/>
    </row>
    <row r="166" spans="2:132" s="219" customFormat="1" ht="14.25" hidden="1" customHeight="1" x14ac:dyDescent="0.2">
      <c r="B166" s="812">
        <f ca="1">B142+INT(C165/12)</f>
        <v>2018</v>
      </c>
      <c r="C166" s="812">
        <v>24</v>
      </c>
      <c r="D166" s="835">
        <f t="shared" si="11"/>
        <v>0</v>
      </c>
      <c r="E166" s="822">
        <f t="shared" si="36"/>
        <v>0</v>
      </c>
      <c r="F166" s="836">
        <f t="shared" si="12"/>
        <v>0</v>
      </c>
      <c r="G166" s="836">
        <f t="shared" si="13"/>
        <v>0</v>
      </c>
      <c r="H166" s="837">
        <f t="shared" si="14"/>
        <v>0</v>
      </c>
      <c r="I166" s="838">
        <f t="shared" si="15"/>
        <v>0</v>
      </c>
      <c r="J166" s="836">
        <f>IF(AND(L166&gt;0,L165=0),K133,0)</f>
        <v>0</v>
      </c>
      <c r="K166" s="837">
        <f t="shared" si="16"/>
        <v>0</v>
      </c>
      <c r="L166" s="838">
        <f t="shared" si="17"/>
        <v>0</v>
      </c>
      <c r="M166" s="836">
        <f>IF(AND(O166&gt;0,O165=0),N133,0)</f>
        <v>0</v>
      </c>
      <c r="N166" s="837">
        <f t="shared" si="18"/>
        <v>0</v>
      </c>
      <c r="O166" s="838">
        <f t="shared" si="19"/>
        <v>0</v>
      </c>
      <c r="P166" s="836">
        <f>IF(AND(S166&gt;0,S165=0),Q133,0)</f>
        <v>0</v>
      </c>
      <c r="Q166" s="839">
        <f t="shared" si="20"/>
        <v>0</v>
      </c>
      <c r="S166" s="840">
        <f t="shared" si="21"/>
        <v>0</v>
      </c>
      <c r="T166" s="836">
        <f>IF(AND(V166&gt;0,V165=0),U133,0)</f>
        <v>0</v>
      </c>
      <c r="U166" s="837">
        <f t="shared" si="22"/>
        <v>0</v>
      </c>
      <c r="V166" s="838">
        <f t="shared" si="23"/>
        <v>0</v>
      </c>
      <c r="W166" s="836">
        <f>IF(AND(Y166&gt;0,Y165=0),X133,0)</f>
        <v>0</v>
      </c>
      <c r="X166" s="837">
        <f t="shared" si="24"/>
        <v>0</v>
      </c>
      <c r="Y166" s="838">
        <f t="shared" si="25"/>
        <v>0</v>
      </c>
      <c r="Z166" s="836">
        <f>IF(AND(AB166&gt;0,AB165=0),AA133,0)</f>
        <v>0</v>
      </c>
      <c r="AA166" s="837">
        <f t="shared" si="26"/>
        <v>0</v>
      </c>
      <c r="AB166" s="838">
        <f t="shared" si="27"/>
        <v>0</v>
      </c>
      <c r="AC166" s="836">
        <f>IF(AND(AE166&gt;0,AE165=0),AD133,0)</f>
        <v>0</v>
      </c>
      <c r="AD166" s="837">
        <f t="shared" si="28"/>
        <v>0</v>
      </c>
      <c r="AE166" s="838">
        <f t="shared" si="29"/>
        <v>0</v>
      </c>
      <c r="AF166" s="836">
        <f>IF(AND(AH166&gt;0,AH165=0),AG133,0)</f>
        <v>0</v>
      </c>
      <c r="AG166" s="837">
        <f t="shared" si="30"/>
        <v>0</v>
      </c>
      <c r="AH166" s="838">
        <f t="shared" si="31"/>
        <v>0</v>
      </c>
      <c r="AI166" s="836">
        <f>IF(AND(AK166&gt;0,AK165=0),AJ133,0)</f>
        <v>0</v>
      </c>
      <c r="AJ166" s="837">
        <f t="shared" si="32"/>
        <v>0</v>
      </c>
      <c r="AK166" s="838">
        <f t="shared" si="33"/>
        <v>0</v>
      </c>
      <c r="AL166" s="836">
        <f t="shared" ca="1" si="34"/>
        <v>0</v>
      </c>
      <c r="AM166" s="834"/>
      <c r="AN166" s="831"/>
      <c r="AO166" s="836">
        <f t="shared" ca="1" si="35"/>
        <v>0</v>
      </c>
      <c r="AP166" s="834"/>
      <c r="AQ166" s="831"/>
      <c r="AU166" s="258"/>
      <c r="AV166" s="258"/>
      <c r="AW166" s="258"/>
      <c r="AX166" s="258"/>
      <c r="AY166" s="258"/>
      <c r="AZ166" s="258"/>
      <c r="BA166" s="258"/>
      <c r="BB166" s="258"/>
      <c r="BC166" s="258"/>
      <c r="BD166" s="258"/>
      <c r="BE166" s="258"/>
      <c r="BF166" s="258"/>
      <c r="BG166" s="258"/>
      <c r="BH166" s="258"/>
      <c r="BI166" s="258"/>
      <c r="BJ166" s="258"/>
      <c r="BK166" s="258"/>
      <c r="BL166" s="258"/>
      <c r="BM166" s="258"/>
      <c r="BN166" s="258"/>
      <c r="BO166" s="258"/>
      <c r="BP166" s="258"/>
      <c r="BQ166" s="258"/>
      <c r="BR166" s="258"/>
      <c r="BS166" s="258"/>
      <c r="BT166" s="258"/>
      <c r="BU166" s="257"/>
      <c r="BV166" s="258"/>
      <c r="BW166" s="258"/>
      <c r="BX166" s="258"/>
      <c r="BY166" s="258"/>
      <c r="BZ166" s="446"/>
      <c r="CA166" s="446"/>
      <c r="CB166" s="446"/>
      <c r="CC166" s="446"/>
      <c r="CD166" s="446"/>
      <c r="CE166" s="446"/>
      <c r="CF166" s="446"/>
      <c r="CG166" s="446"/>
      <c r="CH166" s="446"/>
      <c r="CI166" s="446"/>
      <c r="CJ166" s="446"/>
      <c r="CK166" s="446"/>
      <c r="CL166" s="446"/>
      <c r="CM166" s="446"/>
      <c r="CN166" s="446"/>
      <c r="CO166" s="446"/>
      <c r="CP166" s="446"/>
      <c r="CQ166" s="446"/>
      <c r="CR166" s="446"/>
      <c r="CS166" s="446"/>
      <c r="CT166" s="446"/>
      <c r="CU166" s="446"/>
      <c r="CV166" s="446"/>
      <c r="CW166" s="820">
        <v>24</v>
      </c>
      <c r="CX166" s="446"/>
      <c r="CY166" s="446"/>
      <c r="CZ166" s="446"/>
      <c r="DA166" s="446"/>
      <c r="DB166" s="446"/>
      <c r="DC166" s="446"/>
      <c r="DD166" s="446"/>
      <c r="DE166" s="446"/>
      <c r="DF166" s="446"/>
      <c r="DG166" s="446"/>
      <c r="DH166" s="446"/>
      <c r="DI166" s="446"/>
      <c r="DJ166" s="446"/>
      <c r="DK166" s="446"/>
      <c r="DL166" s="446"/>
      <c r="DM166" s="446"/>
      <c r="DN166" s="446"/>
      <c r="DO166" s="446"/>
      <c r="DP166" s="258"/>
      <c r="DQ166" s="258"/>
      <c r="DR166" s="258"/>
      <c r="DS166" s="258"/>
      <c r="DT166" s="258"/>
      <c r="DU166" s="258"/>
      <c r="DV166" s="258"/>
      <c r="DW166" s="258"/>
      <c r="DX166" s="258"/>
      <c r="DY166" s="258"/>
      <c r="DZ166" s="282"/>
      <c r="EA166" s="229"/>
      <c r="EB166" s="229"/>
    </row>
    <row r="167" spans="2:132" s="219" customFormat="1" ht="14.25" hidden="1" customHeight="1" x14ac:dyDescent="0.2">
      <c r="B167" s="841">
        <f ca="1">B142+INT(C166/12)</f>
        <v>2019</v>
      </c>
      <c r="C167" s="841">
        <v>25</v>
      </c>
      <c r="D167" s="821">
        <f t="shared" si="11"/>
        <v>0</v>
      </c>
      <c r="E167" s="822">
        <f t="shared" si="36"/>
        <v>0</v>
      </c>
      <c r="F167" s="822">
        <f t="shared" si="12"/>
        <v>0</v>
      </c>
      <c r="G167" s="822">
        <f t="shared" si="13"/>
        <v>0</v>
      </c>
      <c r="H167" s="823">
        <f t="shared" si="14"/>
        <v>0</v>
      </c>
      <c r="I167" s="824">
        <f t="shared" si="15"/>
        <v>0</v>
      </c>
      <c r="J167" s="822">
        <f>IF(AND(L167&gt;0,L166=0),K133,0)</f>
        <v>0</v>
      </c>
      <c r="K167" s="823">
        <f t="shared" si="16"/>
        <v>0</v>
      </c>
      <c r="L167" s="824">
        <f t="shared" si="17"/>
        <v>0</v>
      </c>
      <c r="M167" s="822">
        <f>IF(AND(O167&gt;0,O166=0),N133,0)</f>
        <v>0</v>
      </c>
      <c r="N167" s="823">
        <f t="shared" si="18"/>
        <v>0</v>
      </c>
      <c r="O167" s="824">
        <f t="shared" si="19"/>
        <v>0</v>
      </c>
      <c r="P167" s="822">
        <f>IF(AND(S167&gt;0,S166=0),Q133,0)</f>
        <v>0</v>
      </c>
      <c r="Q167" s="825">
        <f t="shared" si="20"/>
        <v>0</v>
      </c>
      <c r="S167" s="826">
        <f t="shared" si="21"/>
        <v>0</v>
      </c>
      <c r="T167" s="822">
        <f>IF(AND(V167&gt;0,V166=0),U133,0)</f>
        <v>0</v>
      </c>
      <c r="U167" s="823">
        <f t="shared" si="22"/>
        <v>0</v>
      </c>
      <c r="V167" s="824">
        <f t="shared" si="23"/>
        <v>0</v>
      </c>
      <c r="W167" s="822">
        <f>IF(AND(Y167&gt;0,Y166=0),X133,0)</f>
        <v>0</v>
      </c>
      <c r="X167" s="823">
        <f t="shared" si="24"/>
        <v>0</v>
      </c>
      <c r="Y167" s="824">
        <f t="shared" si="25"/>
        <v>0</v>
      </c>
      <c r="Z167" s="822">
        <f>IF(AND(AB167&gt;0,AB166=0),AA133,0)</f>
        <v>0</v>
      </c>
      <c r="AA167" s="823">
        <f t="shared" si="26"/>
        <v>0</v>
      </c>
      <c r="AB167" s="824">
        <f t="shared" si="27"/>
        <v>0</v>
      </c>
      <c r="AC167" s="822">
        <f>IF(AND(AE167&gt;0,AE166=0),AD133,0)</f>
        <v>0</v>
      </c>
      <c r="AD167" s="823">
        <f t="shared" si="28"/>
        <v>0</v>
      </c>
      <c r="AE167" s="824">
        <f t="shared" si="29"/>
        <v>0</v>
      </c>
      <c r="AF167" s="822">
        <f>IF(AND(AH167&gt;0,AH166=0),AG133,0)</f>
        <v>0</v>
      </c>
      <c r="AG167" s="823">
        <f t="shared" si="30"/>
        <v>0</v>
      </c>
      <c r="AH167" s="824">
        <f t="shared" si="31"/>
        <v>0</v>
      </c>
      <c r="AI167" s="822">
        <f>IF(AND(AK167&gt;0,AK166=0),AJ133,0)</f>
        <v>0</v>
      </c>
      <c r="AJ167" s="823">
        <f t="shared" si="32"/>
        <v>0</v>
      </c>
      <c r="AK167" s="824">
        <f t="shared" si="33"/>
        <v>0</v>
      </c>
      <c r="AL167" s="822">
        <f t="shared" ca="1" si="34"/>
        <v>0</v>
      </c>
      <c r="AM167" s="834"/>
      <c r="AN167" s="831"/>
      <c r="AO167" s="822">
        <f t="shared" ca="1" si="35"/>
        <v>0</v>
      </c>
      <c r="AP167" s="834"/>
      <c r="AQ167" s="831"/>
      <c r="AU167" s="258"/>
      <c r="AV167" s="258"/>
      <c r="AW167" s="258"/>
      <c r="AX167" s="258"/>
      <c r="AY167" s="258"/>
      <c r="AZ167" s="258"/>
      <c r="BA167" s="258"/>
      <c r="BB167" s="258"/>
      <c r="BC167" s="258"/>
      <c r="BD167" s="258"/>
      <c r="BE167" s="258"/>
      <c r="BF167" s="258"/>
      <c r="BG167" s="258"/>
      <c r="BH167" s="258"/>
      <c r="BI167" s="258"/>
      <c r="BJ167" s="258"/>
      <c r="BK167" s="258"/>
      <c r="BL167" s="258"/>
      <c r="BM167" s="258"/>
      <c r="BN167" s="258"/>
      <c r="BO167" s="258"/>
      <c r="BP167" s="258"/>
      <c r="BQ167" s="258"/>
      <c r="BR167" s="258"/>
      <c r="BS167" s="258"/>
      <c r="BT167" s="258"/>
      <c r="BU167" s="257"/>
      <c r="BV167" s="258"/>
      <c r="BW167" s="258"/>
      <c r="BX167" s="258"/>
      <c r="BY167" s="258"/>
      <c r="BZ167" s="446"/>
      <c r="CA167" s="446"/>
      <c r="CB167" s="446"/>
      <c r="CC167" s="446"/>
      <c r="CD167" s="446"/>
      <c r="CE167" s="446"/>
      <c r="CF167" s="446"/>
      <c r="CG167" s="446"/>
      <c r="CH167" s="446"/>
      <c r="CI167" s="446"/>
      <c r="CJ167" s="446"/>
      <c r="CK167" s="446"/>
      <c r="CL167" s="446"/>
      <c r="CM167" s="446"/>
      <c r="CN167" s="446"/>
      <c r="CO167" s="446"/>
      <c r="CP167" s="446"/>
      <c r="CQ167" s="446"/>
      <c r="CR167" s="446"/>
      <c r="CS167" s="446"/>
      <c r="CT167" s="446"/>
      <c r="CU167" s="446"/>
      <c r="CV167" s="446"/>
      <c r="CW167" s="820">
        <v>25</v>
      </c>
      <c r="CX167" s="446"/>
      <c r="CY167" s="446"/>
      <c r="CZ167" s="446"/>
      <c r="DA167" s="446"/>
      <c r="DB167" s="446"/>
      <c r="DC167" s="446"/>
      <c r="DD167" s="446"/>
      <c r="DE167" s="446"/>
      <c r="DF167" s="446"/>
      <c r="DG167" s="446"/>
      <c r="DH167" s="446"/>
      <c r="DI167" s="446"/>
      <c r="DJ167" s="446"/>
      <c r="DK167" s="446"/>
      <c r="DL167" s="446"/>
      <c r="DM167" s="446"/>
      <c r="DN167" s="446"/>
      <c r="DO167" s="446"/>
      <c r="DP167" s="258"/>
      <c r="DQ167" s="258"/>
      <c r="DR167" s="258"/>
      <c r="DS167" s="258"/>
      <c r="DT167" s="258"/>
      <c r="DU167" s="258"/>
      <c r="DV167" s="258"/>
      <c r="DW167" s="258"/>
      <c r="DX167" s="258"/>
      <c r="DY167" s="258"/>
      <c r="DZ167" s="282"/>
      <c r="EA167" s="229"/>
      <c r="EB167" s="229"/>
    </row>
    <row r="168" spans="2:132" s="219" customFormat="1" ht="14.25" hidden="1" customHeight="1" x14ac:dyDescent="0.2">
      <c r="B168" s="811">
        <f ca="1">B142+INT(C167/12)</f>
        <v>2019</v>
      </c>
      <c r="C168" s="811">
        <v>26</v>
      </c>
      <c r="D168" s="828">
        <f t="shared" si="11"/>
        <v>0</v>
      </c>
      <c r="E168" s="822">
        <f t="shared" si="36"/>
        <v>0</v>
      </c>
      <c r="F168" s="829">
        <f t="shared" si="12"/>
        <v>0</v>
      </c>
      <c r="G168" s="829">
        <f t="shared" si="13"/>
        <v>0</v>
      </c>
      <c r="H168" s="830">
        <f t="shared" si="14"/>
        <v>0</v>
      </c>
      <c r="I168" s="831">
        <f t="shared" si="15"/>
        <v>0</v>
      </c>
      <c r="J168" s="829">
        <f>IF(AND(L168&gt;0,L167=0),K133,0)</f>
        <v>0</v>
      </c>
      <c r="K168" s="830">
        <f t="shared" si="16"/>
        <v>0</v>
      </c>
      <c r="L168" s="831">
        <f t="shared" si="17"/>
        <v>0</v>
      </c>
      <c r="M168" s="829">
        <f>IF(AND(O168&gt;0,O167=0),N133,0)</f>
        <v>0</v>
      </c>
      <c r="N168" s="830">
        <f t="shared" si="18"/>
        <v>0</v>
      </c>
      <c r="O168" s="831">
        <f t="shared" si="19"/>
        <v>0</v>
      </c>
      <c r="P168" s="829">
        <f>IF(AND(S168&gt;0,S167=0),Q133,0)</f>
        <v>0</v>
      </c>
      <c r="Q168" s="832">
        <f t="shared" si="20"/>
        <v>0</v>
      </c>
      <c r="S168" s="833">
        <f t="shared" si="21"/>
        <v>0</v>
      </c>
      <c r="T168" s="829">
        <f>IF(AND(V168&gt;0,V167=0),U133,0)</f>
        <v>0</v>
      </c>
      <c r="U168" s="830">
        <f t="shared" si="22"/>
        <v>0</v>
      </c>
      <c r="V168" s="831">
        <f t="shared" si="23"/>
        <v>0</v>
      </c>
      <c r="W168" s="829">
        <f>IF(AND(Y168&gt;0,Y167=0),X133,0)</f>
        <v>0</v>
      </c>
      <c r="X168" s="830">
        <f t="shared" si="24"/>
        <v>0</v>
      </c>
      <c r="Y168" s="831">
        <f t="shared" si="25"/>
        <v>0</v>
      </c>
      <c r="Z168" s="829">
        <f>IF(AND(AB168&gt;0,AB167=0),AA133,0)</f>
        <v>0</v>
      </c>
      <c r="AA168" s="830">
        <f t="shared" si="26"/>
        <v>0</v>
      </c>
      <c r="AB168" s="831">
        <f t="shared" si="27"/>
        <v>0</v>
      </c>
      <c r="AC168" s="829">
        <f>IF(AND(AE168&gt;0,AE167=0),AD133,0)</f>
        <v>0</v>
      </c>
      <c r="AD168" s="830">
        <f t="shared" si="28"/>
        <v>0</v>
      </c>
      <c r="AE168" s="831">
        <f t="shared" si="29"/>
        <v>0</v>
      </c>
      <c r="AF168" s="829">
        <f>IF(AND(AH168&gt;0,AH167=0),AG133,0)</f>
        <v>0</v>
      </c>
      <c r="AG168" s="830">
        <f t="shared" si="30"/>
        <v>0</v>
      </c>
      <c r="AH168" s="831">
        <f t="shared" si="31"/>
        <v>0</v>
      </c>
      <c r="AI168" s="829">
        <f>IF(AND(AK168&gt;0,AK167=0),AJ133,0)</f>
        <v>0</v>
      </c>
      <c r="AJ168" s="830">
        <f t="shared" si="32"/>
        <v>0</v>
      </c>
      <c r="AK168" s="831">
        <f t="shared" si="33"/>
        <v>0</v>
      </c>
      <c r="AL168" s="829">
        <f t="shared" ca="1" si="34"/>
        <v>0</v>
      </c>
      <c r="AM168" s="834"/>
      <c r="AN168" s="831"/>
      <c r="AO168" s="829">
        <f t="shared" ca="1" si="35"/>
        <v>0</v>
      </c>
      <c r="AP168" s="834"/>
      <c r="AQ168" s="831"/>
      <c r="AU168" s="258"/>
      <c r="AV168" s="258"/>
      <c r="AW168" s="258"/>
      <c r="AX168" s="258"/>
      <c r="AY168" s="258"/>
      <c r="AZ168" s="258"/>
      <c r="BA168" s="258"/>
      <c r="BB168" s="258"/>
      <c r="BC168" s="258"/>
      <c r="BD168" s="258"/>
      <c r="BE168" s="258"/>
      <c r="BF168" s="258"/>
      <c r="BG168" s="258"/>
      <c r="BH168" s="258"/>
      <c r="BI168" s="258"/>
      <c r="BJ168" s="258"/>
      <c r="BK168" s="258"/>
      <c r="BL168" s="258"/>
      <c r="BM168" s="258"/>
      <c r="BN168" s="258"/>
      <c r="BO168" s="258"/>
      <c r="BP168" s="258"/>
      <c r="BQ168" s="258"/>
      <c r="BR168" s="258"/>
      <c r="BS168" s="258"/>
      <c r="BT168" s="258"/>
      <c r="BU168" s="257"/>
      <c r="BV168" s="258"/>
      <c r="BW168" s="258"/>
      <c r="BX168" s="258"/>
      <c r="BY168" s="258"/>
      <c r="BZ168" s="446"/>
      <c r="CA168" s="446"/>
      <c r="CB168" s="446"/>
      <c r="CC168" s="446"/>
      <c r="CD168" s="446"/>
      <c r="CE168" s="446"/>
      <c r="CF168" s="446"/>
      <c r="CG168" s="446"/>
      <c r="CH168" s="446"/>
      <c r="CI168" s="446"/>
      <c r="CJ168" s="446"/>
      <c r="CK168" s="446"/>
      <c r="CL168" s="446"/>
      <c r="CM168" s="446"/>
      <c r="CN168" s="446"/>
      <c r="CO168" s="446"/>
      <c r="CP168" s="446"/>
      <c r="CQ168" s="446"/>
      <c r="CR168" s="446"/>
      <c r="CS168" s="446"/>
      <c r="CT168" s="446"/>
      <c r="CU168" s="446"/>
      <c r="CV168" s="446"/>
      <c r="CW168" s="820">
        <v>26</v>
      </c>
      <c r="CX168" s="446"/>
      <c r="CY168" s="446"/>
      <c r="CZ168" s="446"/>
      <c r="DA168" s="446"/>
      <c r="DB168" s="446"/>
      <c r="DC168" s="446"/>
      <c r="DD168" s="446"/>
      <c r="DE168" s="446"/>
      <c r="DF168" s="446"/>
      <c r="DG168" s="446"/>
      <c r="DH168" s="446"/>
      <c r="DI168" s="446"/>
      <c r="DJ168" s="446"/>
      <c r="DK168" s="446"/>
      <c r="DL168" s="446"/>
      <c r="DM168" s="446"/>
      <c r="DN168" s="446"/>
      <c r="DO168" s="446"/>
      <c r="DP168" s="258"/>
      <c r="DQ168" s="258"/>
      <c r="DR168" s="258"/>
      <c r="DS168" s="258"/>
      <c r="DT168" s="258"/>
      <c r="DU168" s="258"/>
      <c r="DV168" s="258"/>
      <c r="DW168" s="258"/>
      <c r="DX168" s="258"/>
      <c r="DY168" s="258"/>
      <c r="DZ168" s="282"/>
      <c r="EA168" s="229"/>
      <c r="EB168" s="229"/>
    </row>
    <row r="169" spans="2:132" s="219" customFormat="1" ht="14.25" hidden="1" customHeight="1" x14ac:dyDescent="0.2">
      <c r="B169" s="811">
        <f ca="1">B142+INT(C168/12)</f>
        <v>2019</v>
      </c>
      <c r="C169" s="811">
        <v>27</v>
      </c>
      <c r="D169" s="828">
        <f t="shared" si="11"/>
        <v>0</v>
      </c>
      <c r="E169" s="822">
        <f t="shared" si="36"/>
        <v>0</v>
      </c>
      <c r="F169" s="829">
        <f t="shared" si="12"/>
        <v>0</v>
      </c>
      <c r="G169" s="829">
        <f t="shared" si="13"/>
        <v>0</v>
      </c>
      <c r="H169" s="830">
        <f t="shared" si="14"/>
        <v>0</v>
      </c>
      <c r="I169" s="831">
        <f t="shared" si="15"/>
        <v>0</v>
      </c>
      <c r="J169" s="829">
        <f>IF(AND(L169&gt;0,L168=0),K133,0)</f>
        <v>0</v>
      </c>
      <c r="K169" s="830">
        <f t="shared" si="16"/>
        <v>0</v>
      </c>
      <c r="L169" s="831">
        <f t="shared" si="17"/>
        <v>0</v>
      </c>
      <c r="M169" s="829">
        <f>IF(AND(O169&gt;0,O168=0),N133,0)</f>
        <v>0</v>
      </c>
      <c r="N169" s="830">
        <f t="shared" si="18"/>
        <v>0</v>
      </c>
      <c r="O169" s="831">
        <f t="shared" si="19"/>
        <v>0</v>
      </c>
      <c r="P169" s="829">
        <f>IF(AND(S169&gt;0,S168=0),Q133,0)</f>
        <v>0</v>
      </c>
      <c r="Q169" s="832">
        <f t="shared" si="20"/>
        <v>0</v>
      </c>
      <c r="S169" s="833">
        <f t="shared" si="21"/>
        <v>0</v>
      </c>
      <c r="T169" s="829">
        <f>IF(AND(V169&gt;0,V168=0),U133,0)</f>
        <v>0</v>
      </c>
      <c r="U169" s="830">
        <f t="shared" si="22"/>
        <v>0</v>
      </c>
      <c r="V169" s="831">
        <f t="shared" si="23"/>
        <v>0</v>
      </c>
      <c r="W169" s="829">
        <f>IF(AND(Y169&gt;0,Y168=0),X133,0)</f>
        <v>0</v>
      </c>
      <c r="X169" s="830">
        <f t="shared" si="24"/>
        <v>0</v>
      </c>
      <c r="Y169" s="831">
        <f t="shared" si="25"/>
        <v>0</v>
      </c>
      <c r="Z169" s="829">
        <f>IF(AND(AB169&gt;0,AB168=0),AA133,0)</f>
        <v>0</v>
      </c>
      <c r="AA169" s="830">
        <f t="shared" si="26"/>
        <v>0</v>
      </c>
      <c r="AB169" s="831">
        <f t="shared" si="27"/>
        <v>0</v>
      </c>
      <c r="AC169" s="829">
        <f>IF(AND(AE169&gt;0,AE168=0),AD133,0)</f>
        <v>0</v>
      </c>
      <c r="AD169" s="830">
        <f t="shared" si="28"/>
        <v>0</v>
      </c>
      <c r="AE169" s="831">
        <f t="shared" si="29"/>
        <v>0</v>
      </c>
      <c r="AF169" s="829">
        <f>IF(AND(AH169&gt;0,AH168=0),AG133,0)</f>
        <v>0</v>
      </c>
      <c r="AG169" s="830">
        <f t="shared" si="30"/>
        <v>0</v>
      </c>
      <c r="AH169" s="831">
        <f t="shared" si="31"/>
        <v>0</v>
      </c>
      <c r="AI169" s="829">
        <f>IF(AND(AK169&gt;0,AK168=0),AJ133,0)</f>
        <v>0</v>
      </c>
      <c r="AJ169" s="830">
        <f t="shared" si="32"/>
        <v>0</v>
      </c>
      <c r="AK169" s="831">
        <f t="shared" si="33"/>
        <v>0</v>
      </c>
      <c r="AL169" s="829">
        <f t="shared" ca="1" si="34"/>
        <v>0</v>
      </c>
      <c r="AM169" s="834"/>
      <c r="AN169" s="831"/>
      <c r="AO169" s="829">
        <f t="shared" ca="1" si="35"/>
        <v>0</v>
      </c>
      <c r="AP169" s="834"/>
      <c r="AQ169" s="831"/>
      <c r="AU169" s="258"/>
      <c r="AV169" s="258"/>
      <c r="AW169" s="258"/>
      <c r="AX169" s="258"/>
      <c r="AY169" s="258"/>
      <c r="AZ169" s="258"/>
      <c r="BA169" s="258"/>
      <c r="BB169" s="258"/>
      <c r="BC169" s="258"/>
      <c r="BD169" s="258"/>
      <c r="BE169" s="258"/>
      <c r="BF169" s="258"/>
      <c r="BG169" s="258"/>
      <c r="BH169" s="258"/>
      <c r="BI169" s="258"/>
      <c r="BJ169" s="258"/>
      <c r="BK169" s="258"/>
      <c r="BL169" s="258"/>
      <c r="BM169" s="258"/>
      <c r="BN169" s="258"/>
      <c r="BO169" s="258"/>
      <c r="BP169" s="258"/>
      <c r="BQ169" s="258"/>
      <c r="BR169" s="258"/>
      <c r="BS169" s="258"/>
      <c r="BT169" s="258"/>
      <c r="BU169" s="257"/>
      <c r="BV169" s="258"/>
      <c r="BW169" s="258"/>
      <c r="BX169" s="258"/>
      <c r="BY169" s="258"/>
      <c r="BZ169" s="446"/>
      <c r="CA169" s="446"/>
      <c r="CB169" s="446"/>
      <c r="CC169" s="446"/>
      <c r="CD169" s="446"/>
      <c r="CE169" s="446"/>
      <c r="CF169" s="446"/>
      <c r="CG169" s="446"/>
      <c r="CH169" s="446"/>
      <c r="CI169" s="446"/>
      <c r="CJ169" s="446"/>
      <c r="CK169" s="446"/>
      <c r="CL169" s="446"/>
      <c r="CM169" s="446"/>
      <c r="CN169" s="446"/>
      <c r="CO169" s="446"/>
      <c r="CP169" s="446"/>
      <c r="CQ169" s="446"/>
      <c r="CR169" s="446"/>
      <c r="CS169" s="446"/>
      <c r="CT169" s="446"/>
      <c r="CU169" s="446"/>
      <c r="CV169" s="446"/>
      <c r="CW169" s="820">
        <v>27</v>
      </c>
      <c r="CX169" s="446"/>
      <c r="CY169" s="446"/>
      <c r="CZ169" s="446"/>
      <c r="DA169" s="446"/>
      <c r="DB169" s="446"/>
      <c r="DC169" s="446"/>
      <c r="DD169" s="446"/>
      <c r="DE169" s="446"/>
      <c r="DF169" s="446"/>
      <c r="DG169" s="446"/>
      <c r="DH169" s="446"/>
      <c r="DI169" s="446"/>
      <c r="DJ169" s="446"/>
      <c r="DK169" s="446"/>
      <c r="DL169" s="446"/>
      <c r="DM169" s="446"/>
      <c r="DN169" s="446"/>
      <c r="DO169" s="446"/>
      <c r="DP169" s="258"/>
      <c r="DQ169" s="258"/>
      <c r="DR169" s="258"/>
      <c r="DS169" s="258"/>
      <c r="DT169" s="258"/>
      <c r="DU169" s="258"/>
      <c r="DV169" s="258"/>
      <c r="DW169" s="258"/>
      <c r="DX169" s="258"/>
      <c r="DY169" s="258"/>
      <c r="DZ169" s="282"/>
      <c r="EA169" s="229"/>
      <c r="EB169" s="229"/>
    </row>
    <row r="170" spans="2:132" s="219" customFormat="1" ht="14.25" hidden="1" customHeight="1" x14ac:dyDescent="0.2">
      <c r="B170" s="811">
        <f ca="1">B142+INT(C169/12)</f>
        <v>2019</v>
      </c>
      <c r="C170" s="811">
        <v>28</v>
      </c>
      <c r="D170" s="828">
        <f t="shared" si="11"/>
        <v>0</v>
      </c>
      <c r="E170" s="822">
        <f t="shared" si="36"/>
        <v>0</v>
      </c>
      <c r="F170" s="829">
        <f t="shared" si="12"/>
        <v>0</v>
      </c>
      <c r="G170" s="829">
        <f t="shared" si="13"/>
        <v>0</v>
      </c>
      <c r="H170" s="830">
        <f t="shared" si="14"/>
        <v>0</v>
      </c>
      <c r="I170" s="831">
        <f t="shared" si="15"/>
        <v>0</v>
      </c>
      <c r="J170" s="829">
        <f>IF(AND(L170&gt;0,L169=0),K133,0)</f>
        <v>0</v>
      </c>
      <c r="K170" s="830">
        <f t="shared" si="16"/>
        <v>0</v>
      </c>
      <c r="L170" s="831">
        <f t="shared" si="17"/>
        <v>0</v>
      </c>
      <c r="M170" s="829">
        <f>IF(AND(O170&gt;0,O169=0),N133,0)</f>
        <v>0</v>
      </c>
      <c r="N170" s="830">
        <f t="shared" si="18"/>
        <v>0</v>
      </c>
      <c r="O170" s="831">
        <f t="shared" si="19"/>
        <v>0</v>
      </c>
      <c r="P170" s="829">
        <f>IF(AND(S170&gt;0,S169=0),Q133,0)</f>
        <v>0</v>
      </c>
      <c r="Q170" s="832">
        <f t="shared" si="20"/>
        <v>0</v>
      </c>
      <c r="S170" s="833">
        <f t="shared" si="21"/>
        <v>0</v>
      </c>
      <c r="T170" s="829">
        <f>IF(AND(V170&gt;0,V169=0),U133,0)</f>
        <v>0</v>
      </c>
      <c r="U170" s="830">
        <f t="shared" si="22"/>
        <v>0</v>
      </c>
      <c r="V170" s="831">
        <f t="shared" si="23"/>
        <v>0</v>
      </c>
      <c r="W170" s="829">
        <f>IF(AND(Y170&gt;0,Y169=0),X133,0)</f>
        <v>0</v>
      </c>
      <c r="X170" s="830">
        <f t="shared" si="24"/>
        <v>0</v>
      </c>
      <c r="Y170" s="831">
        <f t="shared" si="25"/>
        <v>0</v>
      </c>
      <c r="Z170" s="829">
        <f>IF(AND(AB170&gt;0,AB169=0),AA133,0)</f>
        <v>0</v>
      </c>
      <c r="AA170" s="830">
        <f t="shared" si="26"/>
        <v>0</v>
      </c>
      <c r="AB170" s="831">
        <f t="shared" si="27"/>
        <v>0</v>
      </c>
      <c r="AC170" s="829">
        <f>IF(AND(AE170&gt;0,AE169=0),AD133,0)</f>
        <v>0</v>
      </c>
      <c r="AD170" s="830">
        <f t="shared" si="28"/>
        <v>0</v>
      </c>
      <c r="AE170" s="831">
        <f t="shared" si="29"/>
        <v>0</v>
      </c>
      <c r="AF170" s="829">
        <f>IF(AND(AH170&gt;0,AH169=0),AG133,0)</f>
        <v>0</v>
      </c>
      <c r="AG170" s="830">
        <f t="shared" si="30"/>
        <v>0</v>
      </c>
      <c r="AH170" s="831">
        <f t="shared" si="31"/>
        <v>0</v>
      </c>
      <c r="AI170" s="829">
        <f>IF(AND(AK170&gt;0,AK169=0),AJ133,0)</f>
        <v>0</v>
      </c>
      <c r="AJ170" s="830">
        <f t="shared" si="32"/>
        <v>0</v>
      </c>
      <c r="AK170" s="831">
        <f t="shared" si="33"/>
        <v>0</v>
      </c>
      <c r="AL170" s="829">
        <f t="shared" ca="1" si="34"/>
        <v>0</v>
      </c>
      <c r="AM170" s="834"/>
      <c r="AN170" s="831"/>
      <c r="AO170" s="829">
        <f t="shared" ca="1" si="35"/>
        <v>0</v>
      </c>
      <c r="AP170" s="834"/>
      <c r="AQ170" s="831"/>
      <c r="AU170" s="258"/>
      <c r="AV170" s="258"/>
      <c r="AW170" s="258"/>
      <c r="AX170" s="258"/>
      <c r="AY170" s="258"/>
      <c r="AZ170" s="258"/>
      <c r="BA170" s="258"/>
      <c r="BB170" s="258"/>
      <c r="BC170" s="258"/>
      <c r="BD170" s="258"/>
      <c r="BE170" s="258"/>
      <c r="BF170" s="258"/>
      <c r="BG170" s="258"/>
      <c r="BH170" s="258"/>
      <c r="BI170" s="258"/>
      <c r="BJ170" s="258"/>
      <c r="BK170" s="258"/>
      <c r="BL170" s="258"/>
      <c r="BM170" s="258"/>
      <c r="BN170" s="258"/>
      <c r="BO170" s="258"/>
      <c r="BP170" s="258"/>
      <c r="BQ170" s="258"/>
      <c r="BR170" s="258"/>
      <c r="BS170" s="258"/>
      <c r="BT170" s="258"/>
      <c r="BU170" s="257"/>
      <c r="BV170" s="258"/>
      <c r="BW170" s="258"/>
      <c r="BX170" s="258"/>
      <c r="BY170" s="258"/>
      <c r="BZ170" s="446"/>
      <c r="CA170" s="446"/>
      <c r="CB170" s="446"/>
      <c r="CC170" s="446"/>
      <c r="CD170" s="446"/>
      <c r="CE170" s="446"/>
      <c r="CF170" s="446"/>
      <c r="CG170" s="446"/>
      <c r="CH170" s="446"/>
      <c r="CI170" s="446"/>
      <c r="CJ170" s="446"/>
      <c r="CK170" s="446"/>
      <c r="CL170" s="446"/>
      <c r="CM170" s="446"/>
      <c r="CN170" s="446"/>
      <c r="CO170" s="446"/>
      <c r="CP170" s="446"/>
      <c r="CQ170" s="446"/>
      <c r="CR170" s="446"/>
      <c r="CS170" s="446"/>
      <c r="CT170" s="446"/>
      <c r="CU170" s="446"/>
      <c r="CV170" s="446"/>
      <c r="CW170" s="820">
        <v>28</v>
      </c>
      <c r="CX170" s="446"/>
      <c r="CY170" s="446"/>
      <c r="CZ170" s="446"/>
      <c r="DA170" s="446"/>
      <c r="DB170" s="446"/>
      <c r="DC170" s="446"/>
      <c r="DD170" s="446"/>
      <c r="DE170" s="446"/>
      <c r="DF170" s="446"/>
      <c r="DG170" s="446"/>
      <c r="DH170" s="446"/>
      <c r="DI170" s="446"/>
      <c r="DJ170" s="446"/>
      <c r="DK170" s="446"/>
      <c r="DL170" s="446"/>
      <c r="DM170" s="446"/>
      <c r="DN170" s="446"/>
      <c r="DO170" s="446"/>
      <c r="DP170" s="258"/>
      <c r="DQ170" s="258"/>
      <c r="DR170" s="258"/>
      <c r="DS170" s="258"/>
      <c r="DT170" s="258"/>
      <c r="DU170" s="258"/>
      <c r="DV170" s="258"/>
      <c r="DW170" s="258"/>
      <c r="DX170" s="258"/>
      <c r="DY170" s="258"/>
      <c r="DZ170" s="282"/>
      <c r="EA170" s="229"/>
      <c r="EB170" s="229"/>
    </row>
    <row r="171" spans="2:132" s="219" customFormat="1" ht="14.25" hidden="1" customHeight="1" x14ac:dyDescent="0.2">
      <c r="B171" s="811">
        <f ca="1">B142+INT(C170/12)</f>
        <v>2019</v>
      </c>
      <c r="C171" s="811">
        <v>29</v>
      </c>
      <c r="D171" s="828">
        <f t="shared" si="11"/>
        <v>0</v>
      </c>
      <c r="E171" s="822">
        <f t="shared" si="36"/>
        <v>0</v>
      </c>
      <c r="F171" s="829">
        <f t="shared" si="12"/>
        <v>0</v>
      </c>
      <c r="G171" s="829">
        <f t="shared" si="13"/>
        <v>0</v>
      </c>
      <c r="H171" s="830">
        <f t="shared" si="14"/>
        <v>0</v>
      </c>
      <c r="I171" s="831">
        <f t="shared" si="15"/>
        <v>0</v>
      </c>
      <c r="J171" s="829">
        <f>IF(AND(L171&gt;0,L170=0),K133,0)</f>
        <v>0</v>
      </c>
      <c r="K171" s="830">
        <f t="shared" si="16"/>
        <v>0</v>
      </c>
      <c r="L171" s="831">
        <f t="shared" si="17"/>
        <v>0</v>
      </c>
      <c r="M171" s="829">
        <f>IF(AND(O171&gt;0,O170=0),N133,0)</f>
        <v>0</v>
      </c>
      <c r="N171" s="830">
        <f t="shared" si="18"/>
        <v>0</v>
      </c>
      <c r="O171" s="831">
        <f t="shared" si="19"/>
        <v>0</v>
      </c>
      <c r="P171" s="829">
        <f>IF(AND(S171&gt;0,S170=0),Q133,0)</f>
        <v>0</v>
      </c>
      <c r="Q171" s="832">
        <f t="shared" si="20"/>
        <v>0</v>
      </c>
      <c r="S171" s="833">
        <f t="shared" si="21"/>
        <v>0</v>
      </c>
      <c r="T171" s="829">
        <f>IF(AND(V171&gt;0,V170=0),U133,0)</f>
        <v>0</v>
      </c>
      <c r="U171" s="830">
        <f t="shared" si="22"/>
        <v>0</v>
      </c>
      <c r="V171" s="831">
        <f t="shared" si="23"/>
        <v>0</v>
      </c>
      <c r="W171" s="829">
        <f>IF(AND(Y171&gt;0,Y170=0),X133,0)</f>
        <v>0</v>
      </c>
      <c r="X171" s="830">
        <f t="shared" si="24"/>
        <v>0</v>
      </c>
      <c r="Y171" s="831">
        <f t="shared" si="25"/>
        <v>0</v>
      </c>
      <c r="Z171" s="829">
        <f>IF(AND(AB171&gt;0,AB170=0),AA133,0)</f>
        <v>0</v>
      </c>
      <c r="AA171" s="830">
        <f t="shared" si="26"/>
        <v>0</v>
      </c>
      <c r="AB171" s="831">
        <f t="shared" si="27"/>
        <v>0</v>
      </c>
      <c r="AC171" s="829">
        <f>IF(AND(AE171&gt;0,AE170=0),AD133,0)</f>
        <v>0</v>
      </c>
      <c r="AD171" s="830">
        <f t="shared" si="28"/>
        <v>0</v>
      </c>
      <c r="AE171" s="831">
        <f t="shared" si="29"/>
        <v>0</v>
      </c>
      <c r="AF171" s="829">
        <f>IF(AND(AH171&gt;0,AH170=0),AG133,0)</f>
        <v>0</v>
      </c>
      <c r="AG171" s="830">
        <f t="shared" si="30"/>
        <v>0</v>
      </c>
      <c r="AH171" s="831">
        <f t="shared" si="31"/>
        <v>0</v>
      </c>
      <c r="AI171" s="829">
        <f>IF(AND(AK171&gt;0,AK170=0),AJ133,0)</f>
        <v>0</v>
      </c>
      <c r="AJ171" s="830">
        <f t="shared" si="32"/>
        <v>0</v>
      </c>
      <c r="AK171" s="831">
        <f t="shared" si="33"/>
        <v>0</v>
      </c>
      <c r="AL171" s="829">
        <f t="shared" ca="1" si="34"/>
        <v>0</v>
      </c>
      <c r="AM171" s="834"/>
      <c r="AN171" s="831"/>
      <c r="AO171" s="829">
        <f t="shared" ca="1" si="35"/>
        <v>0</v>
      </c>
      <c r="AP171" s="834"/>
      <c r="AQ171" s="831"/>
      <c r="AU171" s="258"/>
      <c r="AV171" s="258"/>
      <c r="AW171" s="258"/>
      <c r="AX171" s="258"/>
      <c r="AY171" s="258"/>
      <c r="AZ171" s="258"/>
      <c r="BA171" s="258"/>
      <c r="BB171" s="258"/>
      <c r="BC171" s="258"/>
      <c r="BD171" s="258"/>
      <c r="BE171" s="258"/>
      <c r="BF171" s="258"/>
      <c r="BG171" s="258"/>
      <c r="BH171" s="258"/>
      <c r="BI171" s="258"/>
      <c r="BJ171" s="258"/>
      <c r="BK171" s="258"/>
      <c r="BL171" s="258"/>
      <c r="BM171" s="258"/>
      <c r="BN171" s="258"/>
      <c r="BO171" s="258"/>
      <c r="BP171" s="258"/>
      <c r="BQ171" s="258"/>
      <c r="BR171" s="258"/>
      <c r="BS171" s="258"/>
      <c r="BT171" s="258"/>
      <c r="BU171" s="257"/>
      <c r="BV171" s="258"/>
      <c r="BW171" s="258"/>
      <c r="BX171" s="258"/>
      <c r="BY171" s="258"/>
      <c r="BZ171" s="446"/>
      <c r="CA171" s="446"/>
      <c r="CB171" s="446"/>
      <c r="CC171" s="446"/>
      <c r="CD171" s="446"/>
      <c r="CE171" s="446"/>
      <c r="CF171" s="446"/>
      <c r="CG171" s="446"/>
      <c r="CH171" s="446"/>
      <c r="CI171" s="446"/>
      <c r="CJ171" s="446"/>
      <c r="CK171" s="446"/>
      <c r="CL171" s="446"/>
      <c r="CM171" s="446"/>
      <c r="CN171" s="446"/>
      <c r="CO171" s="446"/>
      <c r="CP171" s="446"/>
      <c r="CQ171" s="446"/>
      <c r="CR171" s="446"/>
      <c r="CS171" s="446"/>
      <c r="CT171" s="446"/>
      <c r="CU171" s="446"/>
      <c r="CV171" s="446"/>
      <c r="CW171" s="820">
        <v>29</v>
      </c>
      <c r="CX171" s="446"/>
      <c r="CY171" s="446"/>
      <c r="CZ171" s="446"/>
      <c r="DA171" s="446"/>
      <c r="DB171" s="446"/>
      <c r="DC171" s="446"/>
      <c r="DD171" s="446"/>
      <c r="DE171" s="446"/>
      <c r="DF171" s="446"/>
      <c r="DG171" s="446"/>
      <c r="DH171" s="446"/>
      <c r="DI171" s="446"/>
      <c r="DJ171" s="446"/>
      <c r="DK171" s="446"/>
      <c r="DL171" s="446"/>
      <c r="DM171" s="446"/>
      <c r="DN171" s="446"/>
      <c r="DO171" s="446"/>
      <c r="DP171" s="258"/>
      <c r="DQ171" s="258"/>
      <c r="DR171" s="258"/>
      <c r="DS171" s="258"/>
      <c r="DT171" s="258"/>
      <c r="DU171" s="258"/>
      <c r="DV171" s="258"/>
      <c r="DW171" s="258"/>
      <c r="DX171" s="258"/>
      <c r="DY171" s="258"/>
      <c r="DZ171" s="282"/>
      <c r="EA171" s="229"/>
      <c r="EB171" s="229"/>
    </row>
    <row r="172" spans="2:132" s="219" customFormat="1" ht="14.25" hidden="1" customHeight="1" x14ac:dyDescent="0.2">
      <c r="B172" s="811">
        <f ca="1">B142+INT(C171/12)</f>
        <v>2019</v>
      </c>
      <c r="C172" s="811">
        <v>30</v>
      </c>
      <c r="D172" s="828">
        <f t="shared" si="11"/>
        <v>0</v>
      </c>
      <c r="E172" s="822">
        <f t="shared" si="36"/>
        <v>0</v>
      </c>
      <c r="F172" s="829">
        <f t="shared" si="12"/>
        <v>0</v>
      </c>
      <c r="G172" s="829">
        <f t="shared" si="13"/>
        <v>0</v>
      </c>
      <c r="H172" s="830">
        <f t="shared" si="14"/>
        <v>0</v>
      </c>
      <c r="I172" s="831">
        <f t="shared" si="15"/>
        <v>0</v>
      </c>
      <c r="J172" s="829">
        <f>IF(AND(L172&gt;0,L171=0),K133,0)</f>
        <v>0</v>
      </c>
      <c r="K172" s="830">
        <f t="shared" si="16"/>
        <v>0</v>
      </c>
      <c r="L172" s="831">
        <f t="shared" si="17"/>
        <v>0</v>
      </c>
      <c r="M172" s="829">
        <f>IF(AND(O172&gt;0,O171=0),N133,0)</f>
        <v>0</v>
      </c>
      <c r="N172" s="830">
        <f t="shared" si="18"/>
        <v>0</v>
      </c>
      <c r="O172" s="831">
        <f t="shared" si="19"/>
        <v>0</v>
      </c>
      <c r="P172" s="829">
        <f>IF(AND(S172&gt;0,S171=0),Q133,0)</f>
        <v>0</v>
      </c>
      <c r="Q172" s="832">
        <f t="shared" si="20"/>
        <v>0</v>
      </c>
      <c r="S172" s="833">
        <f t="shared" si="21"/>
        <v>0</v>
      </c>
      <c r="T172" s="829">
        <f>IF(AND(V172&gt;0,V171=0),U133,0)</f>
        <v>0</v>
      </c>
      <c r="U172" s="830">
        <f t="shared" si="22"/>
        <v>0</v>
      </c>
      <c r="V172" s="831">
        <f t="shared" si="23"/>
        <v>0</v>
      </c>
      <c r="W172" s="829">
        <f>IF(AND(Y172&gt;0,Y171=0),X133,0)</f>
        <v>0</v>
      </c>
      <c r="X172" s="830">
        <f t="shared" si="24"/>
        <v>0</v>
      </c>
      <c r="Y172" s="831">
        <f t="shared" si="25"/>
        <v>0</v>
      </c>
      <c r="Z172" s="829">
        <f>IF(AND(AB172&gt;0,AB171=0),AA133,0)</f>
        <v>0</v>
      </c>
      <c r="AA172" s="830">
        <f t="shared" si="26"/>
        <v>0</v>
      </c>
      <c r="AB172" s="831">
        <f t="shared" si="27"/>
        <v>0</v>
      </c>
      <c r="AC172" s="829">
        <f>IF(AND(AE172&gt;0,AE171=0),AD133,0)</f>
        <v>0</v>
      </c>
      <c r="AD172" s="830">
        <f t="shared" si="28"/>
        <v>0</v>
      </c>
      <c r="AE172" s="831">
        <f t="shared" si="29"/>
        <v>0</v>
      </c>
      <c r="AF172" s="829">
        <f>IF(AND(AH172&gt;0,AH171=0),AG133,0)</f>
        <v>0</v>
      </c>
      <c r="AG172" s="830">
        <f t="shared" si="30"/>
        <v>0</v>
      </c>
      <c r="AH172" s="831">
        <f t="shared" si="31"/>
        <v>0</v>
      </c>
      <c r="AI172" s="829">
        <f>IF(AND(AK172&gt;0,AK171=0),AJ133,0)</f>
        <v>0</v>
      </c>
      <c r="AJ172" s="830">
        <f t="shared" si="32"/>
        <v>0</v>
      </c>
      <c r="AK172" s="831">
        <f t="shared" si="33"/>
        <v>0</v>
      </c>
      <c r="AL172" s="829">
        <f t="shared" ca="1" si="34"/>
        <v>0</v>
      </c>
      <c r="AM172" s="834"/>
      <c r="AN172" s="831"/>
      <c r="AO172" s="829">
        <f t="shared" ca="1" si="35"/>
        <v>0</v>
      </c>
      <c r="AP172" s="834"/>
      <c r="AQ172" s="831"/>
      <c r="AU172" s="258"/>
      <c r="AV172" s="258"/>
      <c r="AW172" s="258"/>
      <c r="AX172" s="258"/>
      <c r="AY172" s="258"/>
      <c r="AZ172" s="258"/>
      <c r="BA172" s="258"/>
      <c r="BB172" s="258"/>
      <c r="BC172" s="258"/>
      <c r="BD172" s="258"/>
      <c r="BE172" s="258"/>
      <c r="BF172" s="258"/>
      <c r="BG172" s="258"/>
      <c r="BH172" s="258"/>
      <c r="BI172" s="258"/>
      <c r="BJ172" s="258"/>
      <c r="BK172" s="258"/>
      <c r="BL172" s="258"/>
      <c r="BM172" s="258"/>
      <c r="BN172" s="258"/>
      <c r="BO172" s="258"/>
      <c r="BP172" s="258"/>
      <c r="BQ172" s="258"/>
      <c r="BR172" s="258"/>
      <c r="BS172" s="258"/>
      <c r="BT172" s="258"/>
      <c r="BU172" s="257"/>
      <c r="BV172" s="258"/>
      <c r="BW172" s="258"/>
      <c r="BX172" s="258"/>
      <c r="BY172" s="258"/>
      <c r="BZ172" s="446"/>
      <c r="CA172" s="446"/>
      <c r="CB172" s="446"/>
      <c r="CC172" s="446"/>
      <c r="CD172" s="446"/>
      <c r="CE172" s="446"/>
      <c r="CF172" s="446"/>
      <c r="CG172" s="446"/>
      <c r="CH172" s="446"/>
      <c r="CI172" s="446"/>
      <c r="CJ172" s="446"/>
      <c r="CK172" s="446"/>
      <c r="CL172" s="446"/>
      <c r="CM172" s="446"/>
      <c r="CN172" s="446"/>
      <c r="CO172" s="446"/>
      <c r="CP172" s="446"/>
      <c r="CQ172" s="446"/>
      <c r="CR172" s="446"/>
      <c r="CS172" s="446"/>
      <c r="CT172" s="446"/>
      <c r="CU172" s="446"/>
      <c r="CV172" s="446"/>
      <c r="CW172" s="820">
        <v>30</v>
      </c>
      <c r="CX172" s="446"/>
      <c r="CY172" s="446"/>
      <c r="CZ172" s="446"/>
      <c r="DA172" s="446"/>
      <c r="DB172" s="446"/>
      <c r="DC172" s="446"/>
      <c r="DD172" s="446"/>
      <c r="DE172" s="446"/>
      <c r="DF172" s="446"/>
      <c r="DG172" s="446"/>
      <c r="DH172" s="446"/>
      <c r="DI172" s="446"/>
      <c r="DJ172" s="446"/>
      <c r="DK172" s="446"/>
      <c r="DL172" s="446"/>
      <c r="DM172" s="446"/>
      <c r="DN172" s="446"/>
      <c r="DO172" s="446"/>
      <c r="DP172" s="258"/>
      <c r="DQ172" s="258"/>
      <c r="DR172" s="258"/>
      <c r="DS172" s="258"/>
      <c r="DT172" s="258"/>
      <c r="DU172" s="258"/>
      <c r="DV172" s="258"/>
      <c r="DW172" s="258"/>
      <c r="DX172" s="258"/>
      <c r="DY172" s="258"/>
      <c r="DZ172" s="282"/>
      <c r="EA172" s="229"/>
      <c r="EB172" s="229"/>
    </row>
    <row r="173" spans="2:132" s="219" customFormat="1" ht="14.25" hidden="1" customHeight="1" x14ac:dyDescent="0.2">
      <c r="B173" s="811">
        <f ca="1">B142+INT(C172/12)</f>
        <v>2019</v>
      </c>
      <c r="C173" s="811">
        <v>31</v>
      </c>
      <c r="D173" s="828">
        <f t="shared" si="11"/>
        <v>0</v>
      </c>
      <c r="E173" s="822">
        <f t="shared" si="36"/>
        <v>0</v>
      </c>
      <c r="F173" s="829">
        <f t="shared" si="12"/>
        <v>0</v>
      </c>
      <c r="G173" s="829">
        <f t="shared" si="13"/>
        <v>0</v>
      </c>
      <c r="H173" s="830">
        <f t="shared" si="14"/>
        <v>0</v>
      </c>
      <c r="I173" s="831">
        <f t="shared" si="15"/>
        <v>0</v>
      </c>
      <c r="J173" s="829">
        <f>IF(AND(L173&gt;0,L172=0),K133,0)</f>
        <v>0</v>
      </c>
      <c r="K173" s="830">
        <f t="shared" si="16"/>
        <v>0</v>
      </c>
      <c r="L173" s="831">
        <f t="shared" si="17"/>
        <v>0</v>
      </c>
      <c r="M173" s="829">
        <f>IF(AND(O173&gt;0,O172=0),N133,0)</f>
        <v>0</v>
      </c>
      <c r="N173" s="830">
        <f t="shared" si="18"/>
        <v>0</v>
      </c>
      <c r="O173" s="831">
        <f t="shared" si="19"/>
        <v>0</v>
      </c>
      <c r="P173" s="829">
        <f>IF(AND(S173&gt;0,S172=0),Q133,0)</f>
        <v>0</v>
      </c>
      <c r="Q173" s="832">
        <f t="shared" si="20"/>
        <v>0</v>
      </c>
      <c r="S173" s="833">
        <f t="shared" si="21"/>
        <v>0</v>
      </c>
      <c r="T173" s="829">
        <f>IF(AND(V173&gt;0,V172=0),U133,0)</f>
        <v>0</v>
      </c>
      <c r="U173" s="830">
        <f t="shared" si="22"/>
        <v>0</v>
      </c>
      <c r="V173" s="831">
        <f t="shared" si="23"/>
        <v>0</v>
      </c>
      <c r="W173" s="829">
        <f>IF(AND(Y173&gt;0,Y172=0),X133,0)</f>
        <v>0</v>
      </c>
      <c r="X173" s="830">
        <f t="shared" si="24"/>
        <v>0</v>
      </c>
      <c r="Y173" s="831">
        <f t="shared" si="25"/>
        <v>0</v>
      </c>
      <c r="Z173" s="829">
        <f>IF(AND(AB173&gt;0,AB172=0),AA133,0)</f>
        <v>0</v>
      </c>
      <c r="AA173" s="830">
        <f t="shared" si="26"/>
        <v>0</v>
      </c>
      <c r="AB173" s="831">
        <f t="shared" si="27"/>
        <v>0</v>
      </c>
      <c r="AC173" s="829">
        <f>IF(AND(AE173&gt;0,AE172=0),AD133,0)</f>
        <v>0</v>
      </c>
      <c r="AD173" s="830">
        <f t="shared" si="28"/>
        <v>0</v>
      </c>
      <c r="AE173" s="831">
        <f t="shared" si="29"/>
        <v>0</v>
      </c>
      <c r="AF173" s="829">
        <f>IF(AND(AH173&gt;0,AH172=0),AG133,0)</f>
        <v>0</v>
      </c>
      <c r="AG173" s="830">
        <f t="shared" si="30"/>
        <v>0</v>
      </c>
      <c r="AH173" s="831">
        <f t="shared" si="31"/>
        <v>0</v>
      </c>
      <c r="AI173" s="829">
        <f>IF(AND(AK173&gt;0,AK172=0),AJ133,0)</f>
        <v>0</v>
      </c>
      <c r="AJ173" s="830">
        <f t="shared" si="32"/>
        <v>0</v>
      </c>
      <c r="AK173" s="831">
        <f t="shared" si="33"/>
        <v>0</v>
      </c>
      <c r="AL173" s="829">
        <f t="shared" ca="1" si="34"/>
        <v>0</v>
      </c>
      <c r="AM173" s="834"/>
      <c r="AN173" s="831"/>
      <c r="AO173" s="829">
        <f t="shared" ca="1" si="35"/>
        <v>0</v>
      </c>
      <c r="AP173" s="834"/>
      <c r="AQ173" s="831"/>
      <c r="AU173" s="258"/>
      <c r="AV173" s="258"/>
      <c r="AW173" s="258"/>
      <c r="AX173" s="258"/>
      <c r="AY173" s="258"/>
      <c r="AZ173" s="258"/>
      <c r="BA173" s="258"/>
      <c r="BB173" s="258"/>
      <c r="BC173" s="258"/>
      <c r="BD173" s="258"/>
      <c r="BE173" s="258"/>
      <c r="BF173" s="258"/>
      <c r="BG173" s="258"/>
      <c r="BH173" s="258"/>
      <c r="BI173" s="258"/>
      <c r="BJ173" s="258"/>
      <c r="BK173" s="258"/>
      <c r="BL173" s="258"/>
      <c r="BM173" s="258"/>
      <c r="BN173" s="258"/>
      <c r="BO173" s="258"/>
      <c r="BP173" s="258"/>
      <c r="BQ173" s="258"/>
      <c r="BR173" s="258"/>
      <c r="BS173" s="258"/>
      <c r="BT173" s="258"/>
      <c r="BU173" s="257"/>
      <c r="BV173" s="258"/>
      <c r="BW173" s="258"/>
      <c r="BX173" s="258"/>
      <c r="BY173" s="258"/>
      <c r="BZ173" s="446"/>
      <c r="CA173" s="446"/>
      <c r="CB173" s="446"/>
      <c r="CC173" s="446"/>
      <c r="CD173" s="446"/>
      <c r="CE173" s="446"/>
      <c r="CF173" s="446"/>
      <c r="CG173" s="446"/>
      <c r="CH173" s="446"/>
      <c r="CI173" s="446"/>
      <c r="CJ173" s="446"/>
      <c r="CK173" s="446"/>
      <c r="CL173" s="446"/>
      <c r="CM173" s="446"/>
      <c r="CN173" s="446"/>
      <c r="CO173" s="446"/>
      <c r="CP173" s="446"/>
      <c r="CQ173" s="446"/>
      <c r="CR173" s="446"/>
      <c r="CS173" s="446"/>
      <c r="CT173" s="446"/>
      <c r="CU173" s="446"/>
      <c r="CV173" s="446"/>
      <c r="CW173" s="820">
        <v>31</v>
      </c>
      <c r="CX173" s="446"/>
      <c r="CY173" s="446"/>
      <c r="CZ173" s="446"/>
      <c r="DA173" s="446"/>
      <c r="DB173" s="446"/>
      <c r="DC173" s="446"/>
      <c r="DD173" s="446"/>
      <c r="DE173" s="446"/>
      <c r="DF173" s="446"/>
      <c r="DG173" s="446"/>
      <c r="DH173" s="446"/>
      <c r="DI173" s="446"/>
      <c r="DJ173" s="446"/>
      <c r="DK173" s="446"/>
      <c r="DL173" s="446"/>
      <c r="DM173" s="446"/>
      <c r="DN173" s="446"/>
      <c r="DO173" s="446"/>
      <c r="DP173" s="258"/>
      <c r="DQ173" s="258"/>
      <c r="DR173" s="258"/>
      <c r="DS173" s="258"/>
      <c r="DT173" s="258"/>
      <c r="DU173" s="258"/>
      <c r="DV173" s="258"/>
      <c r="DW173" s="258"/>
      <c r="DX173" s="258"/>
      <c r="DY173" s="258"/>
      <c r="DZ173" s="282"/>
      <c r="EA173" s="229"/>
      <c r="EB173" s="229"/>
    </row>
    <row r="174" spans="2:132" s="219" customFormat="1" ht="14.25" hidden="1" customHeight="1" x14ac:dyDescent="0.2">
      <c r="B174" s="811">
        <f ca="1">B142+INT(C173/12)</f>
        <v>2019</v>
      </c>
      <c r="C174" s="811">
        <v>32</v>
      </c>
      <c r="D174" s="828">
        <f t="shared" si="11"/>
        <v>0</v>
      </c>
      <c r="E174" s="822">
        <f t="shared" si="36"/>
        <v>0</v>
      </c>
      <c r="F174" s="829">
        <f t="shared" si="12"/>
        <v>0</v>
      </c>
      <c r="G174" s="829">
        <f t="shared" si="13"/>
        <v>0</v>
      </c>
      <c r="H174" s="830">
        <f t="shared" si="14"/>
        <v>0</v>
      </c>
      <c r="I174" s="831">
        <f t="shared" si="15"/>
        <v>0</v>
      </c>
      <c r="J174" s="829">
        <f>IF(AND(L174&gt;0,L173=0),K133,0)</f>
        <v>0</v>
      </c>
      <c r="K174" s="830">
        <f t="shared" si="16"/>
        <v>0</v>
      </c>
      <c r="L174" s="831">
        <f t="shared" si="17"/>
        <v>0</v>
      </c>
      <c r="M174" s="829">
        <f>IF(AND(O174&gt;0,O173=0),N133,0)</f>
        <v>0</v>
      </c>
      <c r="N174" s="830">
        <f t="shared" si="18"/>
        <v>0</v>
      </c>
      <c r="O174" s="831">
        <f t="shared" si="19"/>
        <v>0</v>
      </c>
      <c r="P174" s="829">
        <f>IF(AND(S174&gt;0,S173=0),Q133,0)</f>
        <v>0</v>
      </c>
      <c r="Q174" s="832">
        <f t="shared" si="20"/>
        <v>0</v>
      </c>
      <c r="S174" s="833">
        <f t="shared" si="21"/>
        <v>0</v>
      </c>
      <c r="T174" s="829">
        <f>IF(AND(V174&gt;0,V173=0),U133,0)</f>
        <v>0</v>
      </c>
      <c r="U174" s="830">
        <f t="shared" si="22"/>
        <v>0</v>
      </c>
      <c r="V174" s="831">
        <f t="shared" si="23"/>
        <v>0</v>
      </c>
      <c r="W174" s="829">
        <f>IF(AND(Y174&gt;0,Y173=0),X133,0)</f>
        <v>0</v>
      </c>
      <c r="X174" s="830">
        <f t="shared" si="24"/>
        <v>0</v>
      </c>
      <c r="Y174" s="831">
        <f t="shared" si="25"/>
        <v>0</v>
      </c>
      <c r="Z174" s="829">
        <f>IF(AND(AB174&gt;0,AB173=0),AA133,0)</f>
        <v>0</v>
      </c>
      <c r="AA174" s="830">
        <f t="shared" si="26"/>
        <v>0</v>
      </c>
      <c r="AB174" s="831">
        <f t="shared" si="27"/>
        <v>0</v>
      </c>
      <c r="AC174" s="829">
        <f>IF(AND(AE174&gt;0,AE173=0),AD133,0)</f>
        <v>0</v>
      </c>
      <c r="AD174" s="830">
        <f t="shared" si="28"/>
        <v>0</v>
      </c>
      <c r="AE174" s="831">
        <f t="shared" si="29"/>
        <v>0</v>
      </c>
      <c r="AF174" s="829">
        <f>IF(AND(AH174&gt;0,AH173=0),AG133,0)</f>
        <v>0</v>
      </c>
      <c r="AG174" s="830">
        <f t="shared" si="30"/>
        <v>0</v>
      </c>
      <c r="AH174" s="831">
        <f t="shared" si="31"/>
        <v>0</v>
      </c>
      <c r="AI174" s="829">
        <f>IF(AND(AK174&gt;0,AK173=0),AJ133,0)</f>
        <v>0</v>
      </c>
      <c r="AJ174" s="830">
        <f t="shared" si="32"/>
        <v>0</v>
      </c>
      <c r="AK174" s="831">
        <f t="shared" si="33"/>
        <v>0</v>
      </c>
      <c r="AL174" s="829">
        <f t="shared" ca="1" si="34"/>
        <v>0</v>
      </c>
      <c r="AM174" s="834"/>
      <c r="AN174" s="831"/>
      <c r="AO174" s="829">
        <f t="shared" ca="1" si="35"/>
        <v>0</v>
      </c>
      <c r="AP174" s="834"/>
      <c r="AQ174" s="831"/>
      <c r="AU174" s="258"/>
      <c r="AV174" s="258"/>
      <c r="AW174" s="258"/>
      <c r="AX174" s="258"/>
      <c r="AY174" s="258"/>
      <c r="AZ174" s="258"/>
      <c r="BA174" s="258"/>
      <c r="BB174" s="258"/>
      <c r="BC174" s="258"/>
      <c r="BD174" s="258"/>
      <c r="BE174" s="258"/>
      <c r="BF174" s="258"/>
      <c r="BG174" s="258"/>
      <c r="BH174" s="258"/>
      <c r="BI174" s="258"/>
      <c r="BJ174" s="258"/>
      <c r="BK174" s="258"/>
      <c r="BL174" s="258"/>
      <c r="BM174" s="258"/>
      <c r="BN174" s="258"/>
      <c r="BO174" s="258"/>
      <c r="BP174" s="258"/>
      <c r="BQ174" s="258"/>
      <c r="BR174" s="258"/>
      <c r="BS174" s="258"/>
      <c r="BT174" s="258"/>
      <c r="BU174" s="257"/>
      <c r="BV174" s="258"/>
      <c r="BW174" s="258"/>
      <c r="BX174" s="258"/>
      <c r="BY174" s="258"/>
      <c r="BZ174" s="446"/>
      <c r="CA174" s="446"/>
      <c r="CB174" s="446"/>
      <c r="CC174" s="446"/>
      <c r="CD174" s="446"/>
      <c r="CE174" s="446"/>
      <c r="CF174" s="446"/>
      <c r="CG174" s="446"/>
      <c r="CH174" s="446"/>
      <c r="CI174" s="446"/>
      <c r="CJ174" s="446"/>
      <c r="CK174" s="446"/>
      <c r="CL174" s="446"/>
      <c r="CM174" s="446"/>
      <c r="CN174" s="446"/>
      <c r="CO174" s="446"/>
      <c r="CP174" s="446"/>
      <c r="CQ174" s="446"/>
      <c r="CR174" s="446"/>
      <c r="CS174" s="446"/>
      <c r="CT174" s="446"/>
      <c r="CU174" s="446"/>
      <c r="CV174" s="446"/>
      <c r="CW174" s="820">
        <v>32</v>
      </c>
      <c r="CX174" s="446"/>
      <c r="CY174" s="446"/>
      <c r="CZ174" s="446"/>
      <c r="DA174" s="446"/>
      <c r="DB174" s="446"/>
      <c r="DC174" s="446"/>
      <c r="DD174" s="446"/>
      <c r="DE174" s="446"/>
      <c r="DF174" s="446"/>
      <c r="DG174" s="446"/>
      <c r="DH174" s="446"/>
      <c r="DI174" s="446"/>
      <c r="DJ174" s="446"/>
      <c r="DK174" s="446"/>
      <c r="DL174" s="446"/>
      <c r="DM174" s="446"/>
      <c r="DN174" s="446"/>
      <c r="DO174" s="446"/>
      <c r="DP174" s="258"/>
      <c r="DQ174" s="258"/>
      <c r="DR174" s="258"/>
      <c r="DS174" s="258"/>
      <c r="DT174" s="258"/>
      <c r="DU174" s="258"/>
      <c r="DV174" s="258"/>
      <c r="DW174" s="258"/>
      <c r="DX174" s="258"/>
      <c r="DY174" s="258"/>
      <c r="DZ174" s="282"/>
      <c r="EA174" s="229"/>
      <c r="EB174" s="229"/>
    </row>
    <row r="175" spans="2:132" s="219" customFormat="1" ht="14.25" hidden="1" customHeight="1" x14ac:dyDescent="0.2">
      <c r="B175" s="811">
        <f ca="1">B142+INT(C174/12)</f>
        <v>2019</v>
      </c>
      <c r="C175" s="811">
        <v>33</v>
      </c>
      <c r="D175" s="828">
        <f t="shared" ref="D175:D202" si="37">G175+J175+M175+P175+T175+W175+Z175+AC175+AF175+AI175</f>
        <v>0</v>
      </c>
      <c r="E175" s="822">
        <f t="shared" si="36"/>
        <v>0</v>
      </c>
      <c r="F175" s="829">
        <f t="shared" ref="F175:F202" si="38">I175+L175+O175+S175+V175+Y175+AB175+AE175+AH175+AK175+AN175+AQ175</f>
        <v>0</v>
      </c>
      <c r="G175" s="829">
        <f t="shared" ref="G175:G202" si="39">IF(AND(I175&gt;0,I174=0),$H$133,0)</f>
        <v>0</v>
      </c>
      <c r="H175" s="830">
        <f t="shared" ref="H175:H202" si="40">IF(AND($C175&lt;=H$139,$C175&gt;=H$138),H$133/(H$134*12),0)</f>
        <v>0</v>
      </c>
      <c r="I175" s="831">
        <f t="shared" ref="I175:I202" si="41">IF(AND($C175&gt;=H$140,$C175&lt;=H$139),(H$133-($C175-H$138)*H175)*H$135/12,0)</f>
        <v>0</v>
      </c>
      <c r="J175" s="829">
        <f>IF(AND(L175&gt;0,L174=0),K133,0)</f>
        <v>0</v>
      </c>
      <c r="K175" s="830">
        <f t="shared" ref="K175:K202" si="42">IF(AND($C175&lt;=K$139,$C175&gt;=K$138),K$133/(K$134*12),0)</f>
        <v>0</v>
      </c>
      <c r="L175" s="831">
        <f t="shared" ref="L175:L202" si="43">IF(AND($C175&gt;=K$140,$C175&lt;=K$139),(K$133-($C175-K$138)*K175)*K$135/12,0)</f>
        <v>0</v>
      </c>
      <c r="M175" s="829">
        <f>IF(AND(O175&gt;0,O174=0),N133,0)</f>
        <v>0</v>
      </c>
      <c r="N175" s="830">
        <f t="shared" ref="N175:N202" si="44">IF(AND($C175&lt;=N$139,$C175&gt;=N$138),N$133/(N$134*12),0)</f>
        <v>0</v>
      </c>
      <c r="O175" s="831">
        <f t="shared" ref="O175:O202" si="45">IF(AND($C175&gt;=N$140,$C175&lt;=N$139),(N$133-($C175-N$138)*N175)*N$135/12,0)</f>
        <v>0</v>
      </c>
      <c r="P175" s="829">
        <f>IF(AND(S175&gt;0,S174=0),Q133,0)</f>
        <v>0</v>
      </c>
      <c r="Q175" s="832">
        <f t="shared" ref="Q175:Q202" si="46">IF(AND($C175&lt;=Q$139,$C175&gt;=Q$138),Q$133/(Q$134*12),0)</f>
        <v>0</v>
      </c>
      <c r="S175" s="833">
        <f t="shared" ref="S175:S202" si="47">IF(AND($C175&gt;=Q$140,$C175&lt;=Q$139),(Q$133-($C175-Q$138)*Q175)*Q$135/12,0)</f>
        <v>0</v>
      </c>
      <c r="T175" s="829">
        <f>IF(AND(V175&gt;0,V174=0),U133,0)</f>
        <v>0</v>
      </c>
      <c r="U175" s="830">
        <f t="shared" ref="U175:U202" si="48">IF(AND($C175&lt;=U$139,$C175&gt;=U$138),U$133/(U$134*12),0)</f>
        <v>0</v>
      </c>
      <c r="V175" s="831">
        <f t="shared" ref="V175:V202" si="49">IF(AND($C175&gt;=U$140,$C175&lt;=U$139),(U$133-($C175-U$138)*U175)*U$135/12,0)</f>
        <v>0</v>
      </c>
      <c r="W175" s="829">
        <f>IF(AND(Y175&gt;0,Y174=0),X133,0)</f>
        <v>0</v>
      </c>
      <c r="X175" s="830">
        <f t="shared" ref="X175:X202" si="50">IF(AND($C175&lt;=X$139,$C175&gt;=X$138),X$133/(X$134*12),0)</f>
        <v>0</v>
      </c>
      <c r="Y175" s="831">
        <f t="shared" ref="Y175:Y202" si="51">IF(AND($C175&gt;=X$140,$C175&lt;=X$139),(X$133-($C175-X$138)*X175)*X$135/12,0)</f>
        <v>0</v>
      </c>
      <c r="Z175" s="829">
        <f>IF(AND(AB175&gt;0,AB174=0),AA133,0)</f>
        <v>0</v>
      </c>
      <c r="AA175" s="830">
        <f t="shared" ref="AA175:AA202" si="52">IF(AND($C175&lt;=AA$139,$C175&gt;=AA$138),AA$133/(AA$134*12),0)</f>
        <v>0</v>
      </c>
      <c r="AB175" s="831">
        <f t="shared" ref="AB175:AB202" si="53">IF(AND($C175&gt;=AA$140,$C175&lt;=AA$139),(AA$133-($C175-AA$138)*AA175)*AA$135/12,0)</f>
        <v>0</v>
      </c>
      <c r="AC175" s="829">
        <f>IF(AND(AE175&gt;0,AE174=0),AD133,0)</f>
        <v>0</v>
      </c>
      <c r="AD175" s="830">
        <f t="shared" ref="AD175:AD202" si="54">IF(AND($C175&lt;=AD$139,$C175&gt;=AD$138),AD$133/(AD$134*12),0)</f>
        <v>0</v>
      </c>
      <c r="AE175" s="831">
        <f t="shared" ref="AE175:AE202" si="55">IF(AND($C175&gt;=AD$140,$C175&lt;=AD$139),(AD$133-($C175-AD$138)*AD175)*AD$135/12,0)</f>
        <v>0</v>
      </c>
      <c r="AF175" s="829">
        <f>IF(AND(AH175&gt;0,AH174=0),AG133,0)</f>
        <v>0</v>
      </c>
      <c r="AG175" s="830">
        <f t="shared" ref="AG175:AG202" si="56">IF(AND($C175&lt;=AG$139,$C175&gt;=AG$138),AG$133/(AG$134*12),0)</f>
        <v>0</v>
      </c>
      <c r="AH175" s="831">
        <f t="shared" ref="AH175:AH202" si="57">IF(AND($C175&gt;=AG$140,$C175&lt;=AG$139),(AG$133-($C175-AG$138)*AG175)*AG$135/12,0)</f>
        <v>0</v>
      </c>
      <c r="AI175" s="829">
        <f>IF(AND(AK175&gt;0,AK174=0),AJ133,0)</f>
        <v>0</v>
      </c>
      <c r="AJ175" s="830">
        <f t="shared" ref="AJ175:AJ202" si="58">IF(AND($C175&lt;=AJ$139,$C175&gt;=AJ$138),AJ$133/(AJ$134*12),0)</f>
        <v>0</v>
      </c>
      <c r="AK175" s="831">
        <f t="shared" ref="AK175:AK202" si="59">IF(AND($C175&gt;=AJ$140,$C175&lt;=AJ$139),(AJ$133-($C175-AJ$138)*AJ175)*AJ$135/12,0)</f>
        <v>0</v>
      </c>
      <c r="AL175" s="829">
        <f t="shared" ref="AL175:AL202" ca="1" si="60">IF(AND($AM$137=B175,$AM$140=C175),$AM$133,0)</f>
        <v>0</v>
      </c>
      <c r="AM175" s="834"/>
      <c r="AN175" s="831"/>
      <c r="AO175" s="829">
        <f t="shared" ref="AO175:AO202" ca="1" si="61">IF(AND($AP$137=B175,$AP$140=C175),$AP$133,0)</f>
        <v>0</v>
      </c>
      <c r="AP175" s="834"/>
      <c r="AQ175" s="831"/>
      <c r="AU175" s="258"/>
      <c r="AV175" s="258"/>
      <c r="AW175" s="258"/>
      <c r="AX175" s="258"/>
      <c r="AY175" s="258"/>
      <c r="AZ175" s="258"/>
      <c r="BA175" s="258"/>
      <c r="BB175" s="258"/>
      <c r="BC175" s="258"/>
      <c r="BD175" s="258"/>
      <c r="BE175" s="258"/>
      <c r="BF175" s="258"/>
      <c r="BG175" s="258"/>
      <c r="BH175" s="258"/>
      <c r="BI175" s="258"/>
      <c r="BJ175" s="258"/>
      <c r="BK175" s="258"/>
      <c r="BL175" s="258"/>
      <c r="BM175" s="258"/>
      <c r="BN175" s="258"/>
      <c r="BO175" s="258"/>
      <c r="BP175" s="258"/>
      <c r="BQ175" s="258"/>
      <c r="BR175" s="258"/>
      <c r="BS175" s="258"/>
      <c r="BT175" s="258"/>
      <c r="BU175" s="257"/>
      <c r="BV175" s="258"/>
      <c r="BW175" s="258"/>
      <c r="BX175" s="258"/>
      <c r="BY175" s="258"/>
      <c r="BZ175" s="446"/>
      <c r="CA175" s="446"/>
      <c r="CB175" s="446"/>
      <c r="CC175" s="446"/>
      <c r="CD175" s="446"/>
      <c r="CE175" s="446"/>
      <c r="CF175" s="446"/>
      <c r="CG175" s="446"/>
      <c r="CH175" s="446"/>
      <c r="CI175" s="446"/>
      <c r="CJ175" s="446"/>
      <c r="CK175" s="446"/>
      <c r="CL175" s="446"/>
      <c r="CM175" s="446"/>
      <c r="CN175" s="446"/>
      <c r="CO175" s="446"/>
      <c r="CP175" s="446"/>
      <c r="CQ175" s="446"/>
      <c r="CR175" s="446"/>
      <c r="CS175" s="446"/>
      <c r="CT175" s="446"/>
      <c r="CU175" s="446"/>
      <c r="CV175" s="446"/>
      <c r="CW175" s="820">
        <v>33</v>
      </c>
      <c r="CX175" s="446"/>
      <c r="CY175" s="446"/>
      <c r="CZ175" s="446"/>
      <c r="DA175" s="446"/>
      <c r="DB175" s="446"/>
      <c r="DC175" s="446"/>
      <c r="DD175" s="446"/>
      <c r="DE175" s="446"/>
      <c r="DF175" s="446"/>
      <c r="DG175" s="446"/>
      <c r="DH175" s="446"/>
      <c r="DI175" s="446"/>
      <c r="DJ175" s="446"/>
      <c r="DK175" s="446"/>
      <c r="DL175" s="446"/>
      <c r="DM175" s="446"/>
      <c r="DN175" s="446"/>
      <c r="DO175" s="446"/>
      <c r="DP175" s="258"/>
      <c r="DQ175" s="258"/>
      <c r="DR175" s="258"/>
      <c r="DS175" s="258"/>
      <c r="DT175" s="258"/>
      <c r="DU175" s="258"/>
      <c r="DV175" s="258"/>
      <c r="DW175" s="258"/>
      <c r="DX175" s="258"/>
      <c r="DY175" s="258"/>
      <c r="DZ175" s="282"/>
      <c r="EA175" s="229"/>
      <c r="EB175" s="229"/>
    </row>
    <row r="176" spans="2:132" s="219" customFormat="1" ht="14.25" hidden="1" customHeight="1" x14ac:dyDescent="0.2">
      <c r="B176" s="811">
        <f ca="1">B142+INT(C175/12)</f>
        <v>2019</v>
      </c>
      <c r="C176" s="811">
        <v>34</v>
      </c>
      <c r="D176" s="828">
        <f t="shared" si="37"/>
        <v>0</v>
      </c>
      <c r="E176" s="822">
        <f t="shared" si="36"/>
        <v>0</v>
      </c>
      <c r="F176" s="829">
        <f t="shared" si="38"/>
        <v>0</v>
      </c>
      <c r="G176" s="829">
        <f t="shared" si="39"/>
        <v>0</v>
      </c>
      <c r="H176" s="830">
        <f t="shared" si="40"/>
        <v>0</v>
      </c>
      <c r="I176" s="831">
        <f t="shared" si="41"/>
        <v>0</v>
      </c>
      <c r="J176" s="829">
        <f>IF(AND(L176&gt;0,L175=0),K133,0)</f>
        <v>0</v>
      </c>
      <c r="K176" s="830">
        <f t="shared" si="42"/>
        <v>0</v>
      </c>
      <c r="L176" s="831">
        <f t="shared" si="43"/>
        <v>0</v>
      </c>
      <c r="M176" s="829">
        <f>IF(AND(O176&gt;0,O175=0),N133,0)</f>
        <v>0</v>
      </c>
      <c r="N176" s="830">
        <f t="shared" si="44"/>
        <v>0</v>
      </c>
      <c r="O176" s="831">
        <f t="shared" si="45"/>
        <v>0</v>
      </c>
      <c r="P176" s="829">
        <f>IF(AND(S176&gt;0,S175=0),Q133,0)</f>
        <v>0</v>
      </c>
      <c r="Q176" s="832">
        <f t="shared" si="46"/>
        <v>0</v>
      </c>
      <c r="S176" s="833">
        <f t="shared" si="47"/>
        <v>0</v>
      </c>
      <c r="T176" s="829">
        <f>IF(AND(V176&gt;0,V175=0),U133,0)</f>
        <v>0</v>
      </c>
      <c r="U176" s="830">
        <f t="shared" si="48"/>
        <v>0</v>
      </c>
      <c r="V176" s="831">
        <f t="shared" si="49"/>
        <v>0</v>
      </c>
      <c r="W176" s="829">
        <f>IF(AND(Y176&gt;0,Y175=0),X133,0)</f>
        <v>0</v>
      </c>
      <c r="X176" s="830">
        <f t="shared" si="50"/>
        <v>0</v>
      </c>
      <c r="Y176" s="831">
        <f t="shared" si="51"/>
        <v>0</v>
      </c>
      <c r="Z176" s="829">
        <f>IF(AND(AB176&gt;0,AB175=0),AA133,0)</f>
        <v>0</v>
      </c>
      <c r="AA176" s="830">
        <f t="shared" si="52"/>
        <v>0</v>
      </c>
      <c r="AB176" s="831">
        <f t="shared" si="53"/>
        <v>0</v>
      </c>
      <c r="AC176" s="829">
        <f>IF(AND(AE176&gt;0,AE175=0),AD133,0)</f>
        <v>0</v>
      </c>
      <c r="AD176" s="830">
        <f t="shared" si="54"/>
        <v>0</v>
      </c>
      <c r="AE176" s="831">
        <f t="shared" si="55"/>
        <v>0</v>
      </c>
      <c r="AF176" s="829">
        <f>IF(AND(AH176&gt;0,AH175=0),AG133,0)</f>
        <v>0</v>
      </c>
      <c r="AG176" s="830">
        <f t="shared" si="56"/>
        <v>0</v>
      </c>
      <c r="AH176" s="831">
        <f t="shared" si="57"/>
        <v>0</v>
      </c>
      <c r="AI176" s="829">
        <f>IF(AND(AK176&gt;0,AK175=0),AJ133,0)</f>
        <v>0</v>
      </c>
      <c r="AJ176" s="830">
        <f t="shared" si="58"/>
        <v>0</v>
      </c>
      <c r="AK176" s="831">
        <f t="shared" si="59"/>
        <v>0</v>
      </c>
      <c r="AL176" s="829">
        <f t="shared" ca="1" si="60"/>
        <v>0</v>
      </c>
      <c r="AM176" s="834"/>
      <c r="AN176" s="831"/>
      <c r="AO176" s="829">
        <f t="shared" ca="1" si="61"/>
        <v>0</v>
      </c>
      <c r="AP176" s="834"/>
      <c r="AQ176" s="831"/>
      <c r="AU176" s="258"/>
      <c r="AV176" s="258"/>
      <c r="AW176" s="258"/>
      <c r="AX176" s="258"/>
      <c r="AY176" s="258"/>
      <c r="AZ176" s="258"/>
      <c r="BA176" s="258"/>
      <c r="BB176" s="258"/>
      <c r="BC176" s="258"/>
      <c r="BD176" s="258"/>
      <c r="BE176" s="258"/>
      <c r="BF176" s="258"/>
      <c r="BG176" s="258"/>
      <c r="BH176" s="258"/>
      <c r="BI176" s="258"/>
      <c r="BJ176" s="258"/>
      <c r="BK176" s="258"/>
      <c r="BL176" s="258"/>
      <c r="BM176" s="258"/>
      <c r="BN176" s="258"/>
      <c r="BO176" s="258"/>
      <c r="BP176" s="258"/>
      <c r="BQ176" s="258"/>
      <c r="BR176" s="258"/>
      <c r="BS176" s="258"/>
      <c r="BT176" s="258"/>
      <c r="BU176" s="257"/>
      <c r="BV176" s="258"/>
      <c r="BW176" s="258"/>
      <c r="BX176" s="258"/>
      <c r="BY176" s="258"/>
      <c r="BZ176" s="446"/>
      <c r="CA176" s="446"/>
      <c r="CB176" s="446"/>
      <c r="CC176" s="446"/>
      <c r="CD176" s="446"/>
      <c r="CE176" s="446"/>
      <c r="CF176" s="446"/>
      <c r="CG176" s="446"/>
      <c r="CH176" s="446"/>
      <c r="CI176" s="446"/>
      <c r="CJ176" s="446"/>
      <c r="CK176" s="446"/>
      <c r="CL176" s="446"/>
      <c r="CM176" s="446"/>
      <c r="CN176" s="446"/>
      <c r="CO176" s="446"/>
      <c r="CP176" s="446"/>
      <c r="CQ176" s="446"/>
      <c r="CR176" s="446"/>
      <c r="CS176" s="446"/>
      <c r="CT176" s="446"/>
      <c r="CU176" s="446"/>
      <c r="CV176" s="446"/>
      <c r="CW176" s="820">
        <v>34</v>
      </c>
      <c r="CX176" s="446"/>
      <c r="CY176" s="446"/>
      <c r="CZ176" s="446"/>
      <c r="DA176" s="446"/>
      <c r="DB176" s="446"/>
      <c r="DC176" s="446"/>
      <c r="DD176" s="446"/>
      <c r="DE176" s="446"/>
      <c r="DF176" s="446"/>
      <c r="DG176" s="446"/>
      <c r="DH176" s="446"/>
      <c r="DI176" s="446"/>
      <c r="DJ176" s="446"/>
      <c r="DK176" s="446"/>
      <c r="DL176" s="446"/>
      <c r="DM176" s="446"/>
      <c r="DN176" s="446"/>
      <c r="DO176" s="446"/>
      <c r="DP176" s="258"/>
      <c r="DQ176" s="258"/>
      <c r="DR176" s="258"/>
      <c r="DS176" s="258"/>
      <c r="DT176" s="258"/>
      <c r="DU176" s="258"/>
      <c r="DV176" s="258"/>
      <c r="DW176" s="258"/>
      <c r="DX176" s="258"/>
      <c r="DY176" s="258"/>
      <c r="DZ176" s="282"/>
      <c r="EA176" s="229"/>
      <c r="EB176" s="229"/>
    </row>
    <row r="177" spans="2:132" s="219" customFormat="1" ht="14.25" hidden="1" customHeight="1" x14ac:dyDescent="0.2">
      <c r="B177" s="811">
        <f ca="1">B142+INT(C176/12)</f>
        <v>2019</v>
      </c>
      <c r="C177" s="811">
        <v>35</v>
      </c>
      <c r="D177" s="828">
        <f t="shared" si="37"/>
        <v>0</v>
      </c>
      <c r="E177" s="822">
        <f t="shared" si="36"/>
        <v>0</v>
      </c>
      <c r="F177" s="829">
        <f t="shared" si="38"/>
        <v>0</v>
      </c>
      <c r="G177" s="829">
        <f t="shared" si="39"/>
        <v>0</v>
      </c>
      <c r="H177" s="830">
        <f t="shared" si="40"/>
        <v>0</v>
      </c>
      <c r="I177" s="831">
        <f t="shared" si="41"/>
        <v>0</v>
      </c>
      <c r="J177" s="829">
        <f>IF(AND(L177&gt;0,L176=0),K133,0)</f>
        <v>0</v>
      </c>
      <c r="K177" s="830">
        <f t="shared" si="42"/>
        <v>0</v>
      </c>
      <c r="L177" s="831">
        <f t="shared" si="43"/>
        <v>0</v>
      </c>
      <c r="M177" s="829">
        <f>IF(AND(O177&gt;0,O176=0),N133,0)</f>
        <v>0</v>
      </c>
      <c r="N177" s="830">
        <f t="shared" si="44"/>
        <v>0</v>
      </c>
      <c r="O177" s="831">
        <f t="shared" si="45"/>
        <v>0</v>
      </c>
      <c r="P177" s="829">
        <f>IF(AND(S177&gt;0,S176=0),Q133,0)</f>
        <v>0</v>
      </c>
      <c r="Q177" s="832">
        <f t="shared" si="46"/>
        <v>0</v>
      </c>
      <c r="S177" s="833">
        <f t="shared" si="47"/>
        <v>0</v>
      </c>
      <c r="T177" s="829">
        <f>IF(AND(V177&gt;0,V176=0),U133,0)</f>
        <v>0</v>
      </c>
      <c r="U177" s="830">
        <f t="shared" si="48"/>
        <v>0</v>
      </c>
      <c r="V177" s="831">
        <f t="shared" si="49"/>
        <v>0</v>
      </c>
      <c r="W177" s="829">
        <f>IF(AND(Y177&gt;0,Y176=0),X133,0)</f>
        <v>0</v>
      </c>
      <c r="X177" s="830">
        <f t="shared" si="50"/>
        <v>0</v>
      </c>
      <c r="Y177" s="831">
        <f t="shared" si="51"/>
        <v>0</v>
      </c>
      <c r="Z177" s="829">
        <f>IF(AND(AB177&gt;0,AB176=0),AA133,0)</f>
        <v>0</v>
      </c>
      <c r="AA177" s="830">
        <f t="shared" si="52"/>
        <v>0</v>
      </c>
      <c r="AB177" s="831">
        <f t="shared" si="53"/>
        <v>0</v>
      </c>
      <c r="AC177" s="829">
        <f>IF(AND(AE177&gt;0,AE176=0),AD133,0)</f>
        <v>0</v>
      </c>
      <c r="AD177" s="830">
        <f t="shared" si="54"/>
        <v>0</v>
      </c>
      <c r="AE177" s="831">
        <f t="shared" si="55"/>
        <v>0</v>
      </c>
      <c r="AF177" s="829">
        <f>IF(AND(AH177&gt;0,AH176=0),AG133,0)</f>
        <v>0</v>
      </c>
      <c r="AG177" s="830">
        <f t="shared" si="56"/>
        <v>0</v>
      </c>
      <c r="AH177" s="831">
        <f t="shared" si="57"/>
        <v>0</v>
      </c>
      <c r="AI177" s="829">
        <f>IF(AND(AK177&gt;0,AK176=0),AJ133,0)</f>
        <v>0</v>
      </c>
      <c r="AJ177" s="830">
        <f t="shared" si="58"/>
        <v>0</v>
      </c>
      <c r="AK177" s="831">
        <f t="shared" si="59"/>
        <v>0</v>
      </c>
      <c r="AL177" s="829">
        <f t="shared" ca="1" si="60"/>
        <v>0</v>
      </c>
      <c r="AM177" s="834"/>
      <c r="AN177" s="831"/>
      <c r="AO177" s="829">
        <f t="shared" ca="1" si="61"/>
        <v>0</v>
      </c>
      <c r="AP177" s="834"/>
      <c r="AQ177" s="831"/>
      <c r="AU177" s="258"/>
      <c r="AV177" s="258"/>
      <c r="AW177" s="258"/>
      <c r="AX177" s="258"/>
      <c r="AY177" s="258"/>
      <c r="AZ177" s="258"/>
      <c r="BA177" s="258"/>
      <c r="BB177" s="258"/>
      <c r="BC177" s="258"/>
      <c r="BD177" s="258"/>
      <c r="BE177" s="258"/>
      <c r="BF177" s="258"/>
      <c r="BG177" s="258"/>
      <c r="BH177" s="258"/>
      <c r="BI177" s="258"/>
      <c r="BJ177" s="258"/>
      <c r="BK177" s="258"/>
      <c r="BL177" s="258"/>
      <c r="BM177" s="258"/>
      <c r="BN177" s="258"/>
      <c r="BO177" s="258"/>
      <c r="BP177" s="258"/>
      <c r="BQ177" s="258"/>
      <c r="BR177" s="258"/>
      <c r="BS177" s="258"/>
      <c r="BT177" s="258"/>
      <c r="BU177" s="257"/>
      <c r="BV177" s="258"/>
      <c r="BW177" s="258"/>
      <c r="BX177" s="258"/>
      <c r="BY177" s="258"/>
      <c r="BZ177" s="446"/>
      <c r="CA177" s="446"/>
      <c r="CB177" s="446"/>
      <c r="CC177" s="446"/>
      <c r="CD177" s="446"/>
      <c r="CE177" s="446"/>
      <c r="CF177" s="446"/>
      <c r="CG177" s="446"/>
      <c r="CH177" s="446"/>
      <c r="CI177" s="446"/>
      <c r="CJ177" s="446"/>
      <c r="CK177" s="446"/>
      <c r="CL177" s="446"/>
      <c r="CM177" s="446"/>
      <c r="CN177" s="446"/>
      <c r="CO177" s="446"/>
      <c r="CP177" s="446"/>
      <c r="CQ177" s="446"/>
      <c r="CR177" s="446"/>
      <c r="CS177" s="446"/>
      <c r="CT177" s="446"/>
      <c r="CU177" s="446"/>
      <c r="CV177" s="446"/>
      <c r="CW177" s="820">
        <v>35</v>
      </c>
      <c r="CX177" s="446"/>
      <c r="CY177" s="446"/>
      <c r="CZ177" s="446"/>
      <c r="DA177" s="446"/>
      <c r="DB177" s="446"/>
      <c r="DC177" s="446"/>
      <c r="DD177" s="446"/>
      <c r="DE177" s="446"/>
      <c r="DF177" s="446"/>
      <c r="DG177" s="446"/>
      <c r="DH177" s="446"/>
      <c r="DI177" s="446"/>
      <c r="DJ177" s="446"/>
      <c r="DK177" s="446"/>
      <c r="DL177" s="446"/>
      <c r="DM177" s="446"/>
      <c r="DN177" s="446"/>
      <c r="DO177" s="446"/>
      <c r="DP177" s="258"/>
      <c r="DQ177" s="258"/>
      <c r="DR177" s="258"/>
      <c r="DS177" s="258"/>
      <c r="DT177" s="258"/>
      <c r="DU177" s="258"/>
      <c r="DV177" s="258"/>
      <c r="DW177" s="258"/>
      <c r="DX177" s="258"/>
      <c r="DY177" s="258"/>
      <c r="DZ177" s="282"/>
      <c r="EA177" s="229"/>
      <c r="EB177" s="229"/>
    </row>
    <row r="178" spans="2:132" s="219" customFormat="1" ht="14.25" hidden="1" customHeight="1" x14ac:dyDescent="0.2">
      <c r="B178" s="812">
        <f ca="1">B142+INT(C177/12)</f>
        <v>2019</v>
      </c>
      <c r="C178" s="812">
        <v>36</v>
      </c>
      <c r="D178" s="835">
        <f t="shared" si="37"/>
        <v>0</v>
      </c>
      <c r="E178" s="822">
        <f t="shared" si="36"/>
        <v>0</v>
      </c>
      <c r="F178" s="836">
        <f t="shared" si="38"/>
        <v>0</v>
      </c>
      <c r="G178" s="836">
        <f t="shared" si="39"/>
        <v>0</v>
      </c>
      <c r="H178" s="837">
        <f t="shared" si="40"/>
        <v>0</v>
      </c>
      <c r="I178" s="838">
        <f t="shared" si="41"/>
        <v>0</v>
      </c>
      <c r="J178" s="836">
        <f>IF(AND(L178&gt;0,L177=0),K133,0)</f>
        <v>0</v>
      </c>
      <c r="K178" s="837">
        <f t="shared" si="42"/>
        <v>0</v>
      </c>
      <c r="L178" s="838">
        <f t="shared" si="43"/>
        <v>0</v>
      </c>
      <c r="M178" s="836">
        <f>IF(AND(O178&gt;0,O177=0),N133,0)</f>
        <v>0</v>
      </c>
      <c r="N178" s="837">
        <f t="shared" si="44"/>
        <v>0</v>
      </c>
      <c r="O178" s="838">
        <f t="shared" si="45"/>
        <v>0</v>
      </c>
      <c r="P178" s="836">
        <f>IF(AND(S178&gt;0,S177=0),Q133,0)</f>
        <v>0</v>
      </c>
      <c r="Q178" s="839">
        <f t="shared" si="46"/>
        <v>0</v>
      </c>
      <c r="S178" s="840">
        <f t="shared" si="47"/>
        <v>0</v>
      </c>
      <c r="T178" s="836">
        <f>IF(AND(V178&gt;0,V177=0),U133,0)</f>
        <v>0</v>
      </c>
      <c r="U178" s="837">
        <f t="shared" si="48"/>
        <v>0</v>
      </c>
      <c r="V178" s="838">
        <f t="shared" si="49"/>
        <v>0</v>
      </c>
      <c r="W178" s="836">
        <f>IF(AND(Y178&gt;0,Y177=0),X133,0)</f>
        <v>0</v>
      </c>
      <c r="X178" s="837">
        <f t="shared" si="50"/>
        <v>0</v>
      </c>
      <c r="Y178" s="838">
        <f t="shared" si="51"/>
        <v>0</v>
      </c>
      <c r="Z178" s="836">
        <f>IF(AND(AB178&gt;0,AB177=0),AA133,0)</f>
        <v>0</v>
      </c>
      <c r="AA178" s="837">
        <f t="shared" si="52"/>
        <v>0</v>
      </c>
      <c r="AB178" s="838">
        <f t="shared" si="53"/>
        <v>0</v>
      </c>
      <c r="AC178" s="836">
        <f>IF(AND(AE178&gt;0,AE177=0),AD133,0)</f>
        <v>0</v>
      </c>
      <c r="AD178" s="837">
        <f t="shared" si="54"/>
        <v>0</v>
      </c>
      <c r="AE178" s="838">
        <f t="shared" si="55"/>
        <v>0</v>
      </c>
      <c r="AF178" s="836">
        <f>IF(AND(AH178&gt;0,AH177=0),AG133,0)</f>
        <v>0</v>
      </c>
      <c r="AG178" s="837">
        <f t="shared" si="56"/>
        <v>0</v>
      </c>
      <c r="AH178" s="838">
        <f t="shared" si="57"/>
        <v>0</v>
      </c>
      <c r="AI178" s="836">
        <f>IF(AND(AK178&gt;0,AK177=0),AJ133,0)</f>
        <v>0</v>
      </c>
      <c r="AJ178" s="837">
        <f t="shared" si="58"/>
        <v>0</v>
      </c>
      <c r="AK178" s="838">
        <f t="shared" si="59"/>
        <v>0</v>
      </c>
      <c r="AL178" s="836">
        <f t="shared" ca="1" si="60"/>
        <v>0</v>
      </c>
      <c r="AM178" s="834"/>
      <c r="AN178" s="831"/>
      <c r="AO178" s="836">
        <f t="shared" ca="1" si="61"/>
        <v>0</v>
      </c>
      <c r="AP178" s="834"/>
      <c r="AQ178" s="831"/>
      <c r="AU178" s="258"/>
      <c r="AV178" s="258"/>
      <c r="AW178" s="258"/>
      <c r="AX178" s="258"/>
      <c r="AY178" s="258"/>
      <c r="AZ178" s="258"/>
      <c r="BA178" s="258"/>
      <c r="BB178" s="258"/>
      <c r="BC178" s="258"/>
      <c r="BD178" s="258"/>
      <c r="BE178" s="258"/>
      <c r="BF178" s="258"/>
      <c r="BG178" s="258"/>
      <c r="BH178" s="258"/>
      <c r="BI178" s="258"/>
      <c r="BJ178" s="258"/>
      <c r="BK178" s="258"/>
      <c r="BL178" s="258"/>
      <c r="BM178" s="258"/>
      <c r="BN178" s="258"/>
      <c r="BO178" s="258"/>
      <c r="BP178" s="258"/>
      <c r="BQ178" s="258"/>
      <c r="BR178" s="258"/>
      <c r="BS178" s="258"/>
      <c r="BT178" s="258"/>
      <c r="BU178" s="257"/>
      <c r="BV178" s="258"/>
      <c r="BW178" s="258"/>
      <c r="BX178" s="258"/>
      <c r="BY178" s="258"/>
      <c r="BZ178" s="446"/>
      <c r="CA178" s="446"/>
      <c r="CB178" s="446"/>
      <c r="CC178" s="446"/>
      <c r="CD178" s="446"/>
      <c r="CE178" s="446"/>
      <c r="CF178" s="446"/>
      <c r="CG178" s="446"/>
      <c r="CH178" s="446"/>
      <c r="CI178" s="446"/>
      <c r="CJ178" s="446"/>
      <c r="CK178" s="446"/>
      <c r="CL178" s="446"/>
      <c r="CM178" s="446"/>
      <c r="CN178" s="446"/>
      <c r="CO178" s="446"/>
      <c r="CP178" s="446"/>
      <c r="CQ178" s="446"/>
      <c r="CR178" s="446"/>
      <c r="CS178" s="446"/>
      <c r="CT178" s="446"/>
      <c r="CU178" s="446"/>
      <c r="CV178" s="446"/>
      <c r="CW178" s="820">
        <v>36</v>
      </c>
      <c r="CX178" s="446"/>
      <c r="CY178" s="446"/>
      <c r="CZ178" s="446"/>
      <c r="DA178" s="446"/>
      <c r="DB178" s="446"/>
      <c r="DC178" s="446"/>
      <c r="DD178" s="446"/>
      <c r="DE178" s="446"/>
      <c r="DF178" s="446"/>
      <c r="DG178" s="446"/>
      <c r="DH178" s="446"/>
      <c r="DI178" s="446"/>
      <c r="DJ178" s="446"/>
      <c r="DK178" s="446"/>
      <c r="DL178" s="446"/>
      <c r="DM178" s="446"/>
      <c r="DN178" s="446"/>
      <c r="DO178" s="446"/>
      <c r="DP178" s="258"/>
      <c r="DQ178" s="258"/>
      <c r="DR178" s="258"/>
      <c r="DS178" s="258"/>
      <c r="DT178" s="258"/>
      <c r="DU178" s="258"/>
      <c r="DV178" s="258"/>
      <c r="DW178" s="258"/>
      <c r="DX178" s="258"/>
      <c r="DY178" s="258"/>
      <c r="DZ178" s="282"/>
      <c r="EA178" s="229"/>
      <c r="EB178" s="229"/>
    </row>
    <row r="179" spans="2:132" s="219" customFormat="1" ht="14.25" hidden="1" customHeight="1" x14ac:dyDescent="0.2">
      <c r="B179" s="841">
        <f ca="1">B142+INT(C178/12)</f>
        <v>2020</v>
      </c>
      <c r="C179" s="841">
        <v>37</v>
      </c>
      <c r="D179" s="821">
        <f t="shared" si="37"/>
        <v>0</v>
      </c>
      <c r="E179" s="822">
        <f t="shared" si="36"/>
        <v>0</v>
      </c>
      <c r="F179" s="822">
        <f t="shared" si="38"/>
        <v>0</v>
      </c>
      <c r="G179" s="822">
        <f t="shared" si="39"/>
        <v>0</v>
      </c>
      <c r="H179" s="823">
        <f t="shared" si="40"/>
        <v>0</v>
      </c>
      <c r="I179" s="824">
        <f t="shared" si="41"/>
        <v>0</v>
      </c>
      <c r="J179" s="822">
        <f>IF(AND(L179&gt;0,L178=0),K133,0)</f>
        <v>0</v>
      </c>
      <c r="K179" s="823">
        <f t="shared" si="42"/>
        <v>0</v>
      </c>
      <c r="L179" s="824">
        <f t="shared" si="43"/>
        <v>0</v>
      </c>
      <c r="M179" s="822">
        <f>IF(AND(O179&gt;0,O178=0),N133,0)</f>
        <v>0</v>
      </c>
      <c r="N179" s="823">
        <f t="shared" si="44"/>
        <v>0</v>
      </c>
      <c r="O179" s="824">
        <f t="shared" si="45"/>
        <v>0</v>
      </c>
      <c r="P179" s="822">
        <f>IF(AND(S179&gt;0,S178=0),Q133,0)</f>
        <v>0</v>
      </c>
      <c r="Q179" s="825">
        <f t="shared" si="46"/>
        <v>0</v>
      </c>
      <c r="S179" s="826">
        <f t="shared" si="47"/>
        <v>0</v>
      </c>
      <c r="T179" s="822">
        <f>IF(AND(V179&gt;0,V178=0),U133,0)</f>
        <v>0</v>
      </c>
      <c r="U179" s="823">
        <f t="shared" si="48"/>
        <v>0</v>
      </c>
      <c r="V179" s="824">
        <f t="shared" si="49"/>
        <v>0</v>
      </c>
      <c r="W179" s="822">
        <f>IF(AND(Y179&gt;0,Y178=0),X133,0)</f>
        <v>0</v>
      </c>
      <c r="X179" s="823">
        <f t="shared" si="50"/>
        <v>0</v>
      </c>
      <c r="Y179" s="824">
        <f t="shared" si="51"/>
        <v>0</v>
      </c>
      <c r="Z179" s="822">
        <f>IF(AND(AB179&gt;0,AB178=0),AA133,0)</f>
        <v>0</v>
      </c>
      <c r="AA179" s="823">
        <f t="shared" si="52"/>
        <v>0</v>
      </c>
      <c r="AB179" s="824">
        <f t="shared" si="53"/>
        <v>0</v>
      </c>
      <c r="AC179" s="822">
        <f>IF(AND(AE179&gt;0,AE178=0),AD133,0)</f>
        <v>0</v>
      </c>
      <c r="AD179" s="823">
        <f t="shared" si="54"/>
        <v>0</v>
      </c>
      <c r="AE179" s="824">
        <f t="shared" si="55"/>
        <v>0</v>
      </c>
      <c r="AF179" s="822">
        <f>IF(AND(AH179&gt;0,AH178=0),AG133,0)</f>
        <v>0</v>
      </c>
      <c r="AG179" s="823">
        <f t="shared" si="56"/>
        <v>0</v>
      </c>
      <c r="AH179" s="824">
        <f t="shared" si="57"/>
        <v>0</v>
      </c>
      <c r="AI179" s="822">
        <f>IF(AND(AK179&gt;0,AK178=0),AJ133,0)</f>
        <v>0</v>
      </c>
      <c r="AJ179" s="823">
        <f t="shared" si="58"/>
        <v>0</v>
      </c>
      <c r="AK179" s="824">
        <f t="shared" si="59"/>
        <v>0</v>
      </c>
      <c r="AL179" s="822">
        <f t="shared" ca="1" si="60"/>
        <v>0</v>
      </c>
      <c r="AM179" s="834"/>
      <c r="AN179" s="831"/>
      <c r="AO179" s="822">
        <f t="shared" ca="1" si="61"/>
        <v>0</v>
      </c>
      <c r="AP179" s="834"/>
      <c r="AQ179" s="831"/>
      <c r="AU179" s="258"/>
      <c r="AV179" s="258"/>
      <c r="AW179" s="258"/>
      <c r="AX179" s="258"/>
      <c r="AY179" s="258"/>
      <c r="AZ179" s="258"/>
      <c r="BA179" s="258"/>
      <c r="BB179" s="258"/>
      <c r="BC179" s="258"/>
      <c r="BD179" s="258"/>
      <c r="BE179" s="258"/>
      <c r="BF179" s="258"/>
      <c r="BG179" s="258"/>
      <c r="BH179" s="258"/>
      <c r="BI179" s="258"/>
      <c r="BJ179" s="258"/>
      <c r="BK179" s="258"/>
      <c r="BL179" s="258"/>
      <c r="BM179" s="258"/>
      <c r="BN179" s="258"/>
      <c r="BO179" s="258"/>
      <c r="BP179" s="258"/>
      <c r="BQ179" s="258"/>
      <c r="BR179" s="258"/>
      <c r="BS179" s="258"/>
      <c r="BT179" s="258"/>
      <c r="BU179" s="257"/>
      <c r="BV179" s="258"/>
      <c r="BW179" s="258"/>
      <c r="BX179" s="258"/>
      <c r="BY179" s="258"/>
      <c r="BZ179" s="446"/>
      <c r="CA179" s="446"/>
      <c r="CB179" s="446"/>
      <c r="CC179" s="446"/>
      <c r="CD179" s="446"/>
      <c r="CE179" s="446"/>
      <c r="CF179" s="446"/>
      <c r="CG179" s="446"/>
      <c r="CH179" s="446"/>
      <c r="CI179" s="446"/>
      <c r="CJ179" s="446"/>
      <c r="CK179" s="446"/>
      <c r="CL179" s="446"/>
      <c r="CM179" s="446"/>
      <c r="CN179" s="446"/>
      <c r="CO179" s="446"/>
      <c r="CP179" s="446"/>
      <c r="CQ179" s="446"/>
      <c r="CR179" s="446"/>
      <c r="CS179" s="446"/>
      <c r="CT179" s="446"/>
      <c r="CU179" s="446"/>
      <c r="CV179" s="446"/>
      <c r="CW179" s="820">
        <v>37</v>
      </c>
      <c r="CX179" s="446"/>
      <c r="CY179" s="446"/>
      <c r="CZ179" s="446"/>
      <c r="DA179" s="446"/>
      <c r="DB179" s="446"/>
      <c r="DC179" s="446"/>
      <c r="DD179" s="446"/>
      <c r="DE179" s="446"/>
      <c r="DF179" s="446"/>
      <c r="DG179" s="446"/>
      <c r="DH179" s="446"/>
      <c r="DI179" s="446"/>
      <c r="DJ179" s="446"/>
      <c r="DK179" s="446"/>
      <c r="DL179" s="446"/>
      <c r="DM179" s="446"/>
      <c r="DN179" s="446"/>
      <c r="DO179" s="446"/>
      <c r="DP179" s="258"/>
      <c r="DQ179" s="258"/>
      <c r="DR179" s="258"/>
      <c r="DS179" s="258"/>
      <c r="DT179" s="258"/>
      <c r="DU179" s="258"/>
      <c r="DV179" s="258"/>
      <c r="DW179" s="258"/>
      <c r="DX179" s="258"/>
      <c r="DY179" s="258"/>
      <c r="DZ179" s="282"/>
      <c r="EA179" s="229"/>
      <c r="EB179" s="229"/>
    </row>
    <row r="180" spans="2:132" s="219" customFormat="1" ht="14.25" hidden="1" customHeight="1" x14ac:dyDescent="0.2">
      <c r="B180" s="811">
        <f ca="1">B142+INT(C179/12)</f>
        <v>2020</v>
      </c>
      <c r="C180" s="811">
        <v>38</v>
      </c>
      <c r="D180" s="828">
        <f t="shared" si="37"/>
        <v>0</v>
      </c>
      <c r="E180" s="822">
        <f t="shared" si="36"/>
        <v>0</v>
      </c>
      <c r="F180" s="829">
        <f t="shared" si="38"/>
        <v>0</v>
      </c>
      <c r="G180" s="829">
        <f t="shared" si="39"/>
        <v>0</v>
      </c>
      <c r="H180" s="830">
        <f t="shared" si="40"/>
        <v>0</v>
      </c>
      <c r="I180" s="831">
        <f t="shared" si="41"/>
        <v>0</v>
      </c>
      <c r="J180" s="829">
        <f>IF(AND(L180&gt;0,L179=0),K133,0)</f>
        <v>0</v>
      </c>
      <c r="K180" s="830">
        <f t="shared" si="42"/>
        <v>0</v>
      </c>
      <c r="L180" s="831">
        <f t="shared" si="43"/>
        <v>0</v>
      </c>
      <c r="M180" s="829">
        <f>IF(AND(O180&gt;0,O179=0),N133,0)</f>
        <v>0</v>
      </c>
      <c r="N180" s="830">
        <f t="shared" si="44"/>
        <v>0</v>
      </c>
      <c r="O180" s="831">
        <f t="shared" si="45"/>
        <v>0</v>
      </c>
      <c r="P180" s="829">
        <f>IF(AND(S180&gt;0,S179=0),Q133,0)</f>
        <v>0</v>
      </c>
      <c r="Q180" s="832">
        <f t="shared" si="46"/>
        <v>0</v>
      </c>
      <c r="S180" s="833">
        <f t="shared" si="47"/>
        <v>0</v>
      </c>
      <c r="T180" s="829">
        <f>IF(AND(V180&gt;0,V179=0),U133,0)</f>
        <v>0</v>
      </c>
      <c r="U180" s="830">
        <f t="shared" si="48"/>
        <v>0</v>
      </c>
      <c r="V180" s="831">
        <f t="shared" si="49"/>
        <v>0</v>
      </c>
      <c r="W180" s="829">
        <f>IF(AND(Y180&gt;0,Y179=0),X133,0)</f>
        <v>0</v>
      </c>
      <c r="X180" s="830">
        <f t="shared" si="50"/>
        <v>0</v>
      </c>
      <c r="Y180" s="831">
        <f t="shared" si="51"/>
        <v>0</v>
      </c>
      <c r="Z180" s="829">
        <f>IF(AND(AB180&gt;0,AB179=0),AA133,0)</f>
        <v>0</v>
      </c>
      <c r="AA180" s="830">
        <f t="shared" si="52"/>
        <v>0</v>
      </c>
      <c r="AB180" s="831">
        <f t="shared" si="53"/>
        <v>0</v>
      </c>
      <c r="AC180" s="829">
        <f>IF(AND(AE180&gt;0,AE179=0),AD133,0)</f>
        <v>0</v>
      </c>
      <c r="AD180" s="830">
        <f t="shared" si="54"/>
        <v>0</v>
      </c>
      <c r="AE180" s="831">
        <f t="shared" si="55"/>
        <v>0</v>
      </c>
      <c r="AF180" s="829">
        <f>IF(AND(AH180&gt;0,AH179=0),AG133,0)</f>
        <v>0</v>
      </c>
      <c r="AG180" s="830">
        <f t="shared" si="56"/>
        <v>0</v>
      </c>
      <c r="AH180" s="831">
        <f t="shared" si="57"/>
        <v>0</v>
      </c>
      <c r="AI180" s="829">
        <f>IF(AND(AK180&gt;0,AK179=0),AJ133,0)</f>
        <v>0</v>
      </c>
      <c r="AJ180" s="830">
        <f t="shared" si="58"/>
        <v>0</v>
      </c>
      <c r="AK180" s="831">
        <f t="shared" si="59"/>
        <v>0</v>
      </c>
      <c r="AL180" s="829">
        <f t="shared" ca="1" si="60"/>
        <v>0</v>
      </c>
      <c r="AM180" s="834"/>
      <c r="AN180" s="831"/>
      <c r="AO180" s="829">
        <f t="shared" ca="1" si="61"/>
        <v>0</v>
      </c>
      <c r="AP180" s="834"/>
      <c r="AQ180" s="831"/>
      <c r="AU180" s="258"/>
      <c r="AV180" s="258"/>
      <c r="AW180" s="258"/>
      <c r="AX180" s="258"/>
      <c r="AY180" s="258"/>
      <c r="AZ180" s="258"/>
      <c r="BA180" s="258"/>
      <c r="BB180" s="258"/>
      <c r="BC180" s="258"/>
      <c r="BD180" s="258"/>
      <c r="BE180" s="258"/>
      <c r="BF180" s="258"/>
      <c r="BG180" s="258"/>
      <c r="BH180" s="258"/>
      <c r="BI180" s="258"/>
      <c r="BJ180" s="258"/>
      <c r="BK180" s="258"/>
      <c r="BL180" s="258"/>
      <c r="BM180" s="258"/>
      <c r="BN180" s="258"/>
      <c r="BO180" s="258"/>
      <c r="BP180" s="258"/>
      <c r="BQ180" s="258"/>
      <c r="BR180" s="258"/>
      <c r="BS180" s="258"/>
      <c r="BT180" s="258"/>
      <c r="BU180" s="257"/>
      <c r="BV180" s="258"/>
      <c r="BW180" s="258"/>
      <c r="BX180" s="258"/>
      <c r="BY180" s="258"/>
      <c r="BZ180" s="446"/>
      <c r="CA180" s="446"/>
      <c r="CB180" s="446"/>
      <c r="CC180" s="446"/>
      <c r="CD180" s="446"/>
      <c r="CE180" s="446"/>
      <c r="CF180" s="446"/>
      <c r="CG180" s="446"/>
      <c r="CH180" s="446"/>
      <c r="CI180" s="446"/>
      <c r="CJ180" s="446"/>
      <c r="CK180" s="446"/>
      <c r="CL180" s="446"/>
      <c r="CM180" s="446"/>
      <c r="CN180" s="446"/>
      <c r="CO180" s="446"/>
      <c r="CP180" s="446"/>
      <c r="CQ180" s="446"/>
      <c r="CR180" s="446"/>
      <c r="CS180" s="446"/>
      <c r="CT180" s="446"/>
      <c r="CU180" s="446"/>
      <c r="CV180" s="446"/>
      <c r="CW180" s="820">
        <v>38</v>
      </c>
      <c r="CX180" s="446"/>
      <c r="CY180" s="446"/>
      <c r="CZ180" s="446"/>
      <c r="DA180" s="446"/>
      <c r="DB180" s="446"/>
      <c r="DC180" s="446"/>
      <c r="DD180" s="446"/>
      <c r="DE180" s="446"/>
      <c r="DF180" s="446"/>
      <c r="DG180" s="446"/>
      <c r="DH180" s="446"/>
      <c r="DI180" s="446"/>
      <c r="DJ180" s="446"/>
      <c r="DK180" s="446"/>
      <c r="DL180" s="446"/>
      <c r="DM180" s="446"/>
      <c r="DN180" s="446"/>
      <c r="DO180" s="446"/>
      <c r="DP180" s="258"/>
      <c r="DQ180" s="258"/>
      <c r="DR180" s="258"/>
      <c r="DS180" s="258"/>
      <c r="DT180" s="258"/>
      <c r="DU180" s="258"/>
      <c r="DV180" s="258"/>
      <c r="DW180" s="258"/>
      <c r="DX180" s="258"/>
      <c r="DY180" s="258"/>
      <c r="DZ180" s="282"/>
      <c r="EA180" s="229"/>
      <c r="EB180" s="229"/>
    </row>
    <row r="181" spans="2:132" s="219" customFormat="1" ht="14.25" hidden="1" customHeight="1" x14ac:dyDescent="0.2">
      <c r="B181" s="811">
        <f ca="1">B142+INT(C180/12)</f>
        <v>2020</v>
      </c>
      <c r="C181" s="811">
        <v>39</v>
      </c>
      <c r="D181" s="828">
        <f t="shared" si="37"/>
        <v>0</v>
      </c>
      <c r="E181" s="822">
        <f t="shared" si="36"/>
        <v>0</v>
      </c>
      <c r="F181" s="829">
        <f t="shared" si="38"/>
        <v>0</v>
      </c>
      <c r="G181" s="829">
        <f t="shared" si="39"/>
        <v>0</v>
      </c>
      <c r="H181" s="830">
        <f t="shared" si="40"/>
        <v>0</v>
      </c>
      <c r="I181" s="831">
        <f t="shared" si="41"/>
        <v>0</v>
      </c>
      <c r="J181" s="829">
        <f>IF(AND(L181&gt;0,L180=0),K133,0)</f>
        <v>0</v>
      </c>
      <c r="K181" s="830">
        <f t="shared" si="42"/>
        <v>0</v>
      </c>
      <c r="L181" s="831">
        <f t="shared" si="43"/>
        <v>0</v>
      </c>
      <c r="M181" s="829">
        <f>IF(AND(O181&gt;0,O180=0),N133,0)</f>
        <v>0</v>
      </c>
      <c r="N181" s="830">
        <f t="shared" si="44"/>
        <v>0</v>
      </c>
      <c r="O181" s="831">
        <f t="shared" si="45"/>
        <v>0</v>
      </c>
      <c r="P181" s="829">
        <f>IF(AND(S181&gt;0,S180=0),Q133,0)</f>
        <v>0</v>
      </c>
      <c r="Q181" s="832">
        <f t="shared" si="46"/>
        <v>0</v>
      </c>
      <c r="S181" s="833">
        <f t="shared" si="47"/>
        <v>0</v>
      </c>
      <c r="T181" s="829">
        <f>IF(AND(V181&gt;0,V180=0),U133,0)</f>
        <v>0</v>
      </c>
      <c r="U181" s="830">
        <f t="shared" si="48"/>
        <v>0</v>
      </c>
      <c r="V181" s="831">
        <f t="shared" si="49"/>
        <v>0</v>
      </c>
      <c r="W181" s="829">
        <f>IF(AND(Y181&gt;0,Y180=0),X133,0)</f>
        <v>0</v>
      </c>
      <c r="X181" s="830">
        <f t="shared" si="50"/>
        <v>0</v>
      </c>
      <c r="Y181" s="831">
        <f t="shared" si="51"/>
        <v>0</v>
      </c>
      <c r="Z181" s="829">
        <f>IF(AND(AB181&gt;0,AB180=0),AA133,0)</f>
        <v>0</v>
      </c>
      <c r="AA181" s="830">
        <f t="shared" si="52"/>
        <v>0</v>
      </c>
      <c r="AB181" s="831">
        <f t="shared" si="53"/>
        <v>0</v>
      </c>
      <c r="AC181" s="829">
        <f>IF(AND(AE181&gt;0,AE180=0),AD133,0)</f>
        <v>0</v>
      </c>
      <c r="AD181" s="830">
        <f t="shared" si="54"/>
        <v>0</v>
      </c>
      <c r="AE181" s="831">
        <f t="shared" si="55"/>
        <v>0</v>
      </c>
      <c r="AF181" s="829">
        <f>IF(AND(AH181&gt;0,AH180=0),AG133,0)</f>
        <v>0</v>
      </c>
      <c r="AG181" s="830">
        <f t="shared" si="56"/>
        <v>0</v>
      </c>
      <c r="AH181" s="831">
        <f t="shared" si="57"/>
        <v>0</v>
      </c>
      <c r="AI181" s="829">
        <f>IF(AND(AK181&gt;0,AK180=0),AJ133,0)</f>
        <v>0</v>
      </c>
      <c r="AJ181" s="830">
        <f t="shared" si="58"/>
        <v>0</v>
      </c>
      <c r="AK181" s="831">
        <f t="shared" si="59"/>
        <v>0</v>
      </c>
      <c r="AL181" s="829">
        <f t="shared" ca="1" si="60"/>
        <v>0</v>
      </c>
      <c r="AM181" s="834"/>
      <c r="AN181" s="831"/>
      <c r="AO181" s="829">
        <f t="shared" ca="1" si="61"/>
        <v>0</v>
      </c>
      <c r="AP181" s="834"/>
      <c r="AQ181" s="831"/>
      <c r="AU181" s="258"/>
      <c r="AV181" s="258"/>
      <c r="AW181" s="258"/>
      <c r="AX181" s="258"/>
      <c r="AY181" s="258"/>
      <c r="AZ181" s="258"/>
      <c r="BA181" s="258"/>
      <c r="BB181" s="258"/>
      <c r="BC181" s="258"/>
      <c r="BD181" s="258"/>
      <c r="BE181" s="258"/>
      <c r="BF181" s="258"/>
      <c r="BG181" s="258"/>
      <c r="BH181" s="258"/>
      <c r="BI181" s="258"/>
      <c r="BJ181" s="258"/>
      <c r="BK181" s="258"/>
      <c r="BL181" s="258"/>
      <c r="BM181" s="258"/>
      <c r="BN181" s="258"/>
      <c r="BO181" s="258"/>
      <c r="BP181" s="258"/>
      <c r="BQ181" s="258"/>
      <c r="BR181" s="258"/>
      <c r="BS181" s="258"/>
      <c r="BT181" s="258"/>
      <c r="BU181" s="257"/>
      <c r="BV181" s="258"/>
      <c r="BW181" s="258"/>
      <c r="BX181" s="258"/>
      <c r="BY181" s="258"/>
      <c r="BZ181" s="446"/>
      <c r="CA181" s="446"/>
      <c r="CB181" s="446"/>
      <c r="CC181" s="446"/>
      <c r="CD181" s="446"/>
      <c r="CE181" s="446"/>
      <c r="CF181" s="446"/>
      <c r="CG181" s="446"/>
      <c r="CH181" s="446"/>
      <c r="CI181" s="446"/>
      <c r="CJ181" s="446"/>
      <c r="CK181" s="446"/>
      <c r="CL181" s="446"/>
      <c r="CM181" s="446"/>
      <c r="CN181" s="446"/>
      <c r="CO181" s="446"/>
      <c r="CP181" s="446"/>
      <c r="CQ181" s="446"/>
      <c r="CR181" s="446"/>
      <c r="CS181" s="446"/>
      <c r="CT181" s="446"/>
      <c r="CU181" s="446"/>
      <c r="CV181" s="446"/>
      <c r="CW181" s="820">
        <v>39</v>
      </c>
      <c r="CX181" s="446"/>
      <c r="CY181" s="446"/>
      <c r="CZ181" s="446"/>
      <c r="DA181" s="446"/>
      <c r="DB181" s="446"/>
      <c r="DC181" s="446"/>
      <c r="DD181" s="446"/>
      <c r="DE181" s="446"/>
      <c r="DF181" s="446"/>
      <c r="DG181" s="446"/>
      <c r="DH181" s="446"/>
      <c r="DI181" s="446"/>
      <c r="DJ181" s="446"/>
      <c r="DK181" s="446"/>
      <c r="DL181" s="446"/>
      <c r="DM181" s="446"/>
      <c r="DN181" s="446"/>
      <c r="DO181" s="446"/>
      <c r="DP181" s="258"/>
      <c r="DQ181" s="258"/>
      <c r="DR181" s="258"/>
      <c r="DS181" s="258"/>
      <c r="DT181" s="258"/>
      <c r="DU181" s="258"/>
      <c r="DV181" s="258"/>
      <c r="DW181" s="258"/>
      <c r="DX181" s="258"/>
      <c r="DY181" s="258"/>
      <c r="DZ181" s="282"/>
      <c r="EA181" s="229"/>
      <c r="EB181" s="229"/>
    </row>
    <row r="182" spans="2:132" s="219" customFormat="1" ht="14.25" hidden="1" customHeight="1" x14ac:dyDescent="0.2">
      <c r="B182" s="811">
        <f ca="1">B142+INT(C181/12)</f>
        <v>2020</v>
      </c>
      <c r="C182" s="811">
        <v>40</v>
      </c>
      <c r="D182" s="828">
        <f t="shared" si="37"/>
        <v>0</v>
      </c>
      <c r="E182" s="822">
        <f t="shared" si="36"/>
        <v>0</v>
      </c>
      <c r="F182" s="829">
        <f t="shared" si="38"/>
        <v>0</v>
      </c>
      <c r="G182" s="829">
        <f t="shared" si="39"/>
        <v>0</v>
      </c>
      <c r="H182" s="830">
        <f t="shared" si="40"/>
        <v>0</v>
      </c>
      <c r="I182" s="831">
        <f t="shared" si="41"/>
        <v>0</v>
      </c>
      <c r="J182" s="829">
        <f>IF(AND(L182&gt;0,L181=0),K133,0)</f>
        <v>0</v>
      </c>
      <c r="K182" s="830">
        <f t="shared" si="42"/>
        <v>0</v>
      </c>
      <c r="L182" s="831">
        <f t="shared" si="43"/>
        <v>0</v>
      </c>
      <c r="M182" s="829">
        <f>IF(AND(O182&gt;0,O181=0),N133,0)</f>
        <v>0</v>
      </c>
      <c r="N182" s="830">
        <f t="shared" si="44"/>
        <v>0</v>
      </c>
      <c r="O182" s="831">
        <f t="shared" si="45"/>
        <v>0</v>
      </c>
      <c r="P182" s="829">
        <f>IF(AND(S182&gt;0,S181=0),Q133,0)</f>
        <v>0</v>
      </c>
      <c r="Q182" s="832">
        <f t="shared" si="46"/>
        <v>0</v>
      </c>
      <c r="S182" s="833">
        <f t="shared" si="47"/>
        <v>0</v>
      </c>
      <c r="T182" s="829">
        <f>IF(AND(V182&gt;0,V181=0),U133,0)</f>
        <v>0</v>
      </c>
      <c r="U182" s="830">
        <f t="shared" si="48"/>
        <v>0</v>
      </c>
      <c r="V182" s="831">
        <f t="shared" si="49"/>
        <v>0</v>
      </c>
      <c r="W182" s="829">
        <f>IF(AND(Y182&gt;0,Y181=0),X133,0)</f>
        <v>0</v>
      </c>
      <c r="X182" s="830">
        <f t="shared" si="50"/>
        <v>0</v>
      </c>
      <c r="Y182" s="831">
        <f t="shared" si="51"/>
        <v>0</v>
      </c>
      <c r="Z182" s="829">
        <f>IF(AND(AB182&gt;0,AB181=0),AA133,0)</f>
        <v>0</v>
      </c>
      <c r="AA182" s="830">
        <f t="shared" si="52"/>
        <v>0</v>
      </c>
      <c r="AB182" s="831">
        <f t="shared" si="53"/>
        <v>0</v>
      </c>
      <c r="AC182" s="829">
        <f>IF(AND(AE182&gt;0,AE181=0),AD133,0)</f>
        <v>0</v>
      </c>
      <c r="AD182" s="830">
        <f t="shared" si="54"/>
        <v>0</v>
      </c>
      <c r="AE182" s="831">
        <f t="shared" si="55"/>
        <v>0</v>
      </c>
      <c r="AF182" s="829">
        <f>IF(AND(AH182&gt;0,AH181=0),AG133,0)</f>
        <v>0</v>
      </c>
      <c r="AG182" s="830">
        <f t="shared" si="56"/>
        <v>0</v>
      </c>
      <c r="AH182" s="831">
        <f t="shared" si="57"/>
        <v>0</v>
      </c>
      <c r="AI182" s="829">
        <f>IF(AND(AK182&gt;0,AK181=0),AJ133,0)</f>
        <v>0</v>
      </c>
      <c r="AJ182" s="830">
        <f t="shared" si="58"/>
        <v>0</v>
      </c>
      <c r="AK182" s="831">
        <f t="shared" si="59"/>
        <v>0</v>
      </c>
      <c r="AL182" s="829">
        <f t="shared" ca="1" si="60"/>
        <v>0</v>
      </c>
      <c r="AM182" s="834"/>
      <c r="AN182" s="831"/>
      <c r="AO182" s="829">
        <f t="shared" ca="1" si="61"/>
        <v>0</v>
      </c>
      <c r="AP182" s="834"/>
      <c r="AQ182" s="831"/>
      <c r="AU182" s="258"/>
      <c r="AV182" s="258"/>
      <c r="AW182" s="258"/>
      <c r="AX182" s="258"/>
      <c r="AY182" s="258"/>
      <c r="AZ182" s="258"/>
      <c r="BA182" s="258"/>
      <c r="BB182" s="258"/>
      <c r="BC182" s="258"/>
      <c r="BD182" s="258"/>
      <c r="BE182" s="258"/>
      <c r="BF182" s="258"/>
      <c r="BG182" s="258"/>
      <c r="BH182" s="258"/>
      <c r="BI182" s="258"/>
      <c r="BJ182" s="258"/>
      <c r="BK182" s="258"/>
      <c r="BL182" s="258"/>
      <c r="BM182" s="258"/>
      <c r="BN182" s="258"/>
      <c r="BO182" s="258"/>
      <c r="BP182" s="258"/>
      <c r="BQ182" s="258"/>
      <c r="BR182" s="258"/>
      <c r="BS182" s="258"/>
      <c r="BT182" s="258"/>
      <c r="BU182" s="257"/>
      <c r="BV182" s="258"/>
      <c r="BW182" s="258"/>
      <c r="BX182" s="258"/>
      <c r="BY182" s="258"/>
      <c r="BZ182" s="446"/>
      <c r="CA182" s="446"/>
      <c r="CB182" s="446"/>
      <c r="CC182" s="446"/>
      <c r="CD182" s="446"/>
      <c r="CE182" s="446"/>
      <c r="CF182" s="446"/>
      <c r="CG182" s="446"/>
      <c r="CH182" s="446"/>
      <c r="CI182" s="446"/>
      <c r="CJ182" s="446"/>
      <c r="CK182" s="446"/>
      <c r="CL182" s="446"/>
      <c r="CM182" s="446"/>
      <c r="CN182" s="446"/>
      <c r="CO182" s="446"/>
      <c r="CP182" s="446"/>
      <c r="CQ182" s="446"/>
      <c r="CR182" s="446"/>
      <c r="CS182" s="446"/>
      <c r="CT182" s="446"/>
      <c r="CU182" s="446"/>
      <c r="CV182" s="446"/>
      <c r="CW182" s="820">
        <v>40</v>
      </c>
      <c r="CX182" s="446"/>
      <c r="CY182" s="446"/>
      <c r="CZ182" s="446"/>
      <c r="DA182" s="446"/>
      <c r="DB182" s="446"/>
      <c r="DC182" s="446"/>
      <c r="DD182" s="446"/>
      <c r="DE182" s="446"/>
      <c r="DF182" s="446"/>
      <c r="DG182" s="446"/>
      <c r="DH182" s="446"/>
      <c r="DI182" s="446"/>
      <c r="DJ182" s="446"/>
      <c r="DK182" s="446"/>
      <c r="DL182" s="446"/>
      <c r="DM182" s="446"/>
      <c r="DN182" s="446"/>
      <c r="DO182" s="446"/>
      <c r="DP182" s="258"/>
      <c r="DQ182" s="258"/>
      <c r="DR182" s="258"/>
      <c r="DS182" s="258"/>
      <c r="DT182" s="258"/>
      <c r="DU182" s="258"/>
      <c r="DV182" s="258"/>
      <c r="DW182" s="258"/>
      <c r="DX182" s="258"/>
      <c r="DY182" s="258"/>
      <c r="DZ182" s="282"/>
      <c r="EA182" s="229"/>
      <c r="EB182" s="229"/>
    </row>
    <row r="183" spans="2:132" s="219" customFormat="1" ht="14.25" hidden="1" customHeight="1" x14ac:dyDescent="0.2">
      <c r="B183" s="811">
        <f ca="1">B142+INT(C182/12)</f>
        <v>2020</v>
      </c>
      <c r="C183" s="811">
        <v>41</v>
      </c>
      <c r="D183" s="828">
        <f t="shared" si="37"/>
        <v>0</v>
      </c>
      <c r="E183" s="822">
        <f t="shared" si="36"/>
        <v>0</v>
      </c>
      <c r="F183" s="829">
        <f t="shared" si="38"/>
        <v>0</v>
      </c>
      <c r="G183" s="829">
        <f t="shared" si="39"/>
        <v>0</v>
      </c>
      <c r="H183" s="830">
        <f t="shared" si="40"/>
        <v>0</v>
      </c>
      <c r="I183" s="831">
        <f t="shared" si="41"/>
        <v>0</v>
      </c>
      <c r="J183" s="829">
        <f>IF(AND(L183&gt;0,L182=0),K133,0)</f>
        <v>0</v>
      </c>
      <c r="K183" s="830">
        <f t="shared" si="42"/>
        <v>0</v>
      </c>
      <c r="L183" s="831">
        <f t="shared" si="43"/>
        <v>0</v>
      </c>
      <c r="M183" s="829">
        <f>IF(AND(O183&gt;0,O182=0),N133,0)</f>
        <v>0</v>
      </c>
      <c r="N183" s="830">
        <f t="shared" si="44"/>
        <v>0</v>
      </c>
      <c r="O183" s="831">
        <f t="shared" si="45"/>
        <v>0</v>
      </c>
      <c r="P183" s="829">
        <f>IF(AND(S183&gt;0,S182=0),Q133,0)</f>
        <v>0</v>
      </c>
      <c r="Q183" s="832">
        <f t="shared" si="46"/>
        <v>0</v>
      </c>
      <c r="S183" s="833">
        <f t="shared" si="47"/>
        <v>0</v>
      </c>
      <c r="T183" s="829">
        <f>IF(AND(V183&gt;0,V182=0),U133,0)</f>
        <v>0</v>
      </c>
      <c r="U183" s="830">
        <f t="shared" si="48"/>
        <v>0</v>
      </c>
      <c r="V183" s="831">
        <f t="shared" si="49"/>
        <v>0</v>
      </c>
      <c r="W183" s="829">
        <f>IF(AND(Y183&gt;0,Y182=0),X133,0)</f>
        <v>0</v>
      </c>
      <c r="X183" s="830">
        <f t="shared" si="50"/>
        <v>0</v>
      </c>
      <c r="Y183" s="831">
        <f t="shared" si="51"/>
        <v>0</v>
      </c>
      <c r="Z183" s="829">
        <f>IF(AND(AB183&gt;0,AB182=0),AA133,0)</f>
        <v>0</v>
      </c>
      <c r="AA183" s="830">
        <f t="shared" si="52"/>
        <v>0</v>
      </c>
      <c r="AB183" s="831">
        <f t="shared" si="53"/>
        <v>0</v>
      </c>
      <c r="AC183" s="829">
        <f>IF(AND(AE183&gt;0,AE182=0),AD133,0)</f>
        <v>0</v>
      </c>
      <c r="AD183" s="830">
        <f t="shared" si="54"/>
        <v>0</v>
      </c>
      <c r="AE183" s="831">
        <f t="shared" si="55"/>
        <v>0</v>
      </c>
      <c r="AF183" s="829">
        <f>IF(AND(AH183&gt;0,AH182=0),AG133,0)</f>
        <v>0</v>
      </c>
      <c r="AG183" s="830">
        <f t="shared" si="56"/>
        <v>0</v>
      </c>
      <c r="AH183" s="831">
        <f t="shared" si="57"/>
        <v>0</v>
      </c>
      <c r="AI183" s="829">
        <f>IF(AND(AK183&gt;0,AK182=0),AJ133,0)</f>
        <v>0</v>
      </c>
      <c r="AJ183" s="830">
        <f t="shared" si="58"/>
        <v>0</v>
      </c>
      <c r="AK183" s="831">
        <f t="shared" si="59"/>
        <v>0</v>
      </c>
      <c r="AL183" s="829">
        <f t="shared" ca="1" si="60"/>
        <v>0</v>
      </c>
      <c r="AM183" s="834"/>
      <c r="AN183" s="831"/>
      <c r="AO183" s="829">
        <f t="shared" ca="1" si="61"/>
        <v>0</v>
      </c>
      <c r="AP183" s="834"/>
      <c r="AQ183" s="831"/>
      <c r="AU183" s="258"/>
      <c r="AV183" s="258"/>
      <c r="AW183" s="258"/>
      <c r="AX183" s="258"/>
      <c r="AY183" s="258"/>
      <c r="AZ183" s="258"/>
      <c r="BA183" s="258"/>
      <c r="BB183" s="258"/>
      <c r="BC183" s="258"/>
      <c r="BD183" s="258"/>
      <c r="BE183" s="258"/>
      <c r="BF183" s="258"/>
      <c r="BG183" s="258"/>
      <c r="BH183" s="258"/>
      <c r="BI183" s="258"/>
      <c r="BJ183" s="258"/>
      <c r="BK183" s="258"/>
      <c r="BL183" s="258"/>
      <c r="BM183" s="258"/>
      <c r="BN183" s="258"/>
      <c r="BO183" s="258"/>
      <c r="BP183" s="258"/>
      <c r="BQ183" s="258"/>
      <c r="BR183" s="258"/>
      <c r="BS183" s="258"/>
      <c r="BT183" s="258"/>
      <c r="BU183" s="257"/>
      <c r="BV183" s="258"/>
      <c r="BW183" s="258"/>
      <c r="BX183" s="258"/>
      <c r="BY183" s="258"/>
      <c r="BZ183" s="446"/>
      <c r="CA183" s="446"/>
      <c r="CB183" s="446"/>
      <c r="CC183" s="446"/>
      <c r="CD183" s="446"/>
      <c r="CE183" s="446"/>
      <c r="CF183" s="446"/>
      <c r="CG183" s="446"/>
      <c r="CH183" s="446"/>
      <c r="CI183" s="446"/>
      <c r="CJ183" s="446"/>
      <c r="CK183" s="446"/>
      <c r="CL183" s="446"/>
      <c r="CM183" s="446"/>
      <c r="CN183" s="446"/>
      <c r="CO183" s="446"/>
      <c r="CP183" s="446"/>
      <c r="CQ183" s="446"/>
      <c r="CR183" s="446"/>
      <c r="CS183" s="446"/>
      <c r="CT183" s="446"/>
      <c r="CU183" s="446"/>
      <c r="CV183" s="446"/>
      <c r="CW183" s="820">
        <v>41</v>
      </c>
      <c r="CX183" s="446"/>
      <c r="CY183" s="446"/>
      <c r="CZ183" s="446"/>
      <c r="DA183" s="446"/>
      <c r="DB183" s="446"/>
      <c r="DC183" s="446"/>
      <c r="DD183" s="446"/>
      <c r="DE183" s="446"/>
      <c r="DF183" s="446"/>
      <c r="DG183" s="446"/>
      <c r="DH183" s="446"/>
      <c r="DI183" s="446"/>
      <c r="DJ183" s="446"/>
      <c r="DK183" s="446"/>
      <c r="DL183" s="446"/>
      <c r="DM183" s="446"/>
      <c r="DN183" s="446"/>
      <c r="DO183" s="446"/>
      <c r="DP183" s="258"/>
      <c r="DQ183" s="258"/>
      <c r="DR183" s="258"/>
      <c r="DS183" s="258"/>
      <c r="DT183" s="258"/>
      <c r="DU183" s="258"/>
      <c r="DV183" s="258"/>
      <c r="DW183" s="258"/>
      <c r="DX183" s="258"/>
      <c r="DY183" s="258"/>
      <c r="DZ183" s="282"/>
      <c r="EA183" s="229"/>
      <c r="EB183" s="229"/>
    </row>
    <row r="184" spans="2:132" s="219" customFormat="1" ht="14.25" hidden="1" customHeight="1" x14ac:dyDescent="0.2">
      <c r="B184" s="811">
        <f ca="1">B142+INT(C183/12)</f>
        <v>2020</v>
      </c>
      <c r="C184" s="811">
        <v>42</v>
      </c>
      <c r="D184" s="828">
        <f t="shared" si="37"/>
        <v>0</v>
      </c>
      <c r="E184" s="822">
        <f t="shared" si="36"/>
        <v>0</v>
      </c>
      <c r="F184" s="829">
        <f t="shared" si="38"/>
        <v>0</v>
      </c>
      <c r="G184" s="829">
        <f t="shared" si="39"/>
        <v>0</v>
      </c>
      <c r="H184" s="830">
        <f t="shared" si="40"/>
        <v>0</v>
      </c>
      <c r="I184" s="831">
        <f t="shared" si="41"/>
        <v>0</v>
      </c>
      <c r="J184" s="829">
        <f>IF(AND(L184&gt;0,L183=0),K133,0)</f>
        <v>0</v>
      </c>
      <c r="K184" s="830">
        <f t="shared" si="42"/>
        <v>0</v>
      </c>
      <c r="L184" s="831">
        <f t="shared" si="43"/>
        <v>0</v>
      </c>
      <c r="M184" s="829">
        <f>IF(AND(O184&gt;0,O183=0),N133,0)</f>
        <v>0</v>
      </c>
      <c r="N184" s="830">
        <f t="shared" si="44"/>
        <v>0</v>
      </c>
      <c r="O184" s="831">
        <f t="shared" si="45"/>
        <v>0</v>
      </c>
      <c r="P184" s="829">
        <f>IF(AND(S184&gt;0,S183=0),Q133,0)</f>
        <v>0</v>
      </c>
      <c r="Q184" s="832">
        <f t="shared" si="46"/>
        <v>0</v>
      </c>
      <c r="S184" s="833">
        <f t="shared" si="47"/>
        <v>0</v>
      </c>
      <c r="T184" s="829">
        <f>IF(AND(V184&gt;0,V183=0),U133,0)</f>
        <v>0</v>
      </c>
      <c r="U184" s="830">
        <f t="shared" si="48"/>
        <v>0</v>
      </c>
      <c r="V184" s="831">
        <f t="shared" si="49"/>
        <v>0</v>
      </c>
      <c r="W184" s="829">
        <f>IF(AND(Y184&gt;0,Y183=0),X133,0)</f>
        <v>0</v>
      </c>
      <c r="X184" s="830">
        <f t="shared" si="50"/>
        <v>0</v>
      </c>
      <c r="Y184" s="831">
        <f t="shared" si="51"/>
        <v>0</v>
      </c>
      <c r="Z184" s="829">
        <f>IF(AND(AB184&gt;0,AB183=0),AA133,0)</f>
        <v>0</v>
      </c>
      <c r="AA184" s="830">
        <f t="shared" si="52"/>
        <v>0</v>
      </c>
      <c r="AB184" s="831">
        <f t="shared" si="53"/>
        <v>0</v>
      </c>
      <c r="AC184" s="829">
        <f>IF(AND(AE184&gt;0,AE183=0),AD133,0)</f>
        <v>0</v>
      </c>
      <c r="AD184" s="830">
        <f t="shared" si="54"/>
        <v>0</v>
      </c>
      <c r="AE184" s="831">
        <f t="shared" si="55"/>
        <v>0</v>
      </c>
      <c r="AF184" s="829">
        <f>IF(AND(AH184&gt;0,AH183=0),AG133,0)</f>
        <v>0</v>
      </c>
      <c r="AG184" s="830">
        <f t="shared" si="56"/>
        <v>0</v>
      </c>
      <c r="AH184" s="831">
        <f t="shared" si="57"/>
        <v>0</v>
      </c>
      <c r="AI184" s="829">
        <f>IF(AND(AK184&gt;0,AK183=0),AJ133,0)</f>
        <v>0</v>
      </c>
      <c r="AJ184" s="830">
        <f t="shared" si="58"/>
        <v>0</v>
      </c>
      <c r="AK184" s="831">
        <f t="shared" si="59"/>
        <v>0</v>
      </c>
      <c r="AL184" s="829">
        <f t="shared" ca="1" si="60"/>
        <v>0</v>
      </c>
      <c r="AM184" s="834"/>
      <c r="AN184" s="831"/>
      <c r="AO184" s="829">
        <f t="shared" ca="1" si="61"/>
        <v>0</v>
      </c>
      <c r="AP184" s="834"/>
      <c r="AQ184" s="831"/>
      <c r="AU184" s="258"/>
      <c r="AV184" s="258"/>
      <c r="AW184" s="258"/>
      <c r="AX184" s="258"/>
      <c r="AY184" s="258"/>
      <c r="AZ184" s="258"/>
      <c r="BA184" s="258"/>
      <c r="BB184" s="258"/>
      <c r="BC184" s="258"/>
      <c r="BD184" s="258"/>
      <c r="BE184" s="258"/>
      <c r="BF184" s="258"/>
      <c r="BG184" s="258"/>
      <c r="BH184" s="258"/>
      <c r="BI184" s="258"/>
      <c r="BJ184" s="258"/>
      <c r="BK184" s="258"/>
      <c r="BL184" s="258"/>
      <c r="BM184" s="258"/>
      <c r="BN184" s="258"/>
      <c r="BO184" s="258"/>
      <c r="BP184" s="258"/>
      <c r="BQ184" s="258"/>
      <c r="BR184" s="258"/>
      <c r="BS184" s="258"/>
      <c r="BT184" s="258"/>
      <c r="BU184" s="257"/>
      <c r="BV184" s="258"/>
      <c r="BW184" s="258"/>
      <c r="BX184" s="258"/>
      <c r="BY184" s="258"/>
      <c r="BZ184" s="446"/>
      <c r="CA184" s="446"/>
      <c r="CB184" s="446"/>
      <c r="CC184" s="446"/>
      <c r="CD184" s="446"/>
      <c r="CE184" s="446"/>
      <c r="CF184" s="446"/>
      <c r="CG184" s="446"/>
      <c r="CH184" s="446"/>
      <c r="CI184" s="446"/>
      <c r="CJ184" s="446"/>
      <c r="CK184" s="446"/>
      <c r="CL184" s="446"/>
      <c r="CM184" s="446"/>
      <c r="CN184" s="446"/>
      <c r="CO184" s="446"/>
      <c r="CP184" s="446"/>
      <c r="CQ184" s="446"/>
      <c r="CR184" s="446"/>
      <c r="CS184" s="446"/>
      <c r="CT184" s="446"/>
      <c r="CU184" s="446"/>
      <c r="CV184" s="446"/>
      <c r="CW184" s="820">
        <v>42</v>
      </c>
      <c r="CX184" s="446"/>
      <c r="CY184" s="446"/>
      <c r="CZ184" s="446"/>
      <c r="DA184" s="446"/>
      <c r="DB184" s="446"/>
      <c r="DC184" s="446"/>
      <c r="DD184" s="446"/>
      <c r="DE184" s="446"/>
      <c r="DF184" s="446"/>
      <c r="DG184" s="446"/>
      <c r="DH184" s="446"/>
      <c r="DI184" s="446"/>
      <c r="DJ184" s="446"/>
      <c r="DK184" s="446"/>
      <c r="DL184" s="446"/>
      <c r="DM184" s="446"/>
      <c r="DN184" s="446"/>
      <c r="DO184" s="446"/>
      <c r="DP184" s="258"/>
      <c r="DQ184" s="258"/>
      <c r="DR184" s="258"/>
      <c r="DS184" s="258"/>
      <c r="DT184" s="258"/>
      <c r="DU184" s="258"/>
      <c r="DV184" s="258"/>
      <c r="DW184" s="258"/>
      <c r="DX184" s="258"/>
      <c r="DY184" s="258"/>
      <c r="DZ184" s="282"/>
      <c r="EA184" s="229"/>
      <c r="EB184" s="229"/>
    </row>
    <row r="185" spans="2:132" s="219" customFormat="1" ht="14.25" hidden="1" customHeight="1" x14ac:dyDescent="0.2">
      <c r="B185" s="811">
        <f ca="1">B142+INT(C184/12)</f>
        <v>2020</v>
      </c>
      <c r="C185" s="811">
        <v>43</v>
      </c>
      <c r="D185" s="828">
        <f t="shared" si="37"/>
        <v>0</v>
      </c>
      <c r="E185" s="822">
        <f t="shared" si="36"/>
        <v>0</v>
      </c>
      <c r="F185" s="829">
        <f t="shared" si="38"/>
        <v>0</v>
      </c>
      <c r="G185" s="829">
        <f t="shared" si="39"/>
        <v>0</v>
      </c>
      <c r="H185" s="830">
        <f t="shared" si="40"/>
        <v>0</v>
      </c>
      <c r="I185" s="831">
        <f t="shared" si="41"/>
        <v>0</v>
      </c>
      <c r="J185" s="829">
        <f>IF(AND(L185&gt;0,L184=0),K133,0)</f>
        <v>0</v>
      </c>
      <c r="K185" s="830">
        <f t="shared" si="42"/>
        <v>0</v>
      </c>
      <c r="L185" s="831">
        <f t="shared" si="43"/>
        <v>0</v>
      </c>
      <c r="M185" s="829">
        <f>IF(AND(O185&gt;0,O184=0),N133,0)</f>
        <v>0</v>
      </c>
      <c r="N185" s="830">
        <f t="shared" si="44"/>
        <v>0</v>
      </c>
      <c r="O185" s="831">
        <f t="shared" si="45"/>
        <v>0</v>
      </c>
      <c r="P185" s="829">
        <f>IF(AND(S185&gt;0,S184=0),Q133,0)</f>
        <v>0</v>
      </c>
      <c r="Q185" s="832">
        <f t="shared" si="46"/>
        <v>0</v>
      </c>
      <c r="S185" s="833">
        <f t="shared" si="47"/>
        <v>0</v>
      </c>
      <c r="T185" s="829">
        <f>IF(AND(V185&gt;0,V184=0),U133,0)</f>
        <v>0</v>
      </c>
      <c r="U185" s="830">
        <f t="shared" si="48"/>
        <v>0</v>
      </c>
      <c r="V185" s="831">
        <f t="shared" si="49"/>
        <v>0</v>
      </c>
      <c r="W185" s="829">
        <f>IF(AND(Y185&gt;0,Y184=0),X133,0)</f>
        <v>0</v>
      </c>
      <c r="X185" s="830">
        <f t="shared" si="50"/>
        <v>0</v>
      </c>
      <c r="Y185" s="831">
        <f t="shared" si="51"/>
        <v>0</v>
      </c>
      <c r="Z185" s="829">
        <f>IF(AND(AB185&gt;0,AB184=0),AA133,0)</f>
        <v>0</v>
      </c>
      <c r="AA185" s="830">
        <f t="shared" si="52"/>
        <v>0</v>
      </c>
      <c r="AB185" s="831">
        <f t="shared" si="53"/>
        <v>0</v>
      </c>
      <c r="AC185" s="829">
        <f>IF(AND(AE185&gt;0,AE184=0),AD133,0)</f>
        <v>0</v>
      </c>
      <c r="AD185" s="830">
        <f t="shared" si="54"/>
        <v>0</v>
      </c>
      <c r="AE185" s="831">
        <f t="shared" si="55"/>
        <v>0</v>
      </c>
      <c r="AF185" s="829">
        <f>IF(AND(AH185&gt;0,AH184=0),AG133,0)</f>
        <v>0</v>
      </c>
      <c r="AG185" s="830">
        <f t="shared" si="56"/>
        <v>0</v>
      </c>
      <c r="AH185" s="831">
        <f t="shared" si="57"/>
        <v>0</v>
      </c>
      <c r="AI185" s="829">
        <f>IF(AND(AK185&gt;0,AK184=0),AJ133,0)</f>
        <v>0</v>
      </c>
      <c r="AJ185" s="830">
        <f t="shared" si="58"/>
        <v>0</v>
      </c>
      <c r="AK185" s="831">
        <f t="shared" si="59"/>
        <v>0</v>
      </c>
      <c r="AL185" s="829">
        <f t="shared" ca="1" si="60"/>
        <v>0</v>
      </c>
      <c r="AM185" s="834"/>
      <c r="AN185" s="831"/>
      <c r="AO185" s="829">
        <f t="shared" ca="1" si="61"/>
        <v>0</v>
      </c>
      <c r="AP185" s="834"/>
      <c r="AQ185" s="831"/>
      <c r="AU185" s="258"/>
      <c r="AV185" s="258"/>
      <c r="AW185" s="258"/>
      <c r="AX185" s="258"/>
      <c r="AY185" s="258"/>
      <c r="AZ185" s="258"/>
      <c r="BA185" s="258"/>
      <c r="BB185" s="258"/>
      <c r="BC185" s="258"/>
      <c r="BD185" s="258"/>
      <c r="BE185" s="258"/>
      <c r="BF185" s="258"/>
      <c r="BG185" s="258"/>
      <c r="BH185" s="258"/>
      <c r="BI185" s="258"/>
      <c r="BJ185" s="258"/>
      <c r="BK185" s="258"/>
      <c r="BL185" s="258"/>
      <c r="BM185" s="258"/>
      <c r="BN185" s="258"/>
      <c r="BO185" s="258"/>
      <c r="BP185" s="258"/>
      <c r="BQ185" s="258"/>
      <c r="BR185" s="258"/>
      <c r="BS185" s="258"/>
      <c r="BT185" s="258"/>
      <c r="BU185" s="257"/>
      <c r="BV185" s="258"/>
      <c r="BW185" s="258"/>
      <c r="BX185" s="258"/>
      <c r="BY185" s="258"/>
      <c r="BZ185" s="446"/>
      <c r="CA185" s="446"/>
      <c r="CB185" s="446"/>
      <c r="CC185" s="446"/>
      <c r="CD185" s="446"/>
      <c r="CE185" s="446"/>
      <c r="CF185" s="446"/>
      <c r="CG185" s="446"/>
      <c r="CH185" s="446"/>
      <c r="CI185" s="446"/>
      <c r="CJ185" s="446"/>
      <c r="CK185" s="446"/>
      <c r="CL185" s="446"/>
      <c r="CM185" s="446"/>
      <c r="CN185" s="446"/>
      <c r="CO185" s="446"/>
      <c r="CP185" s="446"/>
      <c r="CQ185" s="446"/>
      <c r="CR185" s="446"/>
      <c r="CS185" s="446"/>
      <c r="CT185" s="446"/>
      <c r="CU185" s="446"/>
      <c r="CV185" s="446"/>
      <c r="CW185" s="820">
        <v>43</v>
      </c>
      <c r="CX185" s="446"/>
      <c r="CY185" s="446"/>
      <c r="CZ185" s="446"/>
      <c r="DA185" s="446"/>
      <c r="DB185" s="446"/>
      <c r="DC185" s="446"/>
      <c r="DD185" s="446"/>
      <c r="DE185" s="446"/>
      <c r="DF185" s="446"/>
      <c r="DG185" s="446"/>
      <c r="DH185" s="446"/>
      <c r="DI185" s="446"/>
      <c r="DJ185" s="446"/>
      <c r="DK185" s="446"/>
      <c r="DL185" s="446"/>
      <c r="DM185" s="446"/>
      <c r="DN185" s="446"/>
      <c r="DO185" s="446"/>
      <c r="DP185" s="258"/>
      <c r="DQ185" s="258"/>
      <c r="DR185" s="258"/>
      <c r="DS185" s="258"/>
      <c r="DT185" s="258"/>
      <c r="DU185" s="258"/>
      <c r="DV185" s="258"/>
      <c r="DW185" s="258"/>
      <c r="DX185" s="258"/>
      <c r="DY185" s="258"/>
      <c r="DZ185" s="282"/>
      <c r="EA185" s="229"/>
      <c r="EB185" s="229"/>
    </row>
    <row r="186" spans="2:132" s="219" customFormat="1" ht="14.25" hidden="1" customHeight="1" x14ac:dyDescent="0.2">
      <c r="B186" s="811">
        <f ca="1">B142+INT(C185/12)</f>
        <v>2020</v>
      </c>
      <c r="C186" s="811">
        <v>44</v>
      </c>
      <c r="D186" s="828">
        <f t="shared" si="37"/>
        <v>0</v>
      </c>
      <c r="E186" s="822">
        <f t="shared" si="36"/>
        <v>0</v>
      </c>
      <c r="F186" s="829">
        <f t="shared" si="38"/>
        <v>0</v>
      </c>
      <c r="G186" s="829">
        <f t="shared" si="39"/>
        <v>0</v>
      </c>
      <c r="H186" s="830">
        <f t="shared" si="40"/>
        <v>0</v>
      </c>
      <c r="I186" s="831">
        <f t="shared" si="41"/>
        <v>0</v>
      </c>
      <c r="J186" s="829">
        <f>IF(AND(L186&gt;0,L185=0),K133,0)</f>
        <v>0</v>
      </c>
      <c r="K186" s="830">
        <f t="shared" si="42"/>
        <v>0</v>
      </c>
      <c r="L186" s="831">
        <f t="shared" si="43"/>
        <v>0</v>
      </c>
      <c r="M186" s="829">
        <f>IF(AND(O186&gt;0,O185=0),N133,0)</f>
        <v>0</v>
      </c>
      <c r="N186" s="830">
        <f t="shared" si="44"/>
        <v>0</v>
      </c>
      <c r="O186" s="831">
        <f t="shared" si="45"/>
        <v>0</v>
      </c>
      <c r="P186" s="829">
        <f>IF(AND(S186&gt;0,S185=0),Q133,0)</f>
        <v>0</v>
      </c>
      <c r="Q186" s="832">
        <f t="shared" si="46"/>
        <v>0</v>
      </c>
      <c r="S186" s="833">
        <f t="shared" si="47"/>
        <v>0</v>
      </c>
      <c r="T186" s="829">
        <f>IF(AND(V186&gt;0,V185=0),U133,0)</f>
        <v>0</v>
      </c>
      <c r="U186" s="830">
        <f t="shared" si="48"/>
        <v>0</v>
      </c>
      <c r="V186" s="831">
        <f t="shared" si="49"/>
        <v>0</v>
      </c>
      <c r="W186" s="829">
        <f>IF(AND(Y186&gt;0,Y185=0),X133,0)</f>
        <v>0</v>
      </c>
      <c r="X186" s="830">
        <f t="shared" si="50"/>
        <v>0</v>
      </c>
      <c r="Y186" s="831">
        <f t="shared" si="51"/>
        <v>0</v>
      </c>
      <c r="Z186" s="829">
        <f>IF(AND(AB186&gt;0,AB185=0),AA133,0)</f>
        <v>0</v>
      </c>
      <c r="AA186" s="830">
        <f t="shared" si="52"/>
        <v>0</v>
      </c>
      <c r="AB186" s="831">
        <f t="shared" si="53"/>
        <v>0</v>
      </c>
      <c r="AC186" s="829">
        <f>IF(AND(AE186&gt;0,AE185=0),AD133,0)</f>
        <v>0</v>
      </c>
      <c r="AD186" s="830">
        <f t="shared" si="54"/>
        <v>0</v>
      </c>
      <c r="AE186" s="831">
        <f t="shared" si="55"/>
        <v>0</v>
      </c>
      <c r="AF186" s="829">
        <f>IF(AND(AH186&gt;0,AH185=0),AG133,0)</f>
        <v>0</v>
      </c>
      <c r="AG186" s="830">
        <f t="shared" si="56"/>
        <v>0</v>
      </c>
      <c r="AH186" s="831">
        <f t="shared" si="57"/>
        <v>0</v>
      </c>
      <c r="AI186" s="829">
        <f>IF(AND(AK186&gt;0,AK185=0),AJ133,0)</f>
        <v>0</v>
      </c>
      <c r="AJ186" s="830">
        <f t="shared" si="58"/>
        <v>0</v>
      </c>
      <c r="AK186" s="831">
        <f t="shared" si="59"/>
        <v>0</v>
      </c>
      <c r="AL186" s="829">
        <f t="shared" ca="1" si="60"/>
        <v>0</v>
      </c>
      <c r="AM186" s="834"/>
      <c r="AN186" s="831"/>
      <c r="AO186" s="829">
        <f t="shared" ca="1" si="61"/>
        <v>0</v>
      </c>
      <c r="AP186" s="834"/>
      <c r="AQ186" s="831"/>
      <c r="AU186" s="258"/>
      <c r="AV186" s="258"/>
      <c r="AW186" s="258"/>
      <c r="AX186" s="258"/>
      <c r="AY186" s="258"/>
      <c r="AZ186" s="258"/>
      <c r="BA186" s="258"/>
      <c r="BB186" s="258"/>
      <c r="BC186" s="258"/>
      <c r="BD186" s="258"/>
      <c r="BE186" s="258"/>
      <c r="BF186" s="258"/>
      <c r="BG186" s="258"/>
      <c r="BH186" s="258"/>
      <c r="BI186" s="258"/>
      <c r="BJ186" s="258"/>
      <c r="BK186" s="258"/>
      <c r="BL186" s="258"/>
      <c r="BM186" s="258"/>
      <c r="BN186" s="258"/>
      <c r="BO186" s="258"/>
      <c r="BP186" s="258"/>
      <c r="BQ186" s="258"/>
      <c r="BR186" s="258"/>
      <c r="BS186" s="258"/>
      <c r="BT186" s="258"/>
      <c r="BU186" s="257"/>
      <c r="BV186" s="258"/>
      <c r="BW186" s="258"/>
      <c r="BX186" s="258"/>
      <c r="BY186" s="258"/>
      <c r="BZ186" s="446"/>
      <c r="CA186" s="446"/>
      <c r="CB186" s="446"/>
      <c r="CC186" s="446"/>
      <c r="CD186" s="446"/>
      <c r="CE186" s="446"/>
      <c r="CF186" s="446"/>
      <c r="CG186" s="446"/>
      <c r="CH186" s="446"/>
      <c r="CI186" s="446"/>
      <c r="CJ186" s="446"/>
      <c r="CK186" s="446"/>
      <c r="CL186" s="446"/>
      <c r="CM186" s="446"/>
      <c r="CN186" s="446"/>
      <c r="CO186" s="446"/>
      <c r="CP186" s="446"/>
      <c r="CQ186" s="446"/>
      <c r="CR186" s="446"/>
      <c r="CS186" s="446"/>
      <c r="CT186" s="446"/>
      <c r="CU186" s="446"/>
      <c r="CV186" s="446"/>
      <c r="CW186" s="820">
        <v>44</v>
      </c>
      <c r="CX186" s="446"/>
      <c r="CY186" s="446"/>
      <c r="CZ186" s="446"/>
      <c r="DA186" s="446"/>
      <c r="DB186" s="446"/>
      <c r="DC186" s="446"/>
      <c r="DD186" s="446"/>
      <c r="DE186" s="446"/>
      <c r="DF186" s="446"/>
      <c r="DG186" s="446"/>
      <c r="DH186" s="446"/>
      <c r="DI186" s="446"/>
      <c r="DJ186" s="446"/>
      <c r="DK186" s="446"/>
      <c r="DL186" s="446"/>
      <c r="DM186" s="446"/>
      <c r="DN186" s="446"/>
      <c r="DO186" s="446"/>
      <c r="DP186" s="258"/>
      <c r="DQ186" s="258"/>
      <c r="DR186" s="258"/>
      <c r="DS186" s="258"/>
      <c r="DT186" s="258"/>
      <c r="DU186" s="258"/>
      <c r="DV186" s="258"/>
      <c r="DW186" s="258"/>
      <c r="DX186" s="258"/>
      <c r="DY186" s="258"/>
      <c r="DZ186" s="282"/>
      <c r="EA186" s="229"/>
      <c r="EB186" s="229"/>
    </row>
    <row r="187" spans="2:132" s="219" customFormat="1" ht="14.25" hidden="1" customHeight="1" x14ac:dyDescent="0.2">
      <c r="B187" s="811">
        <f ca="1">B142+INT(C186/12)</f>
        <v>2020</v>
      </c>
      <c r="C187" s="811">
        <v>45</v>
      </c>
      <c r="D187" s="828">
        <f t="shared" si="37"/>
        <v>0</v>
      </c>
      <c r="E187" s="822">
        <f t="shared" si="36"/>
        <v>0</v>
      </c>
      <c r="F187" s="829">
        <f t="shared" si="38"/>
        <v>0</v>
      </c>
      <c r="G187" s="829">
        <f t="shared" si="39"/>
        <v>0</v>
      </c>
      <c r="H187" s="830">
        <f t="shared" si="40"/>
        <v>0</v>
      </c>
      <c r="I187" s="831">
        <f t="shared" si="41"/>
        <v>0</v>
      </c>
      <c r="J187" s="829">
        <f>IF(AND(L187&gt;0,L186=0),K133,0)</f>
        <v>0</v>
      </c>
      <c r="K187" s="830">
        <f t="shared" si="42"/>
        <v>0</v>
      </c>
      <c r="L187" s="831">
        <f t="shared" si="43"/>
        <v>0</v>
      </c>
      <c r="M187" s="829">
        <f>IF(AND(O187&gt;0,O186=0),N133,0)</f>
        <v>0</v>
      </c>
      <c r="N187" s="830">
        <f t="shared" si="44"/>
        <v>0</v>
      </c>
      <c r="O187" s="831">
        <f t="shared" si="45"/>
        <v>0</v>
      </c>
      <c r="P187" s="829">
        <f>IF(AND(S187&gt;0,S186=0),Q133,0)</f>
        <v>0</v>
      </c>
      <c r="Q187" s="832">
        <f t="shared" si="46"/>
        <v>0</v>
      </c>
      <c r="S187" s="833">
        <f t="shared" si="47"/>
        <v>0</v>
      </c>
      <c r="T187" s="829">
        <f>IF(AND(V187&gt;0,V186=0),U133,0)</f>
        <v>0</v>
      </c>
      <c r="U187" s="830">
        <f t="shared" si="48"/>
        <v>0</v>
      </c>
      <c r="V187" s="831">
        <f t="shared" si="49"/>
        <v>0</v>
      </c>
      <c r="W187" s="829">
        <f>IF(AND(Y187&gt;0,Y186=0),X133,0)</f>
        <v>0</v>
      </c>
      <c r="X187" s="830">
        <f t="shared" si="50"/>
        <v>0</v>
      </c>
      <c r="Y187" s="831">
        <f t="shared" si="51"/>
        <v>0</v>
      </c>
      <c r="Z187" s="829">
        <f>IF(AND(AB187&gt;0,AB186=0),AA133,0)</f>
        <v>0</v>
      </c>
      <c r="AA187" s="830">
        <f t="shared" si="52"/>
        <v>0</v>
      </c>
      <c r="AB187" s="831">
        <f t="shared" si="53"/>
        <v>0</v>
      </c>
      <c r="AC187" s="829">
        <f>IF(AND(AE187&gt;0,AE186=0),AD133,0)</f>
        <v>0</v>
      </c>
      <c r="AD187" s="830">
        <f t="shared" si="54"/>
        <v>0</v>
      </c>
      <c r="AE187" s="831">
        <f t="shared" si="55"/>
        <v>0</v>
      </c>
      <c r="AF187" s="829">
        <f>IF(AND(AH187&gt;0,AH186=0),AG133,0)</f>
        <v>0</v>
      </c>
      <c r="AG187" s="830">
        <f t="shared" si="56"/>
        <v>0</v>
      </c>
      <c r="AH187" s="831">
        <f t="shared" si="57"/>
        <v>0</v>
      </c>
      <c r="AI187" s="829">
        <f>IF(AND(AK187&gt;0,AK186=0),AJ133,0)</f>
        <v>0</v>
      </c>
      <c r="AJ187" s="830">
        <f t="shared" si="58"/>
        <v>0</v>
      </c>
      <c r="AK187" s="831">
        <f t="shared" si="59"/>
        <v>0</v>
      </c>
      <c r="AL187" s="829">
        <f t="shared" ca="1" si="60"/>
        <v>0</v>
      </c>
      <c r="AM187" s="834"/>
      <c r="AN187" s="831"/>
      <c r="AO187" s="829">
        <f t="shared" ca="1" si="61"/>
        <v>0</v>
      </c>
      <c r="AP187" s="834"/>
      <c r="AQ187" s="831"/>
      <c r="AU187" s="258"/>
      <c r="AV187" s="258"/>
      <c r="AW187" s="258"/>
      <c r="AX187" s="258"/>
      <c r="AY187" s="258"/>
      <c r="AZ187" s="258"/>
      <c r="BA187" s="258"/>
      <c r="BB187" s="258"/>
      <c r="BC187" s="258"/>
      <c r="BD187" s="258"/>
      <c r="BE187" s="258"/>
      <c r="BF187" s="258"/>
      <c r="BG187" s="258"/>
      <c r="BH187" s="258"/>
      <c r="BI187" s="258"/>
      <c r="BJ187" s="258"/>
      <c r="BK187" s="258"/>
      <c r="BL187" s="258"/>
      <c r="BM187" s="258"/>
      <c r="BN187" s="258"/>
      <c r="BO187" s="258"/>
      <c r="BP187" s="258"/>
      <c r="BQ187" s="258"/>
      <c r="BR187" s="258"/>
      <c r="BS187" s="258"/>
      <c r="BT187" s="258"/>
      <c r="BU187" s="257"/>
      <c r="BV187" s="258"/>
      <c r="BW187" s="258"/>
      <c r="BX187" s="258"/>
      <c r="BY187" s="258"/>
      <c r="BZ187" s="446"/>
      <c r="CA187" s="446"/>
      <c r="CB187" s="446"/>
      <c r="CC187" s="446"/>
      <c r="CD187" s="446"/>
      <c r="CE187" s="446"/>
      <c r="CF187" s="446"/>
      <c r="CG187" s="446"/>
      <c r="CH187" s="446"/>
      <c r="CI187" s="446"/>
      <c r="CJ187" s="446"/>
      <c r="CK187" s="446"/>
      <c r="CL187" s="446"/>
      <c r="CM187" s="446"/>
      <c r="CN187" s="446"/>
      <c r="CO187" s="446"/>
      <c r="CP187" s="446"/>
      <c r="CQ187" s="446"/>
      <c r="CR187" s="446"/>
      <c r="CS187" s="446"/>
      <c r="CT187" s="446"/>
      <c r="CU187" s="446"/>
      <c r="CV187" s="446"/>
      <c r="CW187" s="820">
        <v>45</v>
      </c>
      <c r="CX187" s="446"/>
      <c r="CY187" s="446"/>
      <c r="CZ187" s="446"/>
      <c r="DA187" s="446"/>
      <c r="DB187" s="446"/>
      <c r="DC187" s="446"/>
      <c r="DD187" s="446"/>
      <c r="DE187" s="446"/>
      <c r="DF187" s="446"/>
      <c r="DG187" s="446"/>
      <c r="DH187" s="446"/>
      <c r="DI187" s="446"/>
      <c r="DJ187" s="446"/>
      <c r="DK187" s="446"/>
      <c r="DL187" s="446"/>
      <c r="DM187" s="446"/>
      <c r="DN187" s="446"/>
      <c r="DO187" s="446"/>
      <c r="DP187" s="258"/>
      <c r="DQ187" s="258"/>
      <c r="DR187" s="258"/>
      <c r="DS187" s="258"/>
      <c r="DT187" s="258"/>
      <c r="DU187" s="258"/>
      <c r="DV187" s="258"/>
      <c r="DW187" s="258"/>
      <c r="DX187" s="258"/>
      <c r="DY187" s="258"/>
      <c r="DZ187" s="282"/>
      <c r="EA187" s="229"/>
      <c r="EB187" s="229"/>
    </row>
    <row r="188" spans="2:132" s="219" customFormat="1" ht="14.25" hidden="1" customHeight="1" x14ac:dyDescent="0.2">
      <c r="B188" s="811">
        <f ca="1">B142+INT(C187/12)</f>
        <v>2020</v>
      </c>
      <c r="C188" s="811">
        <v>46</v>
      </c>
      <c r="D188" s="828">
        <f t="shared" si="37"/>
        <v>0</v>
      </c>
      <c r="E188" s="822">
        <f t="shared" si="36"/>
        <v>0</v>
      </c>
      <c r="F188" s="829">
        <f t="shared" si="38"/>
        <v>0</v>
      </c>
      <c r="G188" s="829">
        <f t="shared" si="39"/>
        <v>0</v>
      </c>
      <c r="H188" s="830">
        <f t="shared" si="40"/>
        <v>0</v>
      </c>
      <c r="I188" s="831">
        <f t="shared" si="41"/>
        <v>0</v>
      </c>
      <c r="J188" s="829">
        <f>IF(AND(L188&gt;0,L187=0),K133,0)</f>
        <v>0</v>
      </c>
      <c r="K188" s="830">
        <f t="shared" si="42"/>
        <v>0</v>
      </c>
      <c r="L188" s="831">
        <f t="shared" si="43"/>
        <v>0</v>
      </c>
      <c r="M188" s="829">
        <f>IF(AND(O188&gt;0,O187=0),N133,0)</f>
        <v>0</v>
      </c>
      <c r="N188" s="830">
        <f t="shared" si="44"/>
        <v>0</v>
      </c>
      <c r="O188" s="831">
        <f t="shared" si="45"/>
        <v>0</v>
      </c>
      <c r="P188" s="829">
        <f>IF(AND(S188&gt;0,S187=0),Q133,0)</f>
        <v>0</v>
      </c>
      <c r="Q188" s="832">
        <f t="shared" si="46"/>
        <v>0</v>
      </c>
      <c r="S188" s="833">
        <f t="shared" si="47"/>
        <v>0</v>
      </c>
      <c r="T188" s="829">
        <f>IF(AND(V188&gt;0,V187=0),U133,0)</f>
        <v>0</v>
      </c>
      <c r="U188" s="830">
        <f t="shared" si="48"/>
        <v>0</v>
      </c>
      <c r="V188" s="831">
        <f t="shared" si="49"/>
        <v>0</v>
      </c>
      <c r="W188" s="829">
        <f>IF(AND(Y188&gt;0,Y187=0),X133,0)</f>
        <v>0</v>
      </c>
      <c r="X188" s="830">
        <f t="shared" si="50"/>
        <v>0</v>
      </c>
      <c r="Y188" s="831">
        <f t="shared" si="51"/>
        <v>0</v>
      </c>
      <c r="Z188" s="829">
        <f>IF(AND(AB188&gt;0,AB187=0),AA133,0)</f>
        <v>0</v>
      </c>
      <c r="AA188" s="830">
        <f t="shared" si="52"/>
        <v>0</v>
      </c>
      <c r="AB188" s="831">
        <f t="shared" si="53"/>
        <v>0</v>
      </c>
      <c r="AC188" s="829">
        <f>IF(AND(AE188&gt;0,AE187=0),AD133,0)</f>
        <v>0</v>
      </c>
      <c r="AD188" s="830">
        <f t="shared" si="54"/>
        <v>0</v>
      </c>
      <c r="AE188" s="831">
        <f t="shared" si="55"/>
        <v>0</v>
      </c>
      <c r="AF188" s="829">
        <f>IF(AND(AH188&gt;0,AH187=0),AG133,0)</f>
        <v>0</v>
      </c>
      <c r="AG188" s="830">
        <f t="shared" si="56"/>
        <v>0</v>
      </c>
      <c r="AH188" s="831">
        <f t="shared" si="57"/>
        <v>0</v>
      </c>
      <c r="AI188" s="829">
        <f>IF(AND(AK188&gt;0,AK187=0),AJ133,0)</f>
        <v>0</v>
      </c>
      <c r="AJ188" s="830">
        <f t="shared" si="58"/>
        <v>0</v>
      </c>
      <c r="AK188" s="831">
        <f t="shared" si="59"/>
        <v>0</v>
      </c>
      <c r="AL188" s="829">
        <f t="shared" ca="1" si="60"/>
        <v>0</v>
      </c>
      <c r="AM188" s="834"/>
      <c r="AN188" s="831"/>
      <c r="AO188" s="829">
        <f t="shared" ca="1" si="61"/>
        <v>0</v>
      </c>
      <c r="AP188" s="834"/>
      <c r="AQ188" s="831"/>
      <c r="AU188" s="258"/>
      <c r="AV188" s="258"/>
      <c r="AW188" s="258"/>
      <c r="AX188" s="258"/>
      <c r="AY188" s="258"/>
      <c r="AZ188" s="258"/>
      <c r="BA188" s="258"/>
      <c r="BB188" s="258"/>
      <c r="BC188" s="258"/>
      <c r="BD188" s="258"/>
      <c r="BE188" s="258"/>
      <c r="BF188" s="258"/>
      <c r="BG188" s="258"/>
      <c r="BH188" s="258"/>
      <c r="BI188" s="258"/>
      <c r="BJ188" s="258"/>
      <c r="BK188" s="258"/>
      <c r="BL188" s="258"/>
      <c r="BM188" s="258"/>
      <c r="BN188" s="258"/>
      <c r="BO188" s="258"/>
      <c r="BP188" s="258"/>
      <c r="BQ188" s="258"/>
      <c r="BR188" s="258"/>
      <c r="BS188" s="258"/>
      <c r="BT188" s="258"/>
      <c r="BU188" s="257"/>
      <c r="BV188" s="258"/>
      <c r="BW188" s="258"/>
      <c r="BX188" s="258"/>
      <c r="BY188" s="258"/>
      <c r="BZ188" s="446"/>
      <c r="CA188" s="446"/>
      <c r="CB188" s="446"/>
      <c r="CC188" s="446"/>
      <c r="CD188" s="446"/>
      <c r="CE188" s="446"/>
      <c r="CF188" s="446"/>
      <c r="CG188" s="446"/>
      <c r="CH188" s="446"/>
      <c r="CI188" s="446"/>
      <c r="CJ188" s="446"/>
      <c r="CK188" s="446"/>
      <c r="CL188" s="446"/>
      <c r="CM188" s="446"/>
      <c r="CN188" s="446"/>
      <c r="CO188" s="446"/>
      <c r="CP188" s="446"/>
      <c r="CQ188" s="446"/>
      <c r="CR188" s="446"/>
      <c r="CS188" s="446"/>
      <c r="CT188" s="446"/>
      <c r="CU188" s="446"/>
      <c r="CV188" s="446"/>
      <c r="CW188" s="820">
        <v>46</v>
      </c>
      <c r="CX188" s="446"/>
      <c r="CY188" s="446"/>
      <c r="CZ188" s="446"/>
      <c r="DA188" s="446"/>
      <c r="DB188" s="446"/>
      <c r="DC188" s="446"/>
      <c r="DD188" s="446"/>
      <c r="DE188" s="446"/>
      <c r="DF188" s="446"/>
      <c r="DG188" s="446"/>
      <c r="DH188" s="446"/>
      <c r="DI188" s="446"/>
      <c r="DJ188" s="446"/>
      <c r="DK188" s="446"/>
      <c r="DL188" s="446"/>
      <c r="DM188" s="446"/>
      <c r="DN188" s="446"/>
      <c r="DO188" s="446"/>
      <c r="DP188" s="258"/>
      <c r="DQ188" s="258"/>
      <c r="DR188" s="258"/>
      <c r="DS188" s="258"/>
      <c r="DT188" s="258"/>
      <c r="DU188" s="258"/>
      <c r="DV188" s="258"/>
      <c r="DW188" s="258"/>
      <c r="DX188" s="258"/>
      <c r="DY188" s="258"/>
      <c r="DZ188" s="282"/>
      <c r="EA188" s="229"/>
      <c r="EB188" s="229"/>
    </row>
    <row r="189" spans="2:132" s="219" customFormat="1" ht="14.25" hidden="1" customHeight="1" x14ac:dyDescent="0.2">
      <c r="B189" s="811">
        <f ca="1">B142+INT(C188/12)</f>
        <v>2020</v>
      </c>
      <c r="C189" s="811">
        <v>47</v>
      </c>
      <c r="D189" s="828">
        <f t="shared" si="37"/>
        <v>0</v>
      </c>
      <c r="E189" s="822">
        <f t="shared" si="36"/>
        <v>0</v>
      </c>
      <c r="F189" s="829">
        <f t="shared" si="38"/>
        <v>0</v>
      </c>
      <c r="G189" s="829">
        <f t="shared" si="39"/>
        <v>0</v>
      </c>
      <c r="H189" s="830">
        <f t="shared" si="40"/>
        <v>0</v>
      </c>
      <c r="I189" s="831">
        <f t="shared" si="41"/>
        <v>0</v>
      </c>
      <c r="J189" s="829">
        <f>IF(AND(L189&gt;0,L188=0),K133,0)</f>
        <v>0</v>
      </c>
      <c r="K189" s="830">
        <f t="shared" si="42"/>
        <v>0</v>
      </c>
      <c r="L189" s="831">
        <f t="shared" si="43"/>
        <v>0</v>
      </c>
      <c r="M189" s="829">
        <f>IF(AND(O189&gt;0,O188=0),N133,0)</f>
        <v>0</v>
      </c>
      <c r="N189" s="830">
        <f t="shared" si="44"/>
        <v>0</v>
      </c>
      <c r="O189" s="831">
        <f t="shared" si="45"/>
        <v>0</v>
      </c>
      <c r="P189" s="829">
        <f>IF(AND(S189&gt;0,S188=0),Q133,0)</f>
        <v>0</v>
      </c>
      <c r="Q189" s="832">
        <f t="shared" si="46"/>
        <v>0</v>
      </c>
      <c r="S189" s="833">
        <f t="shared" si="47"/>
        <v>0</v>
      </c>
      <c r="T189" s="829">
        <f>IF(AND(V189&gt;0,V188=0),U133,0)</f>
        <v>0</v>
      </c>
      <c r="U189" s="830">
        <f t="shared" si="48"/>
        <v>0</v>
      </c>
      <c r="V189" s="831">
        <f t="shared" si="49"/>
        <v>0</v>
      </c>
      <c r="W189" s="829">
        <f>IF(AND(Y189&gt;0,Y188=0),X133,0)</f>
        <v>0</v>
      </c>
      <c r="X189" s="830">
        <f t="shared" si="50"/>
        <v>0</v>
      </c>
      <c r="Y189" s="831">
        <f t="shared" si="51"/>
        <v>0</v>
      </c>
      <c r="Z189" s="829">
        <f>IF(AND(AB189&gt;0,AB188=0),AA133,0)</f>
        <v>0</v>
      </c>
      <c r="AA189" s="830">
        <f t="shared" si="52"/>
        <v>0</v>
      </c>
      <c r="AB189" s="831">
        <f t="shared" si="53"/>
        <v>0</v>
      </c>
      <c r="AC189" s="829">
        <f>IF(AND(AE189&gt;0,AE188=0),AD133,0)</f>
        <v>0</v>
      </c>
      <c r="AD189" s="830">
        <f t="shared" si="54"/>
        <v>0</v>
      </c>
      <c r="AE189" s="831">
        <f t="shared" si="55"/>
        <v>0</v>
      </c>
      <c r="AF189" s="829">
        <f>IF(AND(AH189&gt;0,AH188=0),AG133,0)</f>
        <v>0</v>
      </c>
      <c r="AG189" s="830">
        <f t="shared" si="56"/>
        <v>0</v>
      </c>
      <c r="AH189" s="831">
        <f t="shared" si="57"/>
        <v>0</v>
      </c>
      <c r="AI189" s="829">
        <f>IF(AND(AK189&gt;0,AK188=0),AJ133,0)</f>
        <v>0</v>
      </c>
      <c r="AJ189" s="830">
        <f t="shared" si="58"/>
        <v>0</v>
      </c>
      <c r="AK189" s="831">
        <f t="shared" si="59"/>
        <v>0</v>
      </c>
      <c r="AL189" s="829">
        <f t="shared" ca="1" si="60"/>
        <v>0</v>
      </c>
      <c r="AM189" s="834"/>
      <c r="AN189" s="831"/>
      <c r="AO189" s="829">
        <f t="shared" ca="1" si="61"/>
        <v>0</v>
      </c>
      <c r="AP189" s="834"/>
      <c r="AQ189" s="831"/>
      <c r="AU189" s="258"/>
      <c r="AV189" s="258"/>
      <c r="AW189" s="258"/>
      <c r="AX189" s="258"/>
      <c r="AY189" s="258"/>
      <c r="AZ189" s="258"/>
      <c r="BA189" s="258"/>
      <c r="BB189" s="258"/>
      <c r="BC189" s="258"/>
      <c r="BD189" s="258"/>
      <c r="BE189" s="258"/>
      <c r="BF189" s="258"/>
      <c r="BG189" s="258"/>
      <c r="BH189" s="258"/>
      <c r="BI189" s="258"/>
      <c r="BJ189" s="258"/>
      <c r="BK189" s="258"/>
      <c r="BL189" s="258"/>
      <c r="BM189" s="258"/>
      <c r="BN189" s="258"/>
      <c r="BO189" s="258"/>
      <c r="BP189" s="258"/>
      <c r="BQ189" s="258"/>
      <c r="BR189" s="258"/>
      <c r="BS189" s="258"/>
      <c r="BT189" s="258"/>
      <c r="BU189" s="257"/>
      <c r="BV189" s="258"/>
      <c r="BW189" s="258"/>
      <c r="BX189" s="258"/>
      <c r="BY189" s="258"/>
      <c r="BZ189" s="446"/>
      <c r="CA189" s="446"/>
      <c r="CB189" s="446"/>
      <c r="CC189" s="446"/>
      <c r="CD189" s="446"/>
      <c r="CE189" s="446"/>
      <c r="CF189" s="446"/>
      <c r="CG189" s="446"/>
      <c r="CH189" s="446"/>
      <c r="CI189" s="446"/>
      <c r="CJ189" s="446"/>
      <c r="CK189" s="446"/>
      <c r="CL189" s="446"/>
      <c r="CM189" s="446"/>
      <c r="CN189" s="446"/>
      <c r="CO189" s="446"/>
      <c r="CP189" s="446"/>
      <c r="CQ189" s="446"/>
      <c r="CR189" s="446"/>
      <c r="CS189" s="446"/>
      <c r="CT189" s="446"/>
      <c r="CU189" s="446"/>
      <c r="CV189" s="446"/>
      <c r="CW189" s="820">
        <v>47</v>
      </c>
      <c r="CX189" s="446"/>
      <c r="CY189" s="446"/>
      <c r="CZ189" s="446"/>
      <c r="DA189" s="446"/>
      <c r="DB189" s="446"/>
      <c r="DC189" s="446"/>
      <c r="DD189" s="446"/>
      <c r="DE189" s="446"/>
      <c r="DF189" s="446"/>
      <c r="DG189" s="446"/>
      <c r="DH189" s="446"/>
      <c r="DI189" s="446"/>
      <c r="DJ189" s="446"/>
      <c r="DK189" s="446"/>
      <c r="DL189" s="446"/>
      <c r="DM189" s="446"/>
      <c r="DN189" s="446"/>
      <c r="DO189" s="446"/>
      <c r="DP189" s="258"/>
      <c r="DQ189" s="258"/>
      <c r="DR189" s="258"/>
      <c r="DS189" s="258"/>
      <c r="DT189" s="258"/>
      <c r="DU189" s="258"/>
      <c r="DV189" s="258"/>
      <c r="DW189" s="258"/>
      <c r="DX189" s="258"/>
      <c r="DY189" s="258"/>
      <c r="DZ189" s="282"/>
      <c r="EA189" s="229"/>
      <c r="EB189" s="229"/>
    </row>
    <row r="190" spans="2:132" s="219" customFormat="1" ht="14.25" hidden="1" customHeight="1" x14ac:dyDescent="0.2">
      <c r="B190" s="812">
        <f ca="1">B142+INT(C189/12)</f>
        <v>2020</v>
      </c>
      <c r="C190" s="812">
        <v>48</v>
      </c>
      <c r="D190" s="835">
        <f t="shared" si="37"/>
        <v>0</v>
      </c>
      <c r="E190" s="822">
        <f t="shared" si="36"/>
        <v>0</v>
      </c>
      <c r="F190" s="836">
        <f t="shared" si="38"/>
        <v>0</v>
      </c>
      <c r="G190" s="836">
        <f t="shared" si="39"/>
        <v>0</v>
      </c>
      <c r="H190" s="837">
        <f t="shared" si="40"/>
        <v>0</v>
      </c>
      <c r="I190" s="838">
        <f t="shared" si="41"/>
        <v>0</v>
      </c>
      <c r="J190" s="836">
        <f>IF(AND(L190&gt;0,L189=0),K133,0)</f>
        <v>0</v>
      </c>
      <c r="K190" s="837">
        <f t="shared" si="42"/>
        <v>0</v>
      </c>
      <c r="L190" s="838">
        <f t="shared" si="43"/>
        <v>0</v>
      </c>
      <c r="M190" s="836">
        <f>IF(AND(O190&gt;0,O189=0),N133,0)</f>
        <v>0</v>
      </c>
      <c r="N190" s="837">
        <f t="shared" si="44"/>
        <v>0</v>
      </c>
      <c r="O190" s="838">
        <f t="shared" si="45"/>
        <v>0</v>
      </c>
      <c r="P190" s="836">
        <f>IF(AND(S190&gt;0,S189=0),Q133,0)</f>
        <v>0</v>
      </c>
      <c r="Q190" s="839">
        <f t="shared" si="46"/>
        <v>0</v>
      </c>
      <c r="S190" s="840">
        <f t="shared" si="47"/>
        <v>0</v>
      </c>
      <c r="T190" s="836">
        <f>IF(AND(V190&gt;0,V189=0),U133,0)</f>
        <v>0</v>
      </c>
      <c r="U190" s="837">
        <f t="shared" si="48"/>
        <v>0</v>
      </c>
      <c r="V190" s="838">
        <f t="shared" si="49"/>
        <v>0</v>
      </c>
      <c r="W190" s="836">
        <f>IF(AND(Y190&gt;0,Y189=0),X133,0)</f>
        <v>0</v>
      </c>
      <c r="X190" s="837">
        <f t="shared" si="50"/>
        <v>0</v>
      </c>
      <c r="Y190" s="838">
        <f t="shared" si="51"/>
        <v>0</v>
      </c>
      <c r="Z190" s="836">
        <f>IF(AND(AB190&gt;0,AB189=0),AA133,0)</f>
        <v>0</v>
      </c>
      <c r="AA190" s="837">
        <f t="shared" si="52"/>
        <v>0</v>
      </c>
      <c r="AB190" s="838">
        <f t="shared" si="53"/>
        <v>0</v>
      </c>
      <c r="AC190" s="836">
        <f>IF(AND(AE190&gt;0,AE189=0),AD133,0)</f>
        <v>0</v>
      </c>
      <c r="AD190" s="837">
        <f t="shared" si="54"/>
        <v>0</v>
      </c>
      <c r="AE190" s="838">
        <f t="shared" si="55"/>
        <v>0</v>
      </c>
      <c r="AF190" s="836">
        <f>IF(AND(AH190&gt;0,AH189=0),AG133,0)</f>
        <v>0</v>
      </c>
      <c r="AG190" s="837">
        <f t="shared" si="56"/>
        <v>0</v>
      </c>
      <c r="AH190" s="838">
        <f t="shared" si="57"/>
        <v>0</v>
      </c>
      <c r="AI190" s="836">
        <f>IF(AND(AK190&gt;0,AK189=0),AJ133,0)</f>
        <v>0</v>
      </c>
      <c r="AJ190" s="837">
        <f t="shared" si="58"/>
        <v>0</v>
      </c>
      <c r="AK190" s="838">
        <f t="shared" si="59"/>
        <v>0</v>
      </c>
      <c r="AL190" s="836">
        <f t="shared" ca="1" si="60"/>
        <v>0</v>
      </c>
      <c r="AM190" s="834"/>
      <c r="AN190" s="831"/>
      <c r="AO190" s="836">
        <f t="shared" ca="1" si="61"/>
        <v>0</v>
      </c>
      <c r="AP190" s="834"/>
      <c r="AQ190" s="831"/>
      <c r="AU190" s="258"/>
      <c r="AV190" s="258"/>
      <c r="AW190" s="258"/>
      <c r="AX190" s="258"/>
      <c r="AY190" s="258"/>
      <c r="AZ190" s="258"/>
      <c r="BA190" s="258"/>
      <c r="BB190" s="258"/>
      <c r="BC190" s="258"/>
      <c r="BD190" s="258"/>
      <c r="BE190" s="258"/>
      <c r="BF190" s="258"/>
      <c r="BG190" s="258"/>
      <c r="BH190" s="258"/>
      <c r="BI190" s="258"/>
      <c r="BJ190" s="258"/>
      <c r="BK190" s="258"/>
      <c r="BL190" s="258"/>
      <c r="BM190" s="258"/>
      <c r="BN190" s="258"/>
      <c r="BO190" s="258"/>
      <c r="BP190" s="258"/>
      <c r="BQ190" s="258"/>
      <c r="BR190" s="258"/>
      <c r="BS190" s="258"/>
      <c r="BT190" s="258"/>
      <c r="BU190" s="257"/>
      <c r="BV190" s="258"/>
      <c r="BW190" s="258"/>
      <c r="BX190" s="258"/>
      <c r="BY190" s="258"/>
      <c r="BZ190" s="446"/>
      <c r="CA190" s="446"/>
      <c r="CB190" s="446"/>
      <c r="CC190" s="446"/>
      <c r="CD190" s="446"/>
      <c r="CE190" s="446"/>
      <c r="CF190" s="446"/>
      <c r="CG190" s="446"/>
      <c r="CH190" s="446"/>
      <c r="CI190" s="446"/>
      <c r="CJ190" s="446"/>
      <c r="CK190" s="446"/>
      <c r="CL190" s="446"/>
      <c r="CM190" s="446"/>
      <c r="CN190" s="446"/>
      <c r="CO190" s="446"/>
      <c r="CP190" s="446"/>
      <c r="CQ190" s="446"/>
      <c r="CR190" s="446"/>
      <c r="CS190" s="446"/>
      <c r="CT190" s="446"/>
      <c r="CU190" s="446"/>
      <c r="CV190" s="446"/>
      <c r="CW190" s="820">
        <v>48</v>
      </c>
      <c r="CX190" s="446"/>
      <c r="CY190" s="446"/>
      <c r="CZ190" s="446"/>
      <c r="DA190" s="446"/>
      <c r="DB190" s="446"/>
      <c r="DC190" s="446"/>
      <c r="DD190" s="446"/>
      <c r="DE190" s="446"/>
      <c r="DF190" s="446"/>
      <c r="DG190" s="446"/>
      <c r="DH190" s="446"/>
      <c r="DI190" s="446"/>
      <c r="DJ190" s="446"/>
      <c r="DK190" s="446"/>
      <c r="DL190" s="446"/>
      <c r="DM190" s="446"/>
      <c r="DN190" s="446"/>
      <c r="DO190" s="446"/>
      <c r="DP190" s="258"/>
      <c r="DQ190" s="258"/>
      <c r="DR190" s="258"/>
      <c r="DS190" s="258"/>
      <c r="DT190" s="258"/>
      <c r="DU190" s="258"/>
      <c r="DV190" s="258"/>
      <c r="DW190" s="258"/>
      <c r="DX190" s="258"/>
      <c r="DY190" s="258"/>
      <c r="DZ190" s="282"/>
      <c r="EA190" s="229"/>
      <c r="EB190" s="229"/>
    </row>
    <row r="191" spans="2:132" s="219" customFormat="1" ht="14.25" hidden="1" customHeight="1" x14ac:dyDescent="0.2">
      <c r="B191" s="841">
        <f ca="1">B142+INT(C190/12)</f>
        <v>2021</v>
      </c>
      <c r="C191" s="841">
        <v>49</v>
      </c>
      <c r="D191" s="821">
        <f t="shared" si="37"/>
        <v>0</v>
      </c>
      <c r="E191" s="822">
        <f t="shared" si="36"/>
        <v>0</v>
      </c>
      <c r="F191" s="822">
        <f t="shared" si="38"/>
        <v>0</v>
      </c>
      <c r="G191" s="822">
        <f t="shared" si="39"/>
        <v>0</v>
      </c>
      <c r="H191" s="823">
        <f t="shared" si="40"/>
        <v>0</v>
      </c>
      <c r="I191" s="824">
        <f t="shared" si="41"/>
        <v>0</v>
      </c>
      <c r="J191" s="822">
        <f>IF(AND(L191&gt;0,L190=0),K133,0)</f>
        <v>0</v>
      </c>
      <c r="K191" s="823">
        <f t="shared" si="42"/>
        <v>0</v>
      </c>
      <c r="L191" s="824">
        <f t="shared" si="43"/>
        <v>0</v>
      </c>
      <c r="M191" s="822">
        <f>IF(AND(O191&gt;0,O190=0),N133,0)</f>
        <v>0</v>
      </c>
      <c r="N191" s="823">
        <f t="shared" si="44"/>
        <v>0</v>
      </c>
      <c r="O191" s="824">
        <f t="shared" si="45"/>
        <v>0</v>
      </c>
      <c r="P191" s="822">
        <f>IF(AND(S191&gt;0,S190=0),Q133,0)</f>
        <v>0</v>
      </c>
      <c r="Q191" s="825">
        <f t="shared" si="46"/>
        <v>0</v>
      </c>
      <c r="S191" s="826">
        <f t="shared" si="47"/>
        <v>0</v>
      </c>
      <c r="T191" s="822">
        <f>IF(AND(V191&gt;0,V190=0),U133,0)</f>
        <v>0</v>
      </c>
      <c r="U191" s="823">
        <f t="shared" si="48"/>
        <v>0</v>
      </c>
      <c r="V191" s="824">
        <f t="shared" si="49"/>
        <v>0</v>
      </c>
      <c r="W191" s="822">
        <f>IF(AND(Y191&gt;0,Y190=0),X133,0)</f>
        <v>0</v>
      </c>
      <c r="X191" s="823">
        <f t="shared" si="50"/>
        <v>0</v>
      </c>
      <c r="Y191" s="824">
        <f t="shared" si="51"/>
        <v>0</v>
      </c>
      <c r="Z191" s="822">
        <f>IF(AND(AB191&gt;0,AB190=0),AA133,0)</f>
        <v>0</v>
      </c>
      <c r="AA191" s="823">
        <f t="shared" si="52"/>
        <v>0</v>
      </c>
      <c r="AB191" s="824">
        <f t="shared" si="53"/>
        <v>0</v>
      </c>
      <c r="AC191" s="822">
        <f>IF(AND(AE191&gt;0,AE190=0),AD133,0)</f>
        <v>0</v>
      </c>
      <c r="AD191" s="823">
        <f t="shared" si="54"/>
        <v>0</v>
      </c>
      <c r="AE191" s="824">
        <f t="shared" si="55"/>
        <v>0</v>
      </c>
      <c r="AF191" s="822">
        <f>IF(AND(AH191&gt;0,AH190=0),AG133,0)</f>
        <v>0</v>
      </c>
      <c r="AG191" s="823">
        <f t="shared" si="56"/>
        <v>0</v>
      </c>
      <c r="AH191" s="824">
        <f t="shared" si="57"/>
        <v>0</v>
      </c>
      <c r="AI191" s="822">
        <f>IF(AND(AK191&gt;0,AK190=0),AJ133,0)</f>
        <v>0</v>
      </c>
      <c r="AJ191" s="823">
        <f t="shared" si="58"/>
        <v>0</v>
      </c>
      <c r="AK191" s="824">
        <f t="shared" si="59"/>
        <v>0</v>
      </c>
      <c r="AL191" s="822">
        <f t="shared" ca="1" si="60"/>
        <v>0</v>
      </c>
      <c r="AM191" s="834"/>
      <c r="AN191" s="831"/>
      <c r="AO191" s="822">
        <f t="shared" ca="1" si="61"/>
        <v>0</v>
      </c>
      <c r="AP191" s="834"/>
      <c r="AQ191" s="831"/>
      <c r="AU191" s="258"/>
      <c r="AV191" s="258"/>
      <c r="AW191" s="258"/>
      <c r="AX191" s="258"/>
      <c r="AY191" s="258"/>
      <c r="AZ191" s="258"/>
      <c r="BA191" s="258"/>
      <c r="BB191" s="258"/>
      <c r="BC191" s="258"/>
      <c r="BD191" s="258"/>
      <c r="BE191" s="258"/>
      <c r="BF191" s="258"/>
      <c r="BG191" s="258"/>
      <c r="BH191" s="258"/>
      <c r="BI191" s="258"/>
      <c r="BJ191" s="258"/>
      <c r="BK191" s="258"/>
      <c r="BL191" s="258"/>
      <c r="BM191" s="258"/>
      <c r="BN191" s="258"/>
      <c r="BO191" s="258"/>
      <c r="BP191" s="258"/>
      <c r="BQ191" s="258"/>
      <c r="BR191" s="258"/>
      <c r="BS191" s="258"/>
      <c r="BT191" s="258"/>
      <c r="BU191" s="257"/>
      <c r="BV191" s="258"/>
      <c r="BW191" s="258"/>
      <c r="BX191" s="258"/>
      <c r="BY191" s="258"/>
      <c r="BZ191" s="446"/>
      <c r="CA191" s="446"/>
      <c r="CB191" s="446"/>
      <c r="CC191" s="446"/>
      <c r="CD191" s="446"/>
      <c r="CE191" s="446"/>
      <c r="CF191" s="446"/>
      <c r="CG191" s="446"/>
      <c r="CH191" s="446"/>
      <c r="CI191" s="446"/>
      <c r="CJ191" s="446"/>
      <c r="CK191" s="446"/>
      <c r="CL191" s="446"/>
      <c r="CM191" s="446"/>
      <c r="CN191" s="446"/>
      <c r="CO191" s="446"/>
      <c r="CP191" s="446"/>
      <c r="CQ191" s="446"/>
      <c r="CR191" s="446"/>
      <c r="CS191" s="446"/>
      <c r="CT191" s="446"/>
      <c r="CU191" s="446"/>
      <c r="CV191" s="446"/>
      <c r="CW191" s="820">
        <v>49</v>
      </c>
      <c r="CX191" s="446"/>
      <c r="CY191" s="446"/>
      <c r="CZ191" s="446"/>
      <c r="DA191" s="446"/>
      <c r="DB191" s="446"/>
      <c r="DC191" s="446"/>
      <c r="DD191" s="446"/>
      <c r="DE191" s="446"/>
      <c r="DF191" s="446"/>
      <c r="DG191" s="446"/>
      <c r="DH191" s="446"/>
      <c r="DI191" s="446"/>
      <c r="DJ191" s="446"/>
      <c r="DK191" s="446"/>
      <c r="DL191" s="446"/>
      <c r="DM191" s="446"/>
      <c r="DN191" s="446"/>
      <c r="DO191" s="446"/>
      <c r="DP191" s="258"/>
      <c r="DQ191" s="258"/>
      <c r="DR191" s="258"/>
      <c r="DS191" s="258"/>
      <c r="DT191" s="258"/>
      <c r="DU191" s="258"/>
      <c r="DV191" s="258"/>
      <c r="DW191" s="258"/>
      <c r="DX191" s="258"/>
      <c r="DY191" s="258"/>
      <c r="DZ191" s="282"/>
      <c r="EA191" s="229"/>
      <c r="EB191" s="229"/>
    </row>
    <row r="192" spans="2:132" s="219" customFormat="1" ht="14.25" hidden="1" customHeight="1" x14ac:dyDescent="0.2">
      <c r="B192" s="811">
        <f ca="1">B142+INT(C191/12)</f>
        <v>2021</v>
      </c>
      <c r="C192" s="811">
        <v>50</v>
      </c>
      <c r="D192" s="828">
        <f t="shared" si="37"/>
        <v>0</v>
      </c>
      <c r="E192" s="822">
        <f t="shared" si="36"/>
        <v>0</v>
      </c>
      <c r="F192" s="829">
        <f t="shared" si="38"/>
        <v>0</v>
      </c>
      <c r="G192" s="829">
        <f t="shared" si="39"/>
        <v>0</v>
      </c>
      <c r="H192" s="830">
        <f t="shared" si="40"/>
        <v>0</v>
      </c>
      <c r="I192" s="831">
        <f t="shared" si="41"/>
        <v>0</v>
      </c>
      <c r="J192" s="829">
        <f>IF(AND(L192&gt;0,L191=0),K133,0)</f>
        <v>0</v>
      </c>
      <c r="K192" s="830">
        <f t="shared" si="42"/>
        <v>0</v>
      </c>
      <c r="L192" s="831">
        <f t="shared" si="43"/>
        <v>0</v>
      </c>
      <c r="M192" s="829">
        <f>IF(AND(O192&gt;0,O191=0),N133,0)</f>
        <v>0</v>
      </c>
      <c r="N192" s="830">
        <f t="shared" si="44"/>
        <v>0</v>
      </c>
      <c r="O192" s="831">
        <f t="shared" si="45"/>
        <v>0</v>
      </c>
      <c r="P192" s="829">
        <f>IF(AND(S192&gt;0,S191=0),Q133,0)</f>
        <v>0</v>
      </c>
      <c r="Q192" s="832">
        <f t="shared" si="46"/>
        <v>0</v>
      </c>
      <c r="S192" s="833">
        <f t="shared" si="47"/>
        <v>0</v>
      </c>
      <c r="T192" s="829">
        <f>IF(AND(V192&gt;0,V191=0),U133,0)</f>
        <v>0</v>
      </c>
      <c r="U192" s="830">
        <f t="shared" si="48"/>
        <v>0</v>
      </c>
      <c r="V192" s="831">
        <f t="shared" si="49"/>
        <v>0</v>
      </c>
      <c r="W192" s="829">
        <f>IF(AND(Y192&gt;0,Y191=0),X133,0)</f>
        <v>0</v>
      </c>
      <c r="X192" s="830">
        <f t="shared" si="50"/>
        <v>0</v>
      </c>
      <c r="Y192" s="831">
        <f t="shared" si="51"/>
        <v>0</v>
      </c>
      <c r="Z192" s="829">
        <f>IF(AND(AB192&gt;0,AB191=0),AA133,0)</f>
        <v>0</v>
      </c>
      <c r="AA192" s="830">
        <f t="shared" si="52"/>
        <v>0</v>
      </c>
      <c r="AB192" s="831">
        <f t="shared" si="53"/>
        <v>0</v>
      </c>
      <c r="AC192" s="829">
        <f>IF(AND(AE192&gt;0,AE191=0),AD133,0)</f>
        <v>0</v>
      </c>
      <c r="AD192" s="830">
        <f t="shared" si="54"/>
        <v>0</v>
      </c>
      <c r="AE192" s="831">
        <f t="shared" si="55"/>
        <v>0</v>
      </c>
      <c r="AF192" s="829">
        <f>IF(AND(AH192&gt;0,AH191=0),AG133,0)</f>
        <v>0</v>
      </c>
      <c r="AG192" s="830">
        <f t="shared" si="56"/>
        <v>0</v>
      </c>
      <c r="AH192" s="831">
        <f t="shared" si="57"/>
        <v>0</v>
      </c>
      <c r="AI192" s="829">
        <f>IF(AND(AK192&gt;0,AK191=0),AJ133,0)</f>
        <v>0</v>
      </c>
      <c r="AJ192" s="830">
        <f t="shared" si="58"/>
        <v>0</v>
      </c>
      <c r="AK192" s="831">
        <f t="shared" si="59"/>
        <v>0</v>
      </c>
      <c r="AL192" s="829">
        <f t="shared" ca="1" si="60"/>
        <v>0</v>
      </c>
      <c r="AM192" s="834"/>
      <c r="AN192" s="831"/>
      <c r="AO192" s="829">
        <f t="shared" ca="1" si="61"/>
        <v>0</v>
      </c>
      <c r="AP192" s="834"/>
      <c r="AQ192" s="831"/>
      <c r="AU192" s="258"/>
      <c r="AV192" s="258"/>
      <c r="AW192" s="258"/>
      <c r="AX192" s="258"/>
      <c r="AY192" s="258"/>
      <c r="AZ192" s="258"/>
      <c r="BA192" s="258"/>
      <c r="BB192" s="258"/>
      <c r="BC192" s="258"/>
      <c r="BD192" s="258"/>
      <c r="BE192" s="258"/>
      <c r="BF192" s="258"/>
      <c r="BG192" s="258"/>
      <c r="BH192" s="258"/>
      <c r="BI192" s="258"/>
      <c r="BJ192" s="258"/>
      <c r="BK192" s="258"/>
      <c r="BL192" s="258"/>
      <c r="BM192" s="258"/>
      <c r="BN192" s="258"/>
      <c r="BO192" s="258"/>
      <c r="BP192" s="258"/>
      <c r="BQ192" s="258"/>
      <c r="BR192" s="258"/>
      <c r="BS192" s="258"/>
      <c r="BT192" s="258"/>
      <c r="BU192" s="257"/>
      <c r="BV192" s="258"/>
      <c r="BW192" s="258"/>
      <c r="BX192" s="258"/>
      <c r="BY192" s="258"/>
      <c r="BZ192" s="446"/>
      <c r="CA192" s="446"/>
      <c r="CB192" s="446"/>
      <c r="CC192" s="446"/>
      <c r="CD192" s="446"/>
      <c r="CE192" s="446"/>
      <c r="CF192" s="446"/>
      <c r="CG192" s="446"/>
      <c r="CH192" s="446"/>
      <c r="CI192" s="446"/>
      <c r="CJ192" s="446"/>
      <c r="CK192" s="446"/>
      <c r="CL192" s="446"/>
      <c r="CM192" s="446"/>
      <c r="CN192" s="446"/>
      <c r="CO192" s="446"/>
      <c r="CP192" s="446"/>
      <c r="CQ192" s="446"/>
      <c r="CR192" s="446"/>
      <c r="CS192" s="446"/>
      <c r="CT192" s="446"/>
      <c r="CU192" s="446"/>
      <c r="CV192" s="446"/>
      <c r="CW192" s="820">
        <v>50</v>
      </c>
      <c r="CX192" s="446"/>
      <c r="CY192" s="446"/>
      <c r="CZ192" s="446"/>
      <c r="DA192" s="446"/>
      <c r="DB192" s="446"/>
      <c r="DC192" s="446"/>
      <c r="DD192" s="446"/>
      <c r="DE192" s="446"/>
      <c r="DF192" s="446"/>
      <c r="DG192" s="446"/>
      <c r="DH192" s="446"/>
      <c r="DI192" s="446"/>
      <c r="DJ192" s="446"/>
      <c r="DK192" s="446"/>
      <c r="DL192" s="446"/>
      <c r="DM192" s="446"/>
      <c r="DN192" s="446"/>
      <c r="DO192" s="446"/>
      <c r="DP192" s="258"/>
      <c r="DQ192" s="258"/>
      <c r="DR192" s="258"/>
      <c r="DS192" s="258"/>
      <c r="DT192" s="258"/>
      <c r="DU192" s="258"/>
      <c r="DV192" s="258"/>
      <c r="DW192" s="258"/>
      <c r="DX192" s="258"/>
      <c r="DY192" s="258"/>
      <c r="DZ192" s="282"/>
      <c r="EA192" s="229"/>
      <c r="EB192" s="229"/>
    </row>
    <row r="193" spans="2:132" s="219" customFormat="1" ht="14.25" hidden="1" customHeight="1" x14ac:dyDescent="0.2">
      <c r="B193" s="811">
        <f ca="1">B142+INT(C192/12)</f>
        <v>2021</v>
      </c>
      <c r="C193" s="811">
        <v>51</v>
      </c>
      <c r="D193" s="828">
        <f t="shared" si="37"/>
        <v>0</v>
      </c>
      <c r="E193" s="822">
        <f t="shared" si="36"/>
        <v>0</v>
      </c>
      <c r="F193" s="829">
        <f t="shared" si="38"/>
        <v>0</v>
      </c>
      <c r="G193" s="829">
        <f t="shared" si="39"/>
        <v>0</v>
      </c>
      <c r="H193" s="830">
        <f t="shared" si="40"/>
        <v>0</v>
      </c>
      <c r="I193" s="831">
        <f t="shared" si="41"/>
        <v>0</v>
      </c>
      <c r="J193" s="829">
        <f>IF(AND(L193&gt;0,L192=0),K133,0)</f>
        <v>0</v>
      </c>
      <c r="K193" s="830">
        <f t="shared" si="42"/>
        <v>0</v>
      </c>
      <c r="L193" s="831">
        <f t="shared" si="43"/>
        <v>0</v>
      </c>
      <c r="M193" s="829">
        <f>IF(AND(O193&gt;0,O192=0),N133,0)</f>
        <v>0</v>
      </c>
      <c r="N193" s="830">
        <f t="shared" si="44"/>
        <v>0</v>
      </c>
      <c r="O193" s="831">
        <f t="shared" si="45"/>
        <v>0</v>
      </c>
      <c r="P193" s="829">
        <f>IF(AND(S193&gt;0,S192=0),Q133,0)</f>
        <v>0</v>
      </c>
      <c r="Q193" s="832">
        <f t="shared" si="46"/>
        <v>0</v>
      </c>
      <c r="S193" s="833">
        <f t="shared" si="47"/>
        <v>0</v>
      </c>
      <c r="T193" s="829">
        <f>IF(AND(V193&gt;0,V192=0),U133,0)</f>
        <v>0</v>
      </c>
      <c r="U193" s="830">
        <f t="shared" si="48"/>
        <v>0</v>
      </c>
      <c r="V193" s="831">
        <f t="shared" si="49"/>
        <v>0</v>
      </c>
      <c r="W193" s="829">
        <f>IF(AND(Y193&gt;0,Y192=0),X133,0)</f>
        <v>0</v>
      </c>
      <c r="X193" s="830">
        <f t="shared" si="50"/>
        <v>0</v>
      </c>
      <c r="Y193" s="831">
        <f t="shared" si="51"/>
        <v>0</v>
      </c>
      <c r="Z193" s="829">
        <f>IF(AND(AB193&gt;0,AB192=0),AA133,0)</f>
        <v>0</v>
      </c>
      <c r="AA193" s="830">
        <f t="shared" si="52"/>
        <v>0</v>
      </c>
      <c r="AB193" s="831">
        <f t="shared" si="53"/>
        <v>0</v>
      </c>
      <c r="AC193" s="829">
        <f>IF(AND(AE193&gt;0,AE192=0),AD133,0)</f>
        <v>0</v>
      </c>
      <c r="AD193" s="830">
        <f t="shared" si="54"/>
        <v>0</v>
      </c>
      <c r="AE193" s="831">
        <f t="shared" si="55"/>
        <v>0</v>
      </c>
      <c r="AF193" s="829">
        <f>IF(AND(AH193&gt;0,AH192=0),AG133,0)</f>
        <v>0</v>
      </c>
      <c r="AG193" s="830">
        <f t="shared" si="56"/>
        <v>0</v>
      </c>
      <c r="AH193" s="831">
        <f t="shared" si="57"/>
        <v>0</v>
      </c>
      <c r="AI193" s="829">
        <f>IF(AND(AK193&gt;0,AK192=0),AJ133,0)</f>
        <v>0</v>
      </c>
      <c r="AJ193" s="830">
        <f t="shared" si="58"/>
        <v>0</v>
      </c>
      <c r="AK193" s="831">
        <f t="shared" si="59"/>
        <v>0</v>
      </c>
      <c r="AL193" s="829">
        <f t="shared" ca="1" si="60"/>
        <v>0</v>
      </c>
      <c r="AM193" s="834"/>
      <c r="AN193" s="831"/>
      <c r="AO193" s="829">
        <f t="shared" ca="1" si="61"/>
        <v>0</v>
      </c>
      <c r="AP193" s="834"/>
      <c r="AQ193" s="831"/>
      <c r="AU193" s="258"/>
      <c r="AV193" s="258"/>
      <c r="AW193" s="258"/>
      <c r="AX193" s="258"/>
      <c r="AY193" s="258"/>
      <c r="AZ193" s="258"/>
      <c r="BA193" s="258"/>
      <c r="BB193" s="258"/>
      <c r="BC193" s="258"/>
      <c r="BD193" s="258"/>
      <c r="BE193" s="258"/>
      <c r="BF193" s="258"/>
      <c r="BG193" s="258"/>
      <c r="BH193" s="258"/>
      <c r="BI193" s="258"/>
      <c r="BJ193" s="258"/>
      <c r="BK193" s="258"/>
      <c r="BL193" s="258"/>
      <c r="BM193" s="258"/>
      <c r="BN193" s="258"/>
      <c r="BO193" s="258"/>
      <c r="BP193" s="258"/>
      <c r="BQ193" s="258"/>
      <c r="BR193" s="258"/>
      <c r="BS193" s="258"/>
      <c r="BT193" s="258"/>
      <c r="BU193" s="257"/>
      <c r="BV193" s="258"/>
      <c r="BW193" s="258"/>
      <c r="BX193" s="258"/>
      <c r="BY193" s="258"/>
      <c r="BZ193" s="446"/>
      <c r="CA193" s="446"/>
      <c r="CB193" s="446"/>
      <c r="CC193" s="446"/>
      <c r="CD193" s="446"/>
      <c r="CE193" s="446"/>
      <c r="CF193" s="446"/>
      <c r="CG193" s="446"/>
      <c r="CH193" s="446"/>
      <c r="CI193" s="446"/>
      <c r="CJ193" s="446"/>
      <c r="CK193" s="446"/>
      <c r="CL193" s="446"/>
      <c r="CM193" s="446"/>
      <c r="CN193" s="446"/>
      <c r="CO193" s="446"/>
      <c r="CP193" s="446"/>
      <c r="CQ193" s="446"/>
      <c r="CR193" s="446"/>
      <c r="CS193" s="446"/>
      <c r="CT193" s="446"/>
      <c r="CU193" s="446"/>
      <c r="CV193" s="446"/>
      <c r="CW193" s="820">
        <v>51</v>
      </c>
      <c r="CX193" s="446"/>
      <c r="CY193" s="446"/>
      <c r="CZ193" s="446"/>
      <c r="DA193" s="446"/>
      <c r="DB193" s="446"/>
      <c r="DC193" s="446"/>
      <c r="DD193" s="446"/>
      <c r="DE193" s="446"/>
      <c r="DF193" s="446"/>
      <c r="DG193" s="446"/>
      <c r="DH193" s="446"/>
      <c r="DI193" s="446"/>
      <c r="DJ193" s="446"/>
      <c r="DK193" s="446"/>
      <c r="DL193" s="446"/>
      <c r="DM193" s="446"/>
      <c r="DN193" s="446"/>
      <c r="DO193" s="446"/>
      <c r="DP193" s="258"/>
      <c r="DQ193" s="258"/>
      <c r="DR193" s="258"/>
      <c r="DS193" s="258"/>
      <c r="DT193" s="258"/>
      <c r="DU193" s="258"/>
      <c r="DV193" s="258"/>
      <c r="DW193" s="258"/>
      <c r="DX193" s="258"/>
      <c r="DY193" s="258"/>
      <c r="DZ193" s="282"/>
      <c r="EA193" s="229"/>
      <c r="EB193" s="229"/>
    </row>
    <row r="194" spans="2:132" s="219" customFormat="1" ht="14.25" hidden="1" customHeight="1" x14ac:dyDescent="0.2">
      <c r="B194" s="811">
        <f ca="1">B142+INT(C193/12)</f>
        <v>2021</v>
      </c>
      <c r="C194" s="811">
        <v>52</v>
      </c>
      <c r="D194" s="828">
        <f t="shared" si="37"/>
        <v>0</v>
      </c>
      <c r="E194" s="822">
        <f t="shared" si="36"/>
        <v>0</v>
      </c>
      <c r="F194" s="829">
        <f t="shared" si="38"/>
        <v>0</v>
      </c>
      <c r="G194" s="829">
        <f t="shared" si="39"/>
        <v>0</v>
      </c>
      <c r="H194" s="830">
        <f t="shared" si="40"/>
        <v>0</v>
      </c>
      <c r="I194" s="831">
        <f t="shared" si="41"/>
        <v>0</v>
      </c>
      <c r="J194" s="829">
        <f>IF(AND(L194&gt;0,L193=0),K133,0)</f>
        <v>0</v>
      </c>
      <c r="K194" s="830">
        <f t="shared" si="42"/>
        <v>0</v>
      </c>
      <c r="L194" s="831">
        <f t="shared" si="43"/>
        <v>0</v>
      </c>
      <c r="M194" s="829">
        <f>IF(AND(O194&gt;0,O193=0),N133,0)</f>
        <v>0</v>
      </c>
      <c r="N194" s="830">
        <f t="shared" si="44"/>
        <v>0</v>
      </c>
      <c r="O194" s="831">
        <f t="shared" si="45"/>
        <v>0</v>
      </c>
      <c r="P194" s="829">
        <f>IF(AND(S194&gt;0,S193=0),Q133,0)</f>
        <v>0</v>
      </c>
      <c r="Q194" s="832">
        <f t="shared" si="46"/>
        <v>0</v>
      </c>
      <c r="S194" s="833">
        <f t="shared" si="47"/>
        <v>0</v>
      </c>
      <c r="T194" s="829">
        <f>IF(AND(V194&gt;0,V193=0),U133,0)</f>
        <v>0</v>
      </c>
      <c r="U194" s="830">
        <f t="shared" si="48"/>
        <v>0</v>
      </c>
      <c r="V194" s="831">
        <f t="shared" si="49"/>
        <v>0</v>
      </c>
      <c r="W194" s="829">
        <f>IF(AND(Y194&gt;0,Y193=0),X133,0)</f>
        <v>0</v>
      </c>
      <c r="X194" s="830">
        <f t="shared" si="50"/>
        <v>0</v>
      </c>
      <c r="Y194" s="831">
        <f t="shared" si="51"/>
        <v>0</v>
      </c>
      <c r="Z194" s="829">
        <f>IF(AND(AB194&gt;0,AB193=0),AA133,0)</f>
        <v>0</v>
      </c>
      <c r="AA194" s="830">
        <f t="shared" si="52"/>
        <v>0</v>
      </c>
      <c r="AB194" s="831">
        <f t="shared" si="53"/>
        <v>0</v>
      </c>
      <c r="AC194" s="829">
        <f>IF(AND(AE194&gt;0,AE193=0),AD133,0)</f>
        <v>0</v>
      </c>
      <c r="AD194" s="830">
        <f t="shared" si="54"/>
        <v>0</v>
      </c>
      <c r="AE194" s="831">
        <f t="shared" si="55"/>
        <v>0</v>
      </c>
      <c r="AF194" s="829">
        <f>IF(AND(AH194&gt;0,AH193=0),AG133,0)</f>
        <v>0</v>
      </c>
      <c r="AG194" s="830">
        <f t="shared" si="56"/>
        <v>0</v>
      </c>
      <c r="AH194" s="831">
        <f t="shared" si="57"/>
        <v>0</v>
      </c>
      <c r="AI194" s="829">
        <f>IF(AND(AK194&gt;0,AK193=0),AJ133,0)</f>
        <v>0</v>
      </c>
      <c r="AJ194" s="830">
        <f t="shared" si="58"/>
        <v>0</v>
      </c>
      <c r="AK194" s="831">
        <f t="shared" si="59"/>
        <v>0</v>
      </c>
      <c r="AL194" s="829">
        <f t="shared" ca="1" si="60"/>
        <v>0</v>
      </c>
      <c r="AM194" s="834"/>
      <c r="AN194" s="831"/>
      <c r="AO194" s="829">
        <f t="shared" ca="1" si="61"/>
        <v>0</v>
      </c>
      <c r="AP194" s="834"/>
      <c r="AQ194" s="831"/>
      <c r="AU194" s="258"/>
      <c r="AV194" s="258"/>
      <c r="AW194" s="258"/>
      <c r="AX194" s="258"/>
      <c r="AY194" s="258"/>
      <c r="AZ194" s="258"/>
      <c r="BA194" s="258"/>
      <c r="BB194" s="258"/>
      <c r="BC194" s="258"/>
      <c r="BD194" s="258"/>
      <c r="BE194" s="258"/>
      <c r="BF194" s="258"/>
      <c r="BG194" s="258"/>
      <c r="BH194" s="258"/>
      <c r="BI194" s="258"/>
      <c r="BJ194" s="258"/>
      <c r="BK194" s="258"/>
      <c r="BL194" s="258"/>
      <c r="BM194" s="258"/>
      <c r="BN194" s="258"/>
      <c r="BO194" s="258"/>
      <c r="BP194" s="258"/>
      <c r="BQ194" s="258"/>
      <c r="BR194" s="258"/>
      <c r="BS194" s="258"/>
      <c r="BT194" s="258"/>
      <c r="BU194" s="257"/>
      <c r="BV194" s="258"/>
      <c r="BW194" s="258"/>
      <c r="BX194" s="258"/>
      <c r="BY194" s="258"/>
      <c r="BZ194" s="446"/>
      <c r="CA194" s="446"/>
      <c r="CB194" s="446"/>
      <c r="CC194" s="446"/>
      <c r="CD194" s="446"/>
      <c r="CE194" s="446"/>
      <c r="CF194" s="446"/>
      <c r="CG194" s="446"/>
      <c r="CH194" s="446"/>
      <c r="CI194" s="446"/>
      <c r="CJ194" s="446"/>
      <c r="CK194" s="446"/>
      <c r="CL194" s="446"/>
      <c r="CM194" s="446"/>
      <c r="CN194" s="446"/>
      <c r="CO194" s="446"/>
      <c r="CP194" s="446"/>
      <c r="CQ194" s="446"/>
      <c r="CR194" s="446"/>
      <c r="CS194" s="446"/>
      <c r="CT194" s="446"/>
      <c r="CU194" s="446"/>
      <c r="CV194" s="446"/>
      <c r="CW194" s="820">
        <v>52</v>
      </c>
      <c r="CX194" s="446"/>
      <c r="CY194" s="446"/>
      <c r="CZ194" s="446"/>
      <c r="DA194" s="446"/>
      <c r="DB194" s="446"/>
      <c r="DC194" s="446"/>
      <c r="DD194" s="446"/>
      <c r="DE194" s="446"/>
      <c r="DF194" s="446"/>
      <c r="DG194" s="446"/>
      <c r="DH194" s="446"/>
      <c r="DI194" s="446"/>
      <c r="DJ194" s="446"/>
      <c r="DK194" s="446"/>
      <c r="DL194" s="446"/>
      <c r="DM194" s="446"/>
      <c r="DN194" s="446"/>
      <c r="DO194" s="446"/>
      <c r="DP194" s="258"/>
      <c r="DQ194" s="258"/>
      <c r="DR194" s="258"/>
      <c r="DS194" s="258"/>
      <c r="DT194" s="258"/>
      <c r="DU194" s="258"/>
      <c r="DV194" s="258"/>
      <c r="DW194" s="258"/>
      <c r="DX194" s="258"/>
      <c r="DY194" s="258"/>
      <c r="DZ194" s="282"/>
      <c r="EA194" s="229"/>
      <c r="EB194" s="229"/>
    </row>
    <row r="195" spans="2:132" s="219" customFormat="1" ht="14.25" hidden="1" customHeight="1" x14ac:dyDescent="0.2">
      <c r="B195" s="811">
        <f ca="1">B142+INT(C194/12)</f>
        <v>2021</v>
      </c>
      <c r="C195" s="811">
        <v>53</v>
      </c>
      <c r="D195" s="828">
        <f t="shared" si="37"/>
        <v>0</v>
      </c>
      <c r="E195" s="822">
        <f t="shared" si="36"/>
        <v>0</v>
      </c>
      <c r="F195" s="829">
        <f t="shared" si="38"/>
        <v>0</v>
      </c>
      <c r="G195" s="829">
        <f t="shared" si="39"/>
        <v>0</v>
      </c>
      <c r="H195" s="830">
        <f t="shared" si="40"/>
        <v>0</v>
      </c>
      <c r="I195" s="831">
        <f t="shared" si="41"/>
        <v>0</v>
      </c>
      <c r="J195" s="829">
        <f>IF(AND(L195&gt;0,L194=0),K133,0)</f>
        <v>0</v>
      </c>
      <c r="K195" s="830">
        <f t="shared" si="42"/>
        <v>0</v>
      </c>
      <c r="L195" s="831">
        <f t="shared" si="43"/>
        <v>0</v>
      </c>
      <c r="M195" s="829">
        <f>IF(AND(O195&gt;0,O194=0),N133,0)</f>
        <v>0</v>
      </c>
      <c r="N195" s="830">
        <f t="shared" si="44"/>
        <v>0</v>
      </c>
      <c r="O195" s="831">
        <f t="shared" si="45"/>
        <v>0</v>
      </c>
      <c r="P195" s="829">
        <f>IF(AND(S195&gt;0,S194=0),Q133,0)</f>
        <v>0</v>
      </c>
      <c r="Q195" s="832">
        <f t="shared" si="46"/>
        <v>0</v>
      </c>
      <c r="S195" s="833">
        <f t="shared" si="47"/>
        <v>0</v>
      </c>
      <c r="T195" s="829">
        <f>IF(AND(V195&gt;0,V194=0),U133,0)</f>
        <v>0</v>
      </c>
      <c r="U195" s="830">
        <f t="shared" si="48"/>
        <v>0</v>
      </c>
      <c r="V195" s="831">
        <f t="shared" si="49"/>
        <v>0</v>
      </c>
      <c r="W195" s="829">
        <f>IF(AND(Y195&gt;0,Y194=0),X133,0)</f>
        <v>0</v>
      </c>
      <c r="X195" s="830">
        <f t="shared" si="50"/>
        <v>0</v>
      </c>
      <c r="Y195" s="831">
        <f t="shared" si="51"/>
        <v>0</v>
      </c>
      <c r="Z195" s="829">
        <f>IF(AND(AB195&gt;0,AB194=0),AA133,0)</f>
        <v>0</v>
      </c>
      <c r="AA195" s="830">
        <f t="shared" si="52"/>
        <v>0</v>
      </c>
      <c r="AB195" s="831">
        <f t="shared" si="53"/>
        <v>0</v>
      </c>
      <c r="AC195" s="829">
        <f>IF(AND(AE195&gt;0,AE194=0),AD133,0)</f>
        <v>0</v>
      </c>
      <c r="AD195" s="830">
        <f t="shared" si="54"/>
        <v>0</v>
      </c>
      <c r="AE195" s="831">
        <f t="shared" si="55"/>
        <v>0</v>
      </c>
      <c r="AF195" s="829">
        <f>IF(AND(AH195&gt;0,AH194=0),AG133,0)</f>
        <v>0</v>
      </c>
      <c r="AG195" s="830">
        <f t="shared" si="56"/>
        <v>0</v>
      </c>
      <c r="AH195" s="831">
        <f t="shared" si="57"/>
        <v>0</v>
      </c>
      <c r="AI195" s="829">
        <f>IF(AND(AK195&gt;0,AK194=0),AJ133,0)</f>
        <v>0</v>
      </c>
      <c r="AJ195" s="830">
        <f t="shared" si="58"/>
        <v>0</v>
      </c>
      <c r="AK195" s="831">
        <f t="shared" si="59"/>
        <v>0</v>
      </c>
      <c r="AL195" s="829">
        <f t="shared" ca="1" si="60"/>
        <v>0</v>
      </c>
      <c r="AM195" s="834"/>
      <c r="AN195" s="831"/>
      <c r="AO195" s="829">
        <f t="shared" ca="1" si="61"/>
        <v>0</v>
      </c>
      <c r="AP195" s="834"/>
      <c r="AQ195" s="831"/>
      <c r="AU195" s="258"/>
      <c r="AV195" s="258"/>
      <c r="AW195" s="258"/>
      <c r="AX195" s="258"/>
      <c r="AY195" s="258"/>
      <c r="AZ195" s="258"/>
      <c r="BA195" s="258"/>
      <c r="BB195" s="258"/>
      <c r="BC195" s="258"/>
      <c r="BD195" s="258"/>
      <c r="BE195" s="258"/>
      <c r="BF195" s="258"/>
      <c r="BG195" s="258"/>
      <c r="BH195" s="258"/>
      <c r="BI195" s="258"/>
      <c r="BJ195" s="258"/>
      <c r="BK195" s="258"/>
      <c r="BL195" s="258"/>
      <c r="BM195" s="258"/>
      <c r="BN195" s="258"/>
      <c r="BO195" s="258"/>
      <c r="BP195" s="258"/>
      <c r="BQ195" s="258"/>
      <c r="BR195" s="258"/>
      <c r="BS195" s="258"/>
      <c r="BT195" s="258"/>
      <c r="BU195" s="257"/>
      <c r="BV195" s="258"/>
      <c r="BW195" s="258"/>
      <c r="BX195" s="258"/>
      <c r="BY195" s="258"/>
      <c r="BZ195" s="446"/>
      <c r="CA195" s="446"/>
      <c r="CB195" s="446"/>
      <c r="CC195" s="446"/>
      <c r="CD195" s="446"/>
      <c r="CE195" s="446"/>
      <c r="CF195" s="446"/>
      <c r="CG195" s="446"/>
      <c r="CH195" s="446"/>
      <c r="CI195" s="446"/>
      <c r="CJ195" s="446"/>
      <c r="CK195" s="446"/>
      <c r="CL195" s="446"/>
      <c r="CM195" s="446"/>
      <c r="CN195" s="446"/>
      <c r="CO195" s="446"/>
      <c r="CP195" s="446"/>
      <c r="CQ195" s="446"/>
      <c r="CR195" s="446"/>
      <c r="CS195" s="446"/>
      <c r="CT195" s="446"/>
      <c r="CU195" s="446"/>
      <c r="CV195" s="446"/>
      <c r="CW195" s="820">
        <v>53</v>
      </c>
      <c r="CX195" s="446"/>
      <c r="CY195" s="446"/>
      <c r="CZ195" s="446"/>
      <c r="DA195" s="446"/>
      <c r="DB195" s="446"/>
      <c r="DC195" s="446"/>
      <c r="DD195" s="446"/>
      <c r="DE195" s="446"/>
      <c r="DF195" s="446"/>
      <c r="DG195" s="446"/>
      <c r="DH195" s="446"/>
      <c r="DI195" s="446"/>
      <c r="DJ195" s="446"/>
      <c r="DK195" s="446"/>
      <c r="DL195" s="446"/>
      <c r="DM195" s="446"/>
      <c r="DN195" s="446"/>
      <c r="DO195" s="446"/>
      <c r="DP195" s="258"/>
      <c r="DQ195" s="258"/>
      <c r="DR195" s="258"/>
      <c r="DS195" s="258"/>
      <c r="DT195" s="258"/>
      <c r="DU195" s="258"/>
      <c r="DV195" s="258"/>
      <c r="DW195" s="258"/>
      <c r="DX195" s="258"/>
      <c r="DY195" s="258"/>
      <c r="DZ195" s="282"/>
      <c r="EA195" s="229"/>
      <c r="EB195" s="229"/>
    </row>
    <row r="196" spans="2:132" s="219" customFormat="1" ht="14.25" hidden="1" customHeight="1" x14ac:dyDescent="0.2">
      <c r="B196" s="811">
        <f ca="1">B142+INT(C195/12)</f>
        <v>2021</v>
      </c>
      <c r="C196" s="811">
        <v>54</v>
      </c>
      <c r="D196" s="828">
        <f t="shared" si="37"/>
        <v>0</v>
      </c>
      <c r="E196" s="822">
        <f t="shared" si="36"/>
        <v>0</v>
      </c>
      <c r="F196" s="829">
        <f t="shared" si="38"/>
        <v>0</v>
      </c>
      <c r="G196" s="829">
        <f t="shared" si="39"/>
        <v>0</v>
      </c>
      <c r="H196" s="830">
        <f t="shared" si="40"/>
        <v>0</v>
      </c>
      <c r="I196" s="831">
        <f t="shared" si="41"/>
        <v>0</v>
      </c>
      <c r="J196" s="829">
        <f>IF(AND(L196&gt;0,L195=0),K133,0)</f>
        <v>0</v>
      </c>
      <c r="K196" s="830">
        <f t="shared" si="42"/>
        <v>0</v>
      </c>
      <c r="L196" s="831">
        <f t="shared" si="43"/>
        <v>0</v>
      </c>
      <c r="M196" s="829">
        <f>IF(AND(O196&gt;0,O195=0),N133,0)</f>
        <v>0</v>
      </c>
      <c r="N196" s="830">
        <f t="shared" si="44"/>
        <v>0</v>
      </c>
      <c r="O196" s="831">
        <f t="shared" si="45"/>
        <v>0</v>
      </c>
      <c r="P196" s="829">
        <f>IF(AND(S196&gt;0,S195=0),Q133,0)</f>
        <v>0</v>
      </c>
      <c r="Q196" s="832">
        <f t="shared" si="46"/>
        <v>0</v>
      </c>
      <c r="S196" s="833">
        <f t="shared" si="47"/>
        <v>0</v>
      </c>
      <c r="T196" s="829">
        <f>IF(AND(V196&gt;0,V195=0),U133,0)</f>
        <v>0</v>
      </c>
      <c r="U196" s="830">
        <f t="shared" si="48"/>
        <v>0</v>
      </c>
      <c r="V196" s="831">
        <f t="shared" si="49"/>
        <v>0</v>
      </c>
      <c r="W196" s="829">
        <f>IF(AND(Y196&gt;0,Y195=0),X133,0)</f>
        <v>0</v>
      </c>
      <c r="X196" s="830">
        <f t="shared" si="50"/>
        <v>0</v>
      </c>
      <c r="Y196" s="831">
        <f t="shared" si="51"/>
        <v>0</v>
      </c>
      <c r="Z196" s="829">
        <f>IF(AND(AB196&gt;0,AB195=0),AA133,0)</f>
        <v>0</v>
      </c>
      <c r="AA196" s="830">
        <f t="shared" si="52"/>
        <v>0</v>
      </c>
      <c r="AB196" s="831">
        <f t="shared" si="53"/>
        <v>0</v>
      </c>
      <c r="AC196" s="829">
        <f>IF(AND(AE196&gt;0,AE195=0),AD133,0)</f>
        <v>0</v>
      </c>
      <c r="AD196" s="830">
        <f t="shared" si="54"/>
        <v>0</v>
      </c>
      <c r="AE196" s="831">
        <f t="shared" si="55"/>
        <v>0</v>
      </c>
      <c r="AF196" s="829">
        <f>IF(AND(AH196&gt;0,AH195=0),AG133,0)</f>
        <v>0</v>
      </c>
      <c r="AG196" s="830">
        <f t="shared" si="56"/>
        <v>0</v>
      </c>
      <c r="AH196" s="831">
        <f t="shared" si="57"/>
        <v>0</v>
      </c>
      <c r="AI196" s="829">
        <f>IF(AND(AK196&gt;0,AK195=0),AJ133,0)</f>
        <v>0</v>
      </c>
      <c r="AJ196" s="830">
        <f t="shared" si="58"/>
        <v>0</v>
      </c>
      <c r="AK196" s="831">
        <f t="shared" si="59"/>
        <v>0</v>
      </c>
      <c r="AL196" s="829">
        <f t="shared" ca="1" si="60"/>
        <v>0</v>
      </c>
      <c r="AM196" s="834"/>
      <c r="AN196" s="831"/>
      <c r="AO196" s="829">
        <f t="shared" ca="1" si="61"/>
        <v>0</v>
      </c>
      <c r="AP196" s="834"/>
      <c r="AQ196" s="831"/>
      <c r="AU196" s="258"/>
      <c r="AV196" s="258"/>
      <c r="AW196" s="258"/>
      <c r="AX196" s="258"/>
      <c r="AY196" s="258"/>
      <c r="AZ196" s="258"/>
      <c r="BA196" s="258"/>
      <c r="BB196" s="258"/>
      <c r="BC196" s="258"/>
      <c r="BD196" s="258"/>
      <c r="BE196" s="258"/>
      <c r="BF196" s="258"/>
      <c r="BG196" s="258"/>
      <c r="BH196" s="258"/>
      <c r="BI196" s="258"/>
      <c r="BJ196" s="258"/>
      <c r="BK196" s="258"/>
      <c r="BL196" s="258"/>
      <c r="BM196" s="258"/>
      <c r="BN196" s="258"/>
      <c r="BO196" s="258"/>
      <c r="BP196" s="258"/>
      <c r="BQ196" s="258"/>
      <c r="BR196" s="258"/>
      <c r="BS196" s="258"/>
      <c r="BT196" s="258"/>
      <c r="BU196" s="257"/>
      <c r="BV196" s="258"/>
      <c r="BW196" s="258"/>
      <c r="BX196" s="258"/>
      <c r="BY196" s="258"/>
      <c r="BZ196" s="446"/>
      <c r="CA196" s="446"/>
      <c r="CB196" s="446"/>
      <c r="CC196" s="446"/>
      <c r="CD196" s="446"/>
      <c r="CE196" s="446"/>
      <c r="CF196" s="446"/>
      <c r="CG196" s="446"/>
      <c r="CH196" s="446"/>
      <c r="CI196" s="446"/>
      <c r="CJ196" s="446"/>
      <c r="CK196" s="446"/>
      <c r="CL196" s="446"/>
      <c r="CM196" s="446"/>
      <c r="CN196" s="446"/>
      <c r="CO196" s="446"/>
      <c r="CP196" s="446"/>
      <c r="CQ196" s="446"/>
      <c r="CR196" s="446"/>
      <c r="CS196" s="446"/>
      <c r="CT196" s="446"/>
      <c r="CU196" s="446"/>
      <c r="CV196" s="446"/>
      <c r="CW196" s="820">
        <v>54</v>
      </c>
      <c r="CX196" s="446"/>
      <c r="CY196" s="446"/>
      <c r="CZ196" s="446"/>
      <c r="DA196" s="446"/>
      <c r="DB196" s="446"/>
      <c r="DC196" s="446"/>
      <c r="DD196" s="446"/>
      <c r="DE196" s="446"/>
      <c r="DF196" s="446"/>
      <c r="DG196" s="446"/>
      <c r="DH196" s="446"/>
      <c r="DI196" s="446"/>
      <c r="DJ196" s="446"/>
      <c r="DK196" s="446"/>
      <c r="DL196" s="446"/>
      <c r="DM196" s="446"/>
      <c r="DN196" s="446"/>
      <c r="DO196" s="446"/>
      <c r="DP196" s="258"/>
      <c r="DQ196" s="258"/>
      <c r="DR196" s="258"/>
      <c r="DS196" s="258"/>
      <c r="DT196" s="258"/>
      <c r="DU196" s="258"/>
      <c r="DV196" s="258"/>
      <c r="DW196" s="258"/>
      <c r="DX196" s="258"/>
      <c r="DY196" s="258"/>
      <c r="DZ196" s="282"/>
      <c r="EA196" s="229"/>
      <c r="EB196" s="229"/>
    </row>
    <row r="197" spans="2:132" s="219" customFormat="1" ht="14.25" hidden="1" customHeight="1" x14ac:dyDescent="0.2">
      <c r="B197" s="811">
        <f ca="1">B142+INT(C196/12)</f>
        <v>2021</v>
      </c>
      <c r="C197" s="811">
        <v>55</v>
      </c>
      <c r="D197" s="828">
        <f t="shared" si="37"/>
        <v>0</v>
      </c>
      <c r="E197" s="822">
        <f t="shared" si="36"/>
        <v>0</v>
      </c>
      <c r="F197" s="829">
        <f t="shared" si="38"/>
        <v>0</v>
      </c>
      <c r="G197" s="829">
        <f t="shared" si="39"/>
        <v>0</v>
      </c>
      <c r="H197" s="830">
        <f t="shared" si="40"/>
        <v>0</v>
      </c>
      <c r="I197" s="831">
        <f t="shared" si="41"/>
        <v>0</v>
      </c>
      <c r="J197" s="829">
        <f>IF(AND(L197&gt;0,L196=0),K133,0)</f>
        <v>0</v>
      </c>
      <c r="K197" s="830">
        <f t="shared" si="42"/>
        <v>0</v>
      </c>
      <c r="L197" s="831">
        <f t="shared" si="43"/>
        <v>0</v>
      </c>
      <c r="M197" s="829">
        <f>IF(AND(O197&gt;0,O196=0),N133,0)</f>
        <v>0</v>
      </c>
      <c r="N197" s="830">
        <f t="shared" si="44"/>
        <v>0</v>
      </c>
      <c r="O197" s="831">
        <f t="shared" si="45"/>
        <v>0</v>
      </c>
      <c r="P197" s="829">
        <f>IF(AND(S197&gt;0,S196=0),Q133,0)</f>
        <v>0</v>
      </c>
      <c r="Q197" s="832">
        <f t="shared" si="46"/>
        <v>0</v>
      </c>
      <c r="S197" s="833">
        <f t="shared" si="47"/>
        <v>0</v>
      </c>
      <c r="T197" s="829">
        <f>IF(AND(V197&gt;0,V196=0),U133,0)</f>
        <v>0</v>
      </c>
      <c r="U197" s="830">
        <f t="shared" si="48"/>
        <v>0</v>
      </c>
      <c r="V197" s="831">
        <f t="shared" si="49"/>
        <v>0</v>
      </c>
      <c r="W197" s="829">
        <f>IF(AND(Y197&gt;0,Y196=0),X133,0)</f>
        <v>0</v>
      </c>
      <c r="X197" s="830">
        <f t="shared" si="50"/>
        <v>0</v>
      </c>
      <c r="Y197" s="831">
        <f t="shared" si="51"/>
        <v>0</v>
      </c>
      <c r="Z197" s="829">
        <f>IF(AND(AB197&gt;0,AB196=0),AA133,0)</f>
        <v>0</v>
      </c>
      <c r="AA197" s="830">
        <f t="shared" si="52"/>
        <v>0</v>
      </c>
      <c r="AB197" s="831">
        <f t="shared" si="53"/>
        <v>0</v>
      </c>
      <c r="AC197" s="829">
        <f>IF(AND(AE197&gt;0,AE196=0),AD133,0)</f>
        <v>0</v>
      </c>
      <c r="AD197" s="830">
        <f t="shared" si="54"/>
        <v>0</v>
      </c>
      <c r="AE197" s="831">
        <f t="shared" si="55"/>
        <v>0</v>
      </c>
      <c r="AF197" s="829">
        <f>IF(AND(AH197&gt;0,AH196=0),AG133,0)</f>
        <v>0</v>
      </c>
      <c r="AG197" s="830">
        <f t="shared" si="56"/>
        <v>0</v>
      </c>
      <c r="AH197" s="831">
        <f t="shared" si="57"/>
        <v>0</v>
      </c>
      <c r="AI197" s="829">
        <f>IF(AND(AK197&gt;0,AK196=0),AJ133,0)</f>
        <v>0</v>
      </c>
      <c r="AJ197" s="830">
        <f t="shared" si="58"/>
        <v>0</v>
      </c>
      <c r="AK197" s="831">
        <f t="shared" si="59"/>
        <v>0</v>
      </c>
      <c r="AL197" s="829">
        <f t="shared" ca="1" si="60"/>
        <v>0</v>
      </c>
      <c r="AM197" s="834"/>
      <c r="AN197" s="831"/>
      <c r="AO197" s="829">
        <f t="shared" ca="1" si="61"/>
        <v>0</v>
      </c>
      <c r="AP197" s="834"/>
      <c r="AQ197" s="831"/>
      <c r="AU197" s="258"/>
      <c r="AV197" s="258"/>
      <c r="AW197" s="258"/>
      <c r="AX197" s="258"/>
      <c r="AY197" s="258"/>
      <c r="AZ197" s="258"/>
      <c r="BA197" s="258"/>
      <c r="BB197" s="258"/>
      <c r="BC197" s="258"/>
      <c r="BD197" s="258"/>
      <c r="BE197" s="258"/>
      <c r="BF197" s="258"/>
      <c r="BG197" s="258"/>
      <c r="BH197" s="258"/>
      <c r="BI197" s="258"/>
      <c r="BJ197" s="258"/>
      <c r="BK197" s="258"/>
      <c r="BL197" s="258"/>
      <c r="BM197" s="258"/>
      <c r="BN197" s="258"/>
      <c r="BO197" s="258"/>
      <c r="BP197" s="258"/>
      <c r="BQ197" s="258"/>
      <c r="BR197" s="258"/>
      <c r="BS197" s="258"/>
      <c r="BT197" s="258"/>
      <c r="BU197" s="257"/>
      <c r="BV197" s="258"/>
      <c r="BW197" s="258"/>
      <c r="BX197" s="258"/>
      <c r="BY197" s="258"/>
      <c r="BZ197" s="446"/>
      <c r="CA197" s="446"/>
      <c r="CB197" s="446"/>
      <c r="CC197" s="446"/>
      <c r="CD197" s="446"/>
      <c r="CE197" s="446"/>
      <c r="CF197" s="446"/>
      <c r="CG197" s="446"/>
      <c r="CH197" s="446"/>
      <c r="CI197" s="446"/>
      <c r="CJ197" s="446"/>
      <c r="CK197" s="446"/>
      <c r="CL197" s="446"/>
      <c r="CM197" s="446"/>
      <c r="CN197" s="446"/>
      <c r="CO197" s="446"/>
      <c r="CP197" s="446"/>
      <c r="CQ197" s="446"/>
      <c r="CR197" s="446"/>
      <c r="CS197" s="446"/>
      <c r="CT197" s="446"/>
      <c r="CU197" s="446"/>
      <c r="CV197" s="446"/>
      <c r="CW197" s="820">
        <v>55</v>
      </c>
      <c r="CX197" s="446"/>
      <c r="CY197" s="446"/>
      <c r="CZ197" s="446"/>
      <c r="DA197" s="446"/>
      <c r="DB197" s="446"/>
      <c r="DC197" s="446"/>
      <c r="DD197" s="446"/>
      <c r="DE197" s="446"/>
      <c r="DF197" s="446"/>
      <c r="DG197" s="446"/>
      <c r="DH197" s="446"/>
      <c r="DI197" s="446"/>
      <c r="DJ197" s="446"/>
      <c r="DK197" s="446"/>
      <c r="DL197" s="446"/>
      <c r="DM197" s="446"/>
      <c r="DN197" s="446"/>
      <c r="DO197" s="446"/>
      <c r="DP197" s="258"/>
      <c r="DQ197" s="258"/>
      <c r="DR197" s="258"/>
      <c r="DS197" s="258"/>
      <c r="DT197" s="258"/>
      <c r="DU197" s="258"/>
      <c r="DV197" s="258"/>
      <c r="DW197" s="258"/>
      <c r="DX197" s="258"/>
      <c r="DY197" s="258"/>
      <c r="DZ197" s="282"/>
      <c r="EA197" s="229"/>
      <c r="EB197" s="229"/>
    </row>
    <row r="198" spans="2:132" s="219" customFormat="1" ht="14.25" hidden="1" customHeight="1" x14ac:dyDescent="0.2">
      <c r="B198" s="811">
        <f ca="1">B142+INT(C197/12)</f>
        <v>2021</v>
      </c>
      <c r="C198" s="811">
        <v>56</v>
      </c>
      <c r="D198" s="828">
        <f t="shared" si="37"/>
        <v>0</v>
      </c>
      <c r="E198" s="822">
        <f t="shared" si="36"/>
        <v>0</v>
      </c>
      <c r="F198" s="829">
        <f t="shared" si="38"/>
        <v>0</v>
      </c>
      <c r="G198" s="829">
        <f t="shared" si="39"/>
        <v>0</v>
      </c>
      <c r="H198" s="830">
        <f t="shared" si="40"/>
        <v>0</v>
      </c>
      <c r="I198" s="831">
        <f t="shared" si="41"/>
        <v>0</v>
      </c>
      <c r="J198" s="829">
        <f>IF(AND(L198&gt;0,L197=0),K133,0)</f>
        <v>0</v>
      </c>
      <c r="K198" s="830">
        <f t="shared" si="42"/>
        <v>0</v>
      </c>
      <c r="L198" s="831">
        <f t="shared" si="43"/>
        <v>0</v>
      </c>
      <c r="M198" s="829">
        <f>IF(AND(O198&gt;0,O197=0),N133,0)</f>
        <v>0</v>
      </c>
      <c r="N198" s="830">
        <f t="shared" si="44"/>
        <v>0</v>
      </c>
      <c r="O198" s="831">
        <f t="shared" si="45"/>
        <v>0</v>
      </c>
      <c r="P198" s="829">
        <f>IF(AND(S198&gt;0,S197=0),Q133,0)</f>
        <v>0</v>
      </c>
      <c r="Q198" s="832">
        <f t="shared" si="46"/>
        <v>0</v>
      </c>
      <c r="S198" s="833">
        <f t="shared" si="47"/>
        <v>0</v>
      </c>
      <c r="T198" s="829">
        <f>IF(AND(V198&gt;0,V197=0),U133,0)</f>
        <v>0</v>
      </c>
      <c r="U198" s="830">
        <f t="shared" si="48"/>
        <v>0</v>
      </c>
      <c r="V198" s="831">
        <f t="shared" si="49"/>
        <v>0</v>
      </c>
      <c r="W198" s="829">
        <f>IF(AND(Y198&gt;0,Y197=0),X133,0)</f>
        <v>0</v>
      </c>
      <c r="X198" s="830">
        <f t="shared" si="50"/>
        <v>0</v>
      </c>
      <c r="Y198" s="831">
        <f t="shared" si="51"/>
        <v>0</v>
      </c>
      <c r="Z198" s="829">
        <f>IF(AND(AB198&gt;0,AB197=0),AA133,0)</f>
        <v>0</v>
      </c>
      <c r="AA198" s="830">
        <f t="shared" si="52"/>
        <v>0</v>
      </c>
      <c r="AB198" s="831">
        <f t="shared" si="53"/>
        <v>0</v>
      </c>
      <c r="AC198" s="829">
        <f>IF(AND(AE198&gt;0,AE197=0),AD133,0)</f>
        <v>0</v>
      </c>
      <c r="AD198" s="830">
        <f t="shared" si="54"/>
        <v>0</v>
      </c>
      <c r="AE198" s="831">
        <f t="shared" si="55"/>
        <v>0</v>
      </c>
      <c r="AF198" s="829">
        <f>IF(AND(AH198&gt;0,AH197=0),AG133,0)</f>
        <v>0</v>
      </c>
      <c r="AG198" s="830">
        <f t="shared" si="56"/>
        <v>0</v>
      </c>
      <c r="AH198" s="831">
        <f t="shared" si="57"/>
        <v>0</v>
      </c>
      <c r="AI198" s="829">
        <f>IF(AND(AK198&gt;0,AK197=0),AJ133,0)</f>
        <v>0</v>
      </c>
      <c r="AJ198" s="830">
        <f t="shared" si="58"/>
        <v>0</v>
      </c>
      <c r="AK198" s="831">
        <f t="shared" si="59"/>
        <v>0</v>
      </c>
      <c r="AL198" s="829">
        <f t="shared" ca="1" si="60"/>
        <v>0</v>
      </c>
      <c r="AM198" s="834"/>
      <c r="AN198" s="831"/>
      <c r="AO198" s="829">
        <f t="shared" ca="1" si="61"/>
        <v>0</v>
      </c>
      <c r="AP198" s="834"/>
      <c r="AQ198" s="831"/>
      <c r="AU198" s="258"/>
      <c r="AV198" s="258"/>
      <c r="AW198" s="258"/>
      <c r="AX198" s="258"/>
      <c r="AY198" s="258"/>
      <c r="AZ198" s="258"/>
      <c r="BA198" s="258"/>
      <c r="BB198" s="258"/>
      <c r="BC198" s="258"/>
      <c r="BD198" s="258"/>
      <c r="BE198" s="258"/>
      <c r="BF198" s="258"/>
      <c r="BG198" s="258"/>
      <c r="BH198" s="258"/>
      <c r="BI198" s="258"/>
      <c r="BJ198" s="258"/>
      <c r="BK198" s="258"/>
      <c r="BL198" s="258"/>
      <c r="BM198" s="258"/>
      <c r="BN198" s="258"/>
      <c r="BO198" s="258"/>
      <c r="BP198" s="258"/>
      <c r="BQ198" s="258"/>
      <c r="BR198" s="258"/>
      <c r="BS198" s="258"/>
      <c r="BT198" s="258"/>
      <c r="BU198" s="257"/>
      <c r="BV198" s="258"/>
      <c r="BW198" s="258"/>
      <c r="BX198" s="258"/>
      <c r="BY198" s="258"/>
      <c r="BZ198" s="446"/>
      <c r="CA198" s="446"/>
      <c r="CB198" s="446"/>
      <c r="CC198" s="446"/>
      <c r="CD198" s="446"/>
      <c r="CE198" s="446"/>
      <c r="CF198" s="446"/>
      <c r="CG198" s="446"/>
      <c r="CH198" s="446"/>
      <c r="CI198" s="446"/>
      <c r="CJ198" s="446"/>
      <c r="CK198" s="446"/>
      <c r="CL198" s="446"/>
      <c r="CM198" s="446"/>
      <c r="CN198" s="446"/>
      <c r="CO198" s="446"/>
      <c r="CP198" s="446"/>
      <c r="CQ198" s="446"/>
      <c r="CR198" s="446"/>
      <c r="CS198" s="446"/>
      <c r="CT198" s="446"/>
      <c r="CU198" s="446"/>
      <c r="CV198" s="446"/>
      <c r="CW198" s="820">
        <v>56</v>
      </c>
      <c r="CX198" s="446"/>
      <c r="CY198" s="446"/>
      <c r="CZ198" s="446"/>
      <c r="DA198" s="446"/>
      <c r="DB198" s="446"/>
      <c r="DC198" s="446"/>
      <c r="DD198" s="446"/>
      <c r="DE198" s="446"/>
      <c r="DF198" s="446"/>
      <c r="DG198" s="446"/>
      <c r="DH198" s="446"/>
      <c r="DI198" s="446"/>
      <c r="DJ198" s="446"/>
      <c r="DK198" s="446"/>
      <c r="DL198" s="446"/>
      <c r="DM198" s="446"/>
      <c r="DN198" s="446"/>
      <c r="DO198" s="446"/>
      <c r="DP198" s="258"/>
      <c r="DQ198" s="258"/>
      <c r="DR198" s="258"/>
      <c r="DS198" s="258"/>
      <c r="DT198" s="258"/>
      <c r="DU198" s="258"/>
      <c r="DV198" s="258"/>
      <c r="DW198" s="258"/>
      <c r="DX198" s="258"/>
      <c r="DY198" s="258"/>
      <c r="DZ198" s="282"/>
      <c r="EA198" s="229"/>
      <c r="EB198" s="229"/>
    </row>
    <row r="199" spans="2:132" s="219" customFormat="1" ht="14.25" hidden="1" customHeight="1" x14ac:dyDescent="0.2">
      <c r="B199" s="811">
        <f ca="1">B142+INT(C198/12)</f>
        <v>2021</v>
      </c>
      <c r="C199" s="811">
        <v>57</v>
      </c>
      <c r="D199" s="828">
        <f t="shared" si="37"/>
        <v>0</v>
      </c>
      <c r="E199" s="822">
        <f t="shared" si="36"/>
        <v>0</v>
      </c>
      <c r="F199" s="829">
        <f t="shared" si="38"/>
        <v>0</v>
      </c>
      <c r="G199" s="829">
        <f t="shared" si="39"/>
        <v>0</v>
      </c>
      <c r="H199" s="830">
        <f t="shared" si="40"/>
        <v>0</v>
      </c>
      <c r="I199" s="831">
        <f t="shared" si="41"/>
        <v>0</v>
      </c>
      <c r="J199" s="829">
        <f>IF(AND(L199&gt;0,L198=0),K133,0)</f>
        <v>0</v>
      </c>
      <c r="K199" s="830">
        <f t="shared" si="42"/>
        <v>0</v>
      </c>
      <c r="L199" s="831">
        <f t="shared" si="43"/>
        <v>0</v>
      </c>
      <c r="M199" s="829">
        <f>IF(AND(O199&gt;0,O198=0),N133,0)</f>
        <v>0</v>
      </c>
      <c r="N199" s="830">
        <f t="shared" si="44"/>
        <v>0</v>
      </c>
      <c r="O199" s="831">
        <f t="shared" si="45"/>
        <v>0</v>
      </c>
      <c r="P199" s="829">
        <f>IF(AND(S199&gt;0,S198=0),Q133,0)</f>
        <v>0</v>
      </c>
      <c r="Q199" s="832">
        <f t="shared" si="46"/>
        <v>0</v>
      </c>
      <c r="S199" s="833">
        <f t="shared" si="47"/>
        <v>0</v>
      </c>
      <c r="T199" s="829">
        <f>IF(AND(V199&gt;0,V198=0),U133,0)</f>
        <v>0</v>
      </c>
      <c r="U199" s="830">
        <f t="shared" si="48"/>
        <v>0</v>
      </c>
      <c r="V199" s="831">
        <f t="shared" si="49"/>
        <v>0</v>
      </c>
      <c r="W199" s="829">
        <f>IF(AND(Y199&gt;0,Y198=0),X133,0)</f>
        <v>0</v>
      </c>
      <c r="X199" s="830">
        <f t="shared" si="50"/>
        <v>0</v>
      </c>
      <c r="Y199" s="831">
        <f t="shared" si="51"/>
        <v>0</v>
      </c>
      <c r="Z199" s="829">
        <f>IF(AND(AB199&gt;0,AB198=0),AA133,0)</f>
        <v>0</v>
      </c>
      <c r="AA199" s="830">
        <f t="shared" si="52"/>
        <v>0</v>
      </c>
      <c r="AB199" s="831">
        <f t="shared" si="53"/>
        <v>0</v>
      </c>
      <c r="AC199" s="829">
        <f>IF(AND(AE199&gt;0,AE198=0),AD133,0)</f>
        <v>0</v>
      </c>
      <c r="AD199" s="830">
        <f t="shared" si="54"/>
        <v>0</v>
      </c>
      <c r="AE199" s="831">
        <f t="shared" si="55"/>
        <v>0</v>
      </c>
      <c r="AF199" s="829">
        <f>IF(AND(AH199&gt;0,AH198=0),AG133,0)</f>
        <v>0</v>
      </c>
      <c r="AG199" s="830">
        <f t="shared" si="56"/>
        <v>0</v>
      </c>
      <c r="AH199" s="831">
        <f t="shared" si="57"/>
        <v>0</v>
      </c>
      <c r="AI199" s="829">
        <f>IF(AND(AK199&gt;0,AK198=0),AJ133,0)</f>
        <v>0</v>
      </c>
      <c r="AJ199" s="830">
        <f t="shared" si="58"/>
        <v>0</v>
      </c>
      <c r="AK199" s="831">
        <f t="shared" si="59"/>
        <v>0</v>
      </c>
      <c r="AL199" s="829">
        <f t="shared" ca="1" si="60"/>
        <v>0</v>
      </c>
      <c r="AM199" s="834"/>
      <c r="AN199" s="831"/>
      <c r="AO199" s="829">
        <f t="shared" ca="1" si="61"/>
        <v>0</v>
      </c>
      <c r="AP199" s="834"/>
      <c r="AQ199" s="831"/>
      <c r="AU199" s="258"/>
      <c r="AV199" s="258"/>
      <c r="AW199" s="258"/>
      <c r="AX199" s="258"/>
      <c r="AY199" s="258"/>
      <c r="AZ199" s="258"/>
      <c r="BA199" s="258"/>
      <c r="BB199" s="258"/>
      <c r="BC199" s="258"/>
      <c r="BD199" s="258"/>
      <c r="BE199" s="258"/>
      <c r="BF199" s="258"/>
      <c r="BG199" s="258"/>
      <c r="BH199" s="258"/>
      <c r="BI199" s="258"/>
      <c r="BJ199" s="258"/>
      <c r="BK199" s="258"/>
      <c r="BL199" s="258"/>
      <c r="BM199" s="258"/>
      <c r="BN199" s="258"/>
      <c r="BO199" s="258"/>
      <c r="BP199" s="258"/>
      <c r="BQ199" s="258"/>
      <c r="BR199" s="258"/>
      <c r="BS199" s="258"/>
      <c r="BT199" s="258"/>
      <c r="BU199" s="257"/>
      <c r="BV199" s="258"/>
      <c r="BW199" s="258"/>
      <c r="BX199" s="258"/>
      <c r="BY199" s="258"/>
      <c r="BZ199" s="446"/>
      <c r="CA199" s="446"/>
      <c r="CB199" s="446"/>
      <c r="CC199" s="446"/>
      <c r="CD199" s="446"/>
      <c r="CE199" s="446"/>
      <c r="CF199" s="446"/>
      <c r="CG199" s="446"/>
      <c r="CH199" s="446"/>
      <c r="CI199" s="446"/>
      <c r="CJ199" s="446"/>
      <c r="CK199" s="446"/>
      <c r="CL199" s="446"/>
      <c r="CM199" s="446"/>
      <c r="CN199" s="446"/>
      <c r="CO199" s="446"/>
      <c r="CP199" s="446"/>
      <c r="CQ199" s="446"/>
      <c r="CR199" s="446"/>
      <c r="CS199" s="446"/>
      <c r="CT199" s="446"/>
      <c r="CU199" s="446"/>
      <c r="CV199" s="446"/>
      <c r="CW199" s="820">
        <v>57</v>
      </c>
      <c r="CX199" s="446"/>
      <c r="CY199" s="446"/>
      <c r="CZ199" s="446"/>
      <c r="DA199" s="446"/>
      <c r="DB199" s="446"/>
      <c r="DC199" s="446"/>
      <c r="DD199" s="446"/>
      <c r="DE199" s="446"/>
      <c r="DF199" s="446"/>
      <c r="DG199" s="446"/>
      <c r="DH199" s="446"/>
      <c r="DI199" s="446"/>
      <c r="DJ199" s="446"/>
      <c r="DK199" s="446"/>
      <c r="DL199" s="446"/>
      <c r="DM199" s="446"/>
      <c r="DN199" s="446"/>
      <c r="DO199" s="446"/>
      <c r="DP199" s="258"/>
      <c r="DQ199" s="258"/>
      <c r="DR199" s="258"/>
      <c r="DS199" s="258"/>
      <c r="DT199" s="258"/>
      <c r="DU199" s="258"/>
      <c r="DV199" s="258"/>
      <c r="DW199" s="258"/>
      <c r="DX199" s="258"/>
      <c r="DY199" s="258"/>
      <c r="DZ199" s="282"/>
      <c r="EA199" s="229"/>
      <c r="EB199" s="229"/>
    </row>
    <row r="200" spans="2:132" s="219" customFormat="1" ht="14.25" hidden="1" customHeight="1" x14ac:dyDescent="0.2">
      <c r="B200" s="811">
        <f ca="1">B142+INT(C199/12)</f>
        <v>2021</v>
      </c>
      <c r="C200" s="811">
        <v>58</v>
      </c>
      <c r="D200" s="828">
        <f t="shared" si="37"/>
        <v>0</v>
      </c>
      <c r="E200" s="822">
        <f t="shared" si="36"/>
        <v>0</v>
      </c>
      <c r="F200" s="829">
        <f t="shared" si="38"/>
        <v>0</v>
      </c>
      <c r="G200" s="829">
        <f t="shared" si="39"/>
        <v>0</v>
      </c>
      <c r="H200" s="830">
        <f t="shared" si="40"/>
        <v>0</v>
      </c>
      <c r="I200" s="831">
        <f t="shared" si="41"/>
        <v>0</v>
      </c>
      <c r="J200" s="829">
        <f>IF(AND(L200&gt;0,L199=0),K133,0)</f>
        <v>0</v>
      </c>
      <c r="K200" s="830">
        <f t="shared" si="42"/>
        <v>0</v>
      </c>
      <c r="L200" s="831">
        <f t="shared" si="43"/>
        <v>0</v>
      </c>
      <c r="M200" s="829">
        <f>IF(AND(O200&gt;0,O199=0),N133,0)</f>
        <v>0</v>
      </c>
      <c r="N200" s="830">
        <f t="shared" si="44"/>
        <v>0</v>
      </c>
      <c r="O200" s="831">
        <f t="shared" si="45"/>
        <v>0</v>
      </c>
      <c r="P200" s="829">
        <f>IF(AND(S200&gt;0,S199=0),Q133,0)</f>
        <v>0</v>
      </c>
      <c r="Q200" s="832">
        <f t="shared" si="46"/>
        <v>0</v>
      </c>
      <c r="S200" s="833">
        <f t="shared" si="47"/>
        <v>0</v>
      </c>
      <c r="T200" s="829">
        <f>IF(AND(V200&gt;0,V199=0),U133,0)</f>
        <v>0</v>
      </c>
      <c r="U200" s="830">
        <f t="shared" si="48"/>
        <v>0</v>
      </c>
      <c r="V200" s="831">
        <f t="shared" si="49"/>
        <v>0</v>
      </c>
      <c r="W200" s="829">
        <f>IF(AND(Y200&gt;0,Y199=0),X133,0)</f>
        <v>0</v>
      </c>
      <c r="X200" s="830">
        <f t="shared" si="50"/>
        <v>0</v>
      </c>
      <c r="Y200" s="831">
        <f t="shared" si="51"/>
        <v>0</v>
      </c>
      <c r="Z200" s="829">
        <f>IF(AND(AB200&gt;0,AB199=0),AA133,0)</f>
        <v>0</v>
      </c>
      <c r="AA200" s="830">
        <f t="shared" si="52"/>
        <v>0</v>
      </c>
      <c r="AB200" s="831">
        <f t="shared" si="53"/>
        <v>0</v>
      </c>
      <c r="AC200" s="829">
        <f>IF(AND(AE200&gt;0,AE199=0),AD133,0)</f>
        <v>0</v>
      </c>
      <c r="AD200" s="830">
        <f t="shared" si="54"/>
        <v>0</v>
      </c>
      <c r="AE200" s="831">
        <f t="shared" si="55"/>
        <v>0</v>
      </c>
      <c r="AF200" s="829">
        <f>IF(AND(AH200&gt;0,AH199=0),AG133,0)</f>
        <v>0</v>
      </c>
      <c r="AG200" s="830">
        <f t="shared" si="56"/>
        <v>0</v>
      </c>
      <c r="AH200" s="831">
        <f t="shared" si="57"/>
        <v>0</v>
      </c>
      <c r="AI200" s="829">
        <f>IF(AND(AK200&gt;0,AK199=0),AJ133,0)</f>
        <v>0</v>
      </c>
      <c r="AJ200" s="830">
        <f t="shared" si="58"/>
        <v>0</v>
      </c>
      <c r="AK200" s="831">
        <f t="shared" si="59"/>
        <v>0</v>
      </c>
      <c r="AL200" s="829">
        <f t="shared" ca="1" si="60"/>
        <v>0</v>
      </c>
      <c r="AM200" s="834"/>
      <c r="AN200" s="831"/>
      <c r="AO200" s="829">
        <f t="shared" ca="1" si="61"/>
        <v>0</v>
      </c>
      <c r="AP200" s="834"/>
      <c r="AQ200" s="831"/>
      <c r="AU200" s="258"/>
      <c r="AV200" s="258"/>
      <c r="AW200" s="258"/>
      <c r="AX200" s="258"/>
      <c r="AY200" s="258"/>
      <c r="AZ200" s="258"/>
      <c r="BA200" s="258"/>
      <c r="BB200" s="258"/>
      <c r="BC200" s="258"/>
      <c r="BD200" s="258"/>
      <c r="BE200" s="258"/>
      <c r="BF200" s="258"/>
      <c r="BG200" s="258"/>
      <c r="BH200" s="258"/>
      <c r="BI200" s="258"/>
      <c r="BJ200" s="258"/>
      <c r="BK200" s="258"/>
      <c r="BL200" s="258"/>
      <c r="BM200" s="258"/>
      <c r="BN200" s="258"/>
      <c r="BO200" s="258"/>
      <c r="BP200" s="258"/>
      <c r="BQ200" s="258"/>
      <c r="BR200" s="258"/>
      <c r="BS200" s="258"/>
      <c r="BT200" s="258"/>
      <c r="BU200" s="257"/>
      <c r="BV200" s="258"/>
      <c r="BW200" s="258"/>
      <c r="BX200" s="258"/>
      <c r="BY200" s="258"/>
      <c r="BZ200" s="446"/>
      <c r="CA200" s="446"/>
      <c r="CB200" s="446"/>
      <c r="CC200" s="446"/>
      <c r="CD200" s="446"/>
      <c r="CE200" s="446"/>
      <c r="CF200" s="446"/>
      <c r="CG200" s="446"/>
      <c r="CH200" s="446"/>
      <c r="CI200" s="446"/>
      <c r="CJ200" s="446"/>
      <c r="CK200" s="446"/>
      <c r="CL200" s="446"/>
      <c r="CM200" s="446"/>
      <c r="CN200" s="446"/>
      <c r="CO200" s="446"/>
      <c r="CP200" s="446"/>
      <c r="CQ200" s="446"/>
      <c r="CR200" s="446"/>
      <c r="CS200" s="446"/>
      <c r="CT200" s="446"/>
      <c r="CU200" s="446"/>
      <c r="CV200" s="446"/>
      <c r="CW200" s="820">
        <v>58</v>
      </c>
      <c r="CX200" s="446"/>
      <c r="CY200" s="446"/>
      <c r="CZ200" s="446"/>
      <c r="DA200" s="446"/>
      <c r="DB200" s="446"/>
      <c r="DC200" s="446"/>
      <c r="DD200" s="446"/>
      <c r="DE200" s="446"/>
      <c r="DF200" s="446"/>
      <c r="DG200" s="446"/>
      <c r="DH200" s="446"/>
      <c r="DI200" s="446"/>
      <c r="DJ200" s="446"/>
      <c r="DK200" s="446"/>
      <c r="DL200" s="446"/>
      <c r="DM200" s="446"/>
      <c r="DN200" s="446"/>
      <c r="DO200" s="446"/>
      <c r="DP200" s="258"/>
      <c r="DQ200" s="258"/>
      <c r="DR200" s="258"/>
      <c r="DS200" s="258"/>
      <c r="DT200" s="258"/>
      <c r="DU200" s="258"/>
      <c r="DV200" s="258"/>
      <c r="DW200" s="258"/>
      <c r="DX200" s="258"/>
      <c r="DY200" s="258"/>
      <c r="DZ200" s="282"/>
      <c r="EA200" s="229"/>
      <c r="EB200" s="229"/>
    </row>
    <row r="201" spans="2:132" s="219" customFormat="1" ht="14.25" hidden="1" customHeight="1" x14ac:dyDescent="0.2">
      <c r="B201" s="811">
        <f ca="1">B142+INT(C200/12)</f>
        <v>2021</v>
      </c>
      <c r="C201" s="811">
        <v>59</v>
      </c>
      <c r="D201" s="828">
        <f t="shared" si="37"/>
        <v>0</v>
      </c>
      <c r="E201" s="822">
        <f t="shared" si="36"/>
        <v>0</v>
      </c>
      <c r="F201" s="829">
        <f t="shared" si="38"/>
        <v>0</v>
      </c>
      <c r="G201" s="829">
        <f t="shared" si="39"/>
        <v>0</v>
      </c>
      <c r="H201" s="830">
        <f t="shared" si="40"/>
        <v>0</v>
      </c>
      <c r="I201" s="831">
        <f t="shared" si="41"/>
        <v>0</v>
      </c>
      <c r="J201" s="829">
        <f>IF(AND(L201&gt;0,L200=0),K133,0)</f>
        <v>0</v>
      </c>
      <c r="K201" s="830">
        <f t="shared" si="42"/>
        <v>0</v>
      </c>
      <c r="L201" s="831">
        <f t="shared" si="43"/>
        <v>0</v>
      </c>
      <c r="M201" s="829">
        <f>IF(AND(O201&gt;0,O200=0),N133,0)</f>
        <v>0</v>
      </c>
      <c r="N201" s="830">
        <f t="shared" si="44"/>
        <v>0</v>
      </c>
      <c r="O201" s="831">
        <f t="shared" si="45"/>
        <v>0</v>
      </c>
      <c r="P201" s="829">
        <f>IF(AND(S201&gt;0,S200=0),Q133,0)</f>
        <v>0</v>
      </c>
      <c r="Q201" s="832">
        <f t="shared" si="46"/>
        <v>0</v>
      </c>
      <c r="S201" s="833">
        <f t="shared" si="47"/>
        <v>0</v>
      </c>
      <c r="T201" s="829">
        <f>IF(AND(V201&gt;0,V200=0),U133,0)</f>
        <v>0</v>
      </c>
      <c r="U201" s="830">
        <f t="shared" si="48"/>
        <v>0</v>
      </c>
      <c r="V201" s="831">
        <f t="shared" si="49"/>
        <v>0</v>
      </c>
      <c r="W201" s="829">
        <f>IF(AND(Y201&gt;0,Y200=0),X133,0)</f>
        <v>0</v>
      </c>
      <c r="X201" s="830">
        <f t="shared" si="50"/>
        <v>0</v>
      </c>
      <c r="Y201" s="831">
        <f t="shared" si="51"/>
        <v>0</v>
      </c>
      <c r="Z201" s="829">
        <f>IF(AND(AB201&gt;0,AB200=0),AA133,0)</f>
        <v>0</v>
      </c>
      <c r="AA201" s="830">
        <f t="shared" si="52"/>
        <v>0</v>
      </c>
      <c r="AB201" s="831">
        <f t="shared" si="53"/>
        <v>0</v>
      </c>
      <c r="AC201" s="829">
        <f>IF(AND(AE201&gt;0,AE200=0),AD133,0)</f>
        <v>0</v>
      </c>
      <c r="AD201" s="830">
        <f t="shared" si="54"/>
        <v>0</v>
      </c>
      <c r="AE201" s="831">
        <f t="shared" si="55"/>
        <v>0</v>
      </c>
      <c r="AF201" s="829">
        <f>IF(AND(AH201&gt;0,AH200=0),AG133,0)</f>
        <v>0</v>
      </c>
      <c r="AG201" s="830">
        <f t="shared" si="56"/>
        <v>0</v>
      </c>
      <c r="AH201" s="831">
        <f t="shared" si="57"/>
        <v>0</v>
      </c>
      <c r="AI201" s="829">
        <f>IF(AND(AK201&gt;0,AK200=0),AJ133,0)</f>
        <v>0</v>
      </c>
      <c r="AJ201" s="830">
        <f t="shared" si="58"/>
        <v>0</v>
      </c>
      <c r="AK201" s="831">
        <f t="shared" si="59"/>
        <v>0</v>
      </c>
      <c r="AL201" s="829">
        <f t="shared" ca="1" si="60"/>
        <v>0</v>
      </c>
      <c r="AM201" s="834"/>
      <c r="AN201" s="831"/>
      <c r="AO201" s="829">
        <f t="shared" ca="1" si="61"/>
        <v>0</v>
      </c>
      <c r="AP201" s="834"/>
      <c r="AQ201" s="831"/>
      <c r="AU201" s="258"/>
      <c r="AV201" s="258"/>
      <c r="AW201" s="258"/>
      <c r="AX201" s="258"/>
      <c r="AY201" s="258"/>
      <c r="AZ201" s="258"/>
      <c r="BA201" s="258"/>
      <c r="BB201" s="258"/>
      <c r="BC201" s="258"/>
      <c r="BD201" s="258"/>
      <c r="BE201" s="258"/>
      <c r="BF201" s="258"/>
      <c r="BG201" s="258"/>
      <c r="BH201" s="258"/>
      <c r="BI201" s="258"/>
      <c r="BJ201" s="258"/>
      <c r="BK201" s="258"/>
      <c r="BL201" s="258"/>
      <c r="BM201" s="258"/>
      <c r="BN201" s="258"/>
      <c r="BO201" s="258"/>
      <c r="BP201" s="258"/>
      <c r="BQ201" s="258"/>
      <c r="BR201" s="258"/>
      <c r="BS201" s="258"/>
      <c r="BT201" s="258"/>
      <c r="BU201" s="257"/>
      <c r="BV201" s="258"/>
      <c r="BW201" s="258"/>
      <c r="BX201" s="258"/>
      <c r="BY201" s="258"/>
      <c r="BZ201" s="446"/>
      <c r="CA201" s="446"/>
      <c r="CB201" s="446"/>
      <c r="CC201" s="446"/>
      <c r="CD201" s="446"/>
      <c r="CE201" s="446"/>
      <c r="CF201" s="446"/>
      <c r="CG201" s="446"/>
      <c r="CH201" s="446"/>
      <c r="CI201" s="446"/>
      <c r="CJ201" s="446"/>
      <c r="CK201" s="446"/>
      <c r="CL201" s="446"/>
      <c r="CM201" s="446"/>
      <c r="CN201" s="446"/>
      <c r="CO201" s="446"/>
      <c r="CP201" s="446"/>
      <c r="CQ201" s="446"/>
      <c r="CR201" s="446"/>
      <c r="CS201" s="446"/>
      <c r="CT201" s="446"/>
      <c r="CU201" s="446"/>
      <c r="CV201" s="446"/>
      <c r="CW201" s="820">
        <v>59</v>
      </c>
      <c r="CX201" s="446"/>
      <c r="CY201" s="446"/>
      <c r="CZ201" s="446"/>
      <c r="DA201" s="446"/>
      <c r="DB201" s="446"/>
      <c r="DC201" s="446"/>
      <c r="DD201" s="446"/>
      <c r="DE201" s="446"/>
      <c r="DF201" s="446"/>
      <c r="DG201" s="446"/>
      <c r="DH201" s="446"/>
      <c r="DI201" s="446"/>
      <c r="DJ201" s="446"/>
      <c r="DK201" s="446"/>
      <c r="DL201" s="446"/>
      <c r="DM201" s="446"/>
      <c r="DN201" s="446"/>
      <c r="DO201" s="446"/>
      <c r="DP201" s="258"/>
      <c r="DQ201" s="258"/>
      <c r="DR201" s="258"/>
      <c r="DS201" s="258"/>
      <c r="DT201" s="258"/>
      <c r="DU201" s="258"/>
      <c r="DV201" s="258"/>
      <c r="DW201" s="258"/>
      <c r="DX201" s="258"/>
      <c r="DY201" s="258"/>
      <c r="DZ201" s="282"/>
      <c r="EA201" s="229"/>
      <c r="EB201" s="229"/>
    </row>
    <row r="202" spans="2:132" s="219" customFormat="1" ht="14.25" hidden="1" customHeight="1" x14ac:dyDescent="0.2">
      <c r="B202" s="812">
        <f ca="1">B142+INT(C201/12)</f>
        <v>2021</v>
      </c>
      <c r="C202" s="812">
        <v>60</v>
      </c>
      <c r="D202" s="835">
        <f t="shared" si="37"/>
        <v>0</v>
      </c>
      <c r="E202" s="822">
        <f t="shared" si="36"/>
        <v>0</v>
      </c>
      <c r="F202" s="836">
        <f t="shared" si="38"/>
        <v>0</v>
      </c>
      <c r="G202" s="836">
        <f t="shared" si="39"/>
        <v>0</v>
      </c>
      <c r="H202" s="837">
        <f t="shared" si="40"/>
        <v>0</v>
      </c>
      <c r="I202" s="838">
        <f t="shared" si="41"/>
        <v>0</v>
      </c>
      <c r="J202" s="836">
        <f>IF(AND(L202&gt;0,L201=0),K133,0)</f>
        <v>0</v>
      </c>
      <c r="K202" s="837">
        <f t="shared" si="42"/>
        <v>0</v>
      </c>
      <c r="L202" s="838">
        <f t="shared" si="43"/>
        <v>0</v>
      </c>
      <c r="M202" s="836">
        <f>IF(AND(O202&gt;0,O201=0),N133,0)</f>
        <v>0</v>
      </c>
      <c r="N202" s="837">
        <f t="shared" si="44"/>
        <v>0</v>
      </c>
      <c r="O202" s="838">
        <f t="shared" si="45"/>
        <v>0</v>
      </c>
      <c r="P202" s="836">
        <f>IF(AND(S202&gt;0,S201=0),Q133,0)</f>
        <v>0</v>
      </c>
      <c r="Q202" s="839">
        <f t="shared" si="46"/>
        <v>0</v>
      </c>
      <c r="S202" s="840">
        <f t="shared" si="47"/>
        <v>0</v>
      </c>
      <c r="T202" s="836">
        <f>IF(AND(V202&gt;0,V201=0),U133,0)</f>
        <v>0</v>
      </c>
      <c r="U202" s="837">
        <f t="shared" si="48"/>
        <v>0</v>
      </c>
      <c r="V202" s="838">
        <f t="shared" si="49"/>
        <v>0</v>
      </c>
      <c r="W202" s="836">
        <f>IF(AND(Y202&gt;0,Y201=0),X133,0)</f>
        <v>0</v>
      </c>
      <c r="X202" s="837">
        <f t="shared" si="50"/>
        <v>0</v>
      </c>
      <c r="Y202" s="838">
        <f t="shared" si="51"/>
        <v>0</v>
      </c>
      <c r="Z202" s="836">
        <f>IF(AND(AB202&gt;0,AB201=0),AA133,0)</f>
        <v>0</v>
      </c>
      <c r="AA202" s="837">
        <f t="shared" si="52"/>
        <v>0</v>
      </c>
      <c r="AB202" s="838">
        <f t="shared" si="53"/>
        <v>0</v>
      </c>
      <c r="AC202" s="836">
        <f>IF(AND(AE202&gt;0,AE201=0),AD133,0)</f>
        <v>0</v>
      </c>
      <c r="AD202" s="837">
        <f t="shared" si="54"/>
        <v>0</v>
      </c>
      <c r="AE202" s="838">
        <f t="shared" si="55"/>
        <v>0</v>
      </c>
      <c r="AF202" s="836">
        <f>IF(AND(AH202&gt;0,AH201=0),AG133,0)</f>
        <v>0</v>
      </c>
      <c r="AG202" s="837">
        <f t="shared" si="56"/>
        <v>0</v>
      </c>
      <c r="AH202" s="838">
        <f t="shared" si="57"/>
        <v>0</v>
      </c>
      <c r="AI202" s="836">
        <f>IF(AND(AK202&gt;0,AK201=0),AJ133,0)</f>
        <v>0</v>
      </c>
      <c r="AJ202" s="837">
        <f t="shared" si="58"/>
        <v>0</v>
      </c>
      <c r="AK202" s="838">
        <f t="shared" si="59"/>
        <v>0</v>
      </c>
      <c r="AL202" s="836">
        <f t="shared" ca="1" si="60"/>
        <v>0</v>
      </c>
      <c r="AM202" s="842"/>
      <c r="AN202" s="838"/>
      <c r="AO202" s="836">
        <f t="shared" ca="1" si="61"/>
        <v>0</v>
      </c>
      <c r="AP202" s="842"/>
      <c r="AQ202" s="838"/>
      <c r="AU202" s="258"/>
      <c r="AV202" s="258"/>
      <c r="AW202" s="258"/>
      <c r="AX202" s="258"/>
      <c r="AY202" s="258"/>
      <c r="AZ202" s="258"/>
      <c r="BA202" s="258"/>
      <c r="BB202" s="258"/>
      <c r="BC202" s="258"/>
      <c r="BD202" s="258"/>
      <c r="BE202" s="258"/>
      <c r="BF202" s="258"/>
      <c r="BG202" s="258"/>
      <c r="BH202" s="258"/>
      <c r="BI202" s="258"/>
      <c r="BJ202" s="258"/>
      <c r="BK202" s="258"/>
      <c r="BL202" s="258"/>
      <c r="BM202" s="258"/>
      <c r="BN202" s="258"/>
      <c r="BO202" s="258"/>
      <c r="BP202" s="258"/>
      <c r="BQ202" s="258"/>
      <c r="BR202" s="258"/>
      <c r="BS202" s="258"/>
      <c r="BT202" s="258"/>
      <c r="BU202" s="257"/>
      <c r="BV202" s="258"/>
      <c r="BW202" s="258"/>
      <c r="BX202" s="258"/>
      <c r="BY202" s="258"/>
      <c r="BZ202" s="446"/>
      <c r="CA202" s="446"/>
      <c r="CB202" s="446"/>
      <c r="CC202" s="446"/>
      <c r="CD202" s="446"/>
      <c r="CE202" s="446"/>
      <c r="CF202" s="446"/>
      <c r="CG202" s="446"/>
      <c r="CH202" s="446"/>
      <c r="CI202" s="446"/>
      <c r="CJ202" s="446"/>
      <c r="CK202" s="446"/>
      <c r="CL202" s="446"/>
      <c r="CM202" s="446"/>
      <c r="CN202" s="446"/>
      <c r="CO202" s="446"/>
      <c r="CP202" s="446"/>
      <c r="CQ202" s="446"/>
      <c r="CR202" s="446"/>
      <c r="CS202" s="446"/>
      <c r="CT202" s="446"/>
      <c r="CU202" s="446"/>
      <c r="CV202" s="446"/>
      <c r="CW202" s="820">
        <v>60</v>
      </c>
      <c r="CX202" s="446"/>
      <c r="CY202" s="446"/>
      <c r="CZ202" s="446"/>
      <c r="DA202" s="446"/>
      <c r="DB202" s="446"/>
      <c r="DC202" s="446"/>
      <c r="DD202" s="446"/>
      <c r="DE202" s="446"/>
      <c r="DF202" s="446"/>
      <c r="DG202" s="446"/>
      <c r="DH202" s="446"/>
      <c r="DI202" s="446"/>
      <c r="DJ202" s="446"/>
      <c r="DK202" s="446"/>
      <c r="DL202" s="446"/>
      <c r="DM202" s="446"/>
      <c r="DN202" s="446"/>
      <c r="DO202" s="446"/>
      <c r="DP202" s="258"/>
      <c r="DQ202" s="258"/>
      <c r="DR202" s="258"/>
      <c r="DS202" s="258"/>
      <c r="DT202" s="258"/>
      <c r="DU202" s="258"/>
      <c r="DV202" s="258"/>
      <c r="DW202" s="258"/>
      <c r="DX202" s="258"/>
      <c r="DY202" s="258"/>
      <c r="DZ202" s="282"/>
      <c r="EA202" s="229"/>
      <c r="EB202" s="229"/>
    </row>
    <row r="203" spans="2:132" s="219" customFormat="1" ht="14.25" hidden="1" customHeight="1" x14ac:dyDescent="0.2">
      <c r="D203" s="251"/>
      <c r="E203" s="251"/>
      <c r="F203" s="251"/>
      <c r="G203" s="251"/>
      <c r="H203" s="251"/>
      <c r="I203" s="251"/>
      <c r="J203" s="251"/>
      <c r="K203" s="251"/>
      <c r="L203" s="251"/>
      <c r="M203" s="251"/>
      <c r="N203" s="253"/>
      <c r="O203" s="251"/>
      <c r="P203" s="251"/>
      <c r="Q203" s="707"/>
      <c r="R203" s="707"/>
      <c r="S203" s="252"/>
      <c r="T203" s="251"/>
      <c r="U203" s="251"/>
      <c r="V203" s="251"/>
      <c r="W203" s="251"/>
      <c r="X203" s="251"/>
      <c r="Y203" s="255"/>
      <c r="AB203" s="256"/>
      <c r="AC203" s="256"/>
      <c r="AD203" s="257"/>
      <c r="AE203" s="258"/>
      <c r="AF203" s="258"/>
      <c r="AG203" s="258"/>
      <c r="AH203" s="258"/>
      <c r="AI203" s="258"/>
      <c r="AJ203" s="258"/>
      <c r="AK203" s="258"/>
      <c r="AL203" s="258"/>
      <c r="AM203" s="258"/>
      <c r="AN203" s="258"/>
      <c r="AO203" s="258"/>
      <c r="AP203" s="258"/>
      <c r="AQ203" s="258"/>
      <c r="AR203" s="258"/>
      <c r="AS203" s="258"/>
      <c r="AT203" s="258"/>
      <c r="AU203" s="258"/>
      <c r="AV203" s="258"/>
      <c r="AW203" s="258"/>
      <c r="AX203" s="258"/>
      <c r="AY203" s="258"/>
      <c r="AZ203" s="258"/>
      <c r="BA203" s="258"/>
      <c r="BB203" s="258"/>
      <c r="BC203" s="258"/>
      <c r="BD203" s="258"/>
      <c r="BE203" s="258"/>
      <c r="BF203" s="258"/>
      <c r="BG203" s="258"/>
      <c r="BH203" s="258"/>
      <c r="BI203" s="258"/>
      <c r="BJ203" s="258"/>
      <c r="BK203" s="258"/>
      <c r="BL203" s="258"/>
      <c r="BM203" s="258"/>
      <c r="BN203" s="258"/>
      <c r="BO203" s="258"/>
      <c r="BP203" s="258"/>
      <c r="BQ203" s="258"/>
      <c r="BR203" s="258"/>
      <c r="BS203" s="258"/>
      <c r="BT203" s="258"/>
      <c r="BU203" s="257"/>
      <c r="BV203" s="258"/>
      <c r="BW203" s="258"/>
      <c r="BX203" s="258"/>
      <c r="BY203" s="258"/>
      <c r="BZ203" s="446"/>
      <c r="CA203" s="446"/>
      <c r="CB203" s="446"/>
      <c r="CC203" s="446"/>
      <c r="CD203" s="446"/>
      <c r="CE203" s="446"/>
      <c r="CF203" s="446"/>
      <c r="CG203" s="446"/>
      <c r="CH203" s="446"/>
      <c r="CI203" s="446"/>
      <c r="CJ203" s="446"/>
      <c r="CK203" s="446"/>
      <c r="CL203" s="446"/>
      <c r="CM203" s="446"/>
      <c r="CN203" s="446"/>
      <c r="CO203" s="446"/>
      <c r="CP203" s="446"/>
      <c r="CQ203" s="446"/>
      <c r="CR203" s="446"/>
      <c r="CS203" s="446"/>
      <c r="CT203" s="446"/>
      <c r="CU203" s="446"/>
      <c r="CV203" s="446"/>
      <c r="CW203" s="233"/>
      <c r="CX203" s="446"/>
      <c r="CY203" s="446"/>
      <c r="CZ203" s="446"/>
      <c r="DA203" s="446"/>
      <c r="DB203" s="446"/>
      <c r="DC203" s="446"/>
      <c r="DD203" s="446"/>
      <c r="DE203" s="446"/>
      <c r="DF203" s="446"/>
      <c r="DG203" s="446"/>
      <c r="DH203" s="446"/>
      <c r="DI203" s="446"/>
      <c r="DJ203" s="446"/>
      <c r="DK203" s="446"/>
      <c r="DL203" s="446"/>
      <c r="DM203" s="446"/>
      <c r="DN203" s="446"/>
      <c r="DO203" s="446"/>
      <c r="DP203" s="258"/>
      <c r="DQ203" s="258"/>
      <c r="DR203" s="258"/>
      <c r="DS203" s="258"/>
      <c r="DT203" s="258"/>
      <c r="DU203" s="258"/>
      <c r="DV203" s="258"/>
      <c r="DW203" s="258"/>
      <c r="DX203" s="258"/>
      <c r="DY203" s="258"/>
      <c r="DZ203" s="282"/>
      <c r="EA203" s="229"/>
      <c r="EB203" s="229"/>
    </row>
    <row r="204" spans="2:132" s="219" customFormat="1" ht="14.25" hidden="1" customHeight="1" x14ac:dyDescent="0.2">
      <c r="D204" s="251"/>
      <c r="E204" s="251"/>
      <c r="F204" s="251"/>
      <c r="G204" s="251"/>
      <c r="H204" s="251"/>
      <c r="I204" s="251"/>
      <c r="J204" s="251"/>
      <c r="K204" s="251"/>
      <c r="L204" s="251"/>
      <c r="M204" s="251"/>
      <c r="N204" s="253"/>
      <c r="O204" s="251"/>
      <c r="P204" s="251"/>
      <c r="Q204" s="707"/>
      <c r="R204" s="707"/>
      <c r="S204" s="252"/>
      <c r="T204" s="251"/>
      <c r="U204" s="251"/>
      <c r="V204" s="251"/>
      <c r="W204" s="251"/>
      <c r="X204" s="251"/>
      <c r="Y204" s="255"/>
      <c r="AB204" s="256"/>
      <c r="AC204" s="256"/>
      <c r="AD204" s="257"/>
      <c r="AE204" s="258"/>
      <c r="AF204" s="258"/>
      <c r="AG204" s="258"/>
      <c r="AH204" s="258"/>
      <c r="AI204" s="258"/>
      <c r="AJ204" s="258"/>
      <c r="AK204" s="258"/>
      <c r="AL204" s="258"/>
      <c r="AM204" s="258"/>
      <c r="AN204" s="258"/>
      <c r="AO204" s="258"/>
      <c r="AP204" s="258"/>
      <c r="AQ204" s="258"/>
      <c r="AR204" s="258"/>
      <c r="AS204" s="258"/>
      <c r="AT204" s="258"/>
      <c r="AU204" s="258"/>
      <c r="AV204" s="258"/>
      <c r="AW204" s="258"/>
      <c r="AX204" s="258"/>
      <c r="AY204" s="258"/>
      <c r="AZ204" s="258"/>
      <c r="BA204" s="258"/>
      <c r="BB204" s="258"/>
      <c r="BC204" s="258"/>
      <c r="BD204" s="258"/>
      <c r="BE204" s="258"/>
      <c r="BF204" s="258"/>
      <c r="BG204" s="258"/>
      <c r="BH204" s="258"/>
      <c r="BI204" s="258"/>
      <c r="BJ204" s="258"/>
      <c r="BK204" s="258"/>
      <c r="BL204" s="258"/>
      <c r="BM204" s="258"/>
      <c r="BN204" s="258"/>
      <c r="BO204" s="258"/>
      <c r="BP204" s="258"/>
      <c r="BQ204" s="258"/>
      <c r="BR204" s="258"/>
      <c r="BS204" s="258"/>
      <c r="BT204" s="258"/>
      <c r="BU204" s="257"/>
      <c r="BV204" s="258"/>
      <c r="BW204" s="258"/>
      <c r="BX204" s="258"/>
      <c r="BY204" s="258"/>
      <c r="BZ204" s="446"/>
      <c r="CA204" s="446"/>
      <c r="CB204" s="446"/>
      <c r="CC204" s="446"/>
      <c r="CD204" s="446"/>
      <c r="CE204" s="446"/>
      <c r="CF204" s="446"/>
      <c r="CG204" s="446"/>
      <c r="CH204" s="446"/>
      <c r="CI204" s="446"/>
      <c r="CJ204" s="446"/>
      <c r="CK204" s="446"/>
      <c r="CL204" s="446"/>
      <c r="CM204" s="446"/>
      <c r="CN204" s="446"/>
      <c r="CO204" s="446"/>
      <c r="CP204" s="446"/>
      <c r="CQ204" s="446"/>
      <c r="CR204" s="446"/>
      <c r="CS204" s="446"/>
      <c r="CT204" s="446"/>
      <c r="CU204" s="446"/>
      <c r="CV204" s="446"/>
      <c r="CW204" s="233"/>
      <c r="CX204" s="446"/>
      <c r="CY204" s="446"/>
      <c r="CZ204" s="446"/>
      <c r="DA204" s="446"/>
      <c r="DB204" s="446"/>
      <c r="DC204" s="446"/>
      <c r="DD204" s="446"/>
      <c r="DE204" s="446"/>
      <c r="DF204" s="446"/>
      <c r="DG204" s="446"/>
      <c r="DH204" s="446"/>
      <c r="DI204" s="446"/>
      <c r="DJ204" s="446"/>
      <c r="DK204" s="446"/>
      <c r="DL204" s="446"/>
      <c r="DM204" s="446"/>
      <c r="DN204" s="446"/>
      <c r="DO204" s="446"/>
      <c r="DP204" s="258"/>
      <c r="DQ204" s="258"/>
      <c r="DR204" s="258"/>
      <c r="DS204" s="258"/>
      <c r="DT204" s="258"/>
      <c r="DU204" s="258"/>
      <c r="DV204" s="258"/>
      <c r="DW204" s="258"/>
      <c r="DX204" s="258"/>
      <c r="DY204" s="258"/>
      <c r="DZ204" s="282"/>
      <c r="EA204" s="229"/>
      <c r="EB204" s="229"/>
    </row>
    <row r="205" spans="2:132" s="219" customFormat="1" ht="14.25" hidden="1" customHeight="1" x14ac:dyDescent="0.2">
      <c r="D205" s="251"/>
      <c r="E205" s="251"/>
      <c r="F205" s="251"/>
      <c r="G205" s="251"/>
      <c r="H205" s="251"/>
      <c r="I205" s="251"/>
      <c r="J205" s="251"/>
      <c r="K205" s="251"/>
      <c r="L205" s="251"/>
      <c r="M205" s="251"/>
      <c r="N205" s="253"/>
      <c r="O205" s="251"/>
      <c r="P205" s="251"/>
      <c r="Q205" s="707"/>
      <c r="R205" s="707"/>
      <c r="S205" s="252"/>
      <c r="T205" s="251"/>
      <c r="U205" s="251"/>
      <c r="V205" s="251"/>
      <c r="W205" s="251"/>
      <c r="X205" s="251"/>
      <c r="Y205" s="255"/>
      <c r="AB205" s="256"/>
      <c r="AC205" s="256"/>
      <c r="AD205" s="257"/>
      <c r="AE205" s="258"/>
      <c r="AF205" s="258"/>
      <c r="AG205" s="258"/>
      <c r="AH205" s="258"/>
      <c r="AI205" s="258"/>
      <c r="AJ205" s="258"/>
      <c r="AK205" s="258"/>
      <c r="AL205" s="258"/>
      <c r="AM205" s="258"/>
      <c r="AN205" s="258"/>
      <c r="AO205" s="258"/>
      <c r="AP205" s="258"/>
      <c r="AQ205" s="258"/>
      <c r="AR205" s="258"/>
      <c r="AS205" s="258"/>
      <c r="AT205" s="258"/>
      <c r="AU205" s="258"/>
      <c r="AV205" s="258"/>
      <c r="AW205" s="258"/>
      <c r="AX205" s="258"/>
      <c r="AY205" s="258"/>
      <c r="AZ205" s="258"/>
      <c r="BA205" s="258"/>
      <c r="BB205" s="258"/>
      <c r="BC205" s="258"/>
      <c r="BD205" s="258"/>
      <c r="BE205" s="258"/>
      <c r="BF205" s="258"/>
      <c r="BG205" s="258"/>
      <c r="BH205" s="258"/>
      <c r="BI205" s="258"/>
      <c r="BJ205" s="258"/>
      <c r="BK205" s="258"/>
      <c r="BL205" s="258"/>
      <c r="BM205" s="258"/>
      <c r="BN205" s="258"/>
      <c r="BO205" s="258"/>
      <c r="BP205" s="258"/>
      <c r="BQ205" s="258"/>
      <c r="BR205" s="258"/>
      <c r="BS205" s="258"/>
      <c r="BT205" s="258"/>
      <c r="BU205" s="257"/>
      <c r="BV205" s="258"/>
      <c r="BW205" s="258"/>
      <c r="BX205" s="258"/>
      <c r="BY205" s="258"/>
      <c r="BZ205" s="446"/>
      <c r="CA205" s="446"/>
      <c r="CB205" s="446"/>
      <c r="CC205" s="446"/>
      <c r="CD205" s="446"/>
      <c r="CE205" s="446"/>
      <c r="CF205" s="446"/>
      <c r="CG205" s="446"/>
      <c r="CH205" s="446"/>
      <c r="CI205" s="446"/>
      <c r="CJ205" s="446"/>
      <c r="CK205" s="446"/>
      <c r="CL205" s="446"/>
      <c r="CM205" s="446"/>
      <c r="CN205" s="446"/>
      <c r="CO205" s="446"/>
      <c r="CP205" s="446"/>
      <c r="CQ205" s="446"/>
      <c r="CR205" s="446"/>
      <c r="CS205" s="446"/>
      <c r="CT205" s="446"/>
      <c r="CU205" s="446"/>
      <c r="CV205" s="446"/>
      <c r="CW205" s="233"/>
      <c r="CX205" s="446"/>
      <c r="CY205" s="446"/>
      <c r="CZ205" s="446"/>
      <c r="DA205" s="446"/>
      <c r="DB205" s="446"/>
      <c r="DC205" s="446"/>
      <c r="DD205" s="446"/>
      <c r="DE205" s="446"/>
      <c r="DF205" s="446"/>
      <c r="DG205" s="446"/>
      <c r="DH205" s="446"/>
      <c r="DI205" s="446"/>
      <c r="DJ205" s="446"/>
      <c r="DK205" s="446"/>
      <c r="DL205" s="446"/>
      <c r="DM205" s="446"/>
      <c r="DN205" s="446"/>
      <c r="DO205" s="446"/>
      <c r="DP205" s="258"/>
      <c r="DQ205" s="258"/>
      <c r="DR205" s="258"/>
      <c r="DS205" s="258"/>
      <c r="DT205" s="258"/>
      <c r="DU205" s="258"/>
      <c r="DV205" s="258"/>
      <c r="DW205" s="258"/>
      <c r="DX205" s="258"/>
      <c r="DY205" s="258"/>
      <c r="DZ205" s="282"/>
      <c r="EA205" s="229"/>
      <c r="EB205" s="229"/>
    </row>
    <row r="206" spans="2:132" s="219" customFormat="1" ht="14.25" hidden="1" customHeight="1" x14ac:dyDescent="0.2">
      <c r="D206" s="251"/>
      <c r="E206" s="251"/>
      <c r="F206" s="251"/>
      <c r="G206" s="251"/>
      <c r="H206" s="251"/>
      <c r="I206" s="251"/>
      <c r="J206" s="251"/>
      <c r="K206" s="251"/>
      <c r="L206" s="251"/>
      <c r="M206" s="251"/>
      <c r="N206" s="253"/>
      <c r="O206" s="251"/>
      <c r="P206" s="251"/>
      <c r="Q206" s="707"/>
      <c r="R206" s="707"/>
      <c r="S206" s="252"/>
      <c r="T206" s="251"/>
      <c r="U206" s="251"/>
      <c r="V206" s="251"/>
      <c r="W206" s="251"/>
      <c r="X206" s="251"/>
      <c r="Y206" s="255"/>
      <c r="AB206" s="256"/>
      <c r="AC206" s="256"/>
      <c r="AD206" s="257"/>
      <c r="AE206" s="258"/>
      <c r="AF206" s="258"/>
      <c r="AG206" s="258"/>
      <c r="AH206" s="258"/>
      <c r="AI206" s="258"/>
      <c r="AJ206" s="258"/>
      <c r="AK206" s="258"/>
      <c r="AL206" s="258"/>
      <c r="AM206" s="258"/>
      <c r="AN206" s="258"/>
      <c r="AO206" s="258"/>
      <c r="AP206" s="258"/>
      <c r="AQ206" s="258"/>
      <c r="AR206" s="258"/>
      <c r="AS206" s="258"/>
      <c r="AT206" s="258"/>
      <c r="AU206" s="258"/>
      <c r="AV206" s="258"/>
      <c r="AW206" s="258"/>
      <c r="AX206" s="258"/>
      <c r="AY206" s="258"/>
      <c r="AZ206" s="258"/>
      <c r="BA206" s="258"/>
      <c r="BB206" s="258"/>
      <c r="BC206" s="258"/>
      <c r="BD206" s="258"/>
      <c r="BE206" s="258"/>
      <c r="BF206" s="258"/>
      <c r="BG206" s="258"/>
      <c r="BH206" s="258"/>
      <c r="BI206" s="258"/>
      <c r="BJ206" s="258"/>
      <c r="BK206" s="258"/>
      <c r="BL206" s="258"/>
      <c r="BM206" s="258"/>
      <c r="BN206" s="258"/>
      <c r="BO206" s="258"/>
      <c r="BP206" s="258"/>
      <c r="BQ206" s="258"/>
      <c r="BR206" s="258"/>
      <c r="BS206" s="258"/>
      <c r="BT206" s="258"/>
      <c r="BU206" s="257"/>
      <c r="BV206" s="258"/>
      <c r="BW206" s="258"/>
      <c r="BX206" s="258"/>
      <c r="BY206" s="258"/>
      <c r="BZ206" s="446"/>
      <c r="CA206" s="446"/>
      <c r="CB206" s="446"/>
      <c r="CC206" s="446"/>
      <c r="CD206" s="446"/>
      <c r="CE206" s="446"/>
      <c r="CF206" s="446"/>
      <c r="CG206" s="446"/>
      <c r="CH206" s="446"/>
      <c r="CI206" s="446"/>
      <c r="CJ206" s="446"/>
      <c r="CK206" s="446"/>
      <c r="CL206" s="446"/>
      <c r="CM206" s="446"/>
      <c r="CN206" s="446"/>
      <c r="CO206" s="446"/>
      <c r="CP206" s="446"/>
      <c r="CQ206" s="446"/>
      <c r="CR206" s="446"/>
      <c r="CS206" s="446"/>
      <c r="CT206" s="446"/>
      <c r="CU206" s="446"/>
      <c r="CV206" s="446"/>
      <c r="CW206" s="233"/>
      <c r="CX206" s="446"/>
      <c r="CY206" s="446"/>
      <c r="CZ206" s="446"/>
      <c r="DA206" s="446"/>
      <c r="DB206" s="446"/>
      <c r="DC206" s="446"/>
      <c r="DD206" s="446"/>
      <c r="DE206" s="446"/>
      <c r="DF206" s="446"/>
      <c r="DG206" s="446"/>
      <c r="DH206" s="446"/>
      <c r="DI206" s="446"/>
      <c r="DJ206" s="446"/>
      <c r="DK206" s="446"/>
      <c r="DL206" s="446"/>
      <c r="DM206" s="446"/>
      <c r="DN206" s="446"/>
      <c r="DO206" s="446"/>
      <c r="DP206" s="258"/>
      <c r="DQ206" s="258"/>
      <c r="DR206" s="258"/>
      <c r="DS206" s="258"/>
      <c r="DT206" s="258"/>
      <c r="DU206" s="258"/>
      <c r="DV206" s="258"/>
      <c r="DW206" s="258"/>
      <c r="DX206" s="258"/>
      <c r="DY206" s="258"/>
      <c r="DZ206" s="282"/>
      <c r="EA206" s="229"/>
      <c r="EB206" s="229"/>
    </row>
    <row r="207" spans="2:132" s="219" customFormat="1" ht="14.25" hidden="1" customHeight="1" x14ac:dyDescent="0.2">
      <c r="D207" s="251"/>
      <c r="E207" s="251"/>
      <c r="F207" s="251"/>
      <c r="G207" s="251"/>
      <c r="H207" s="251"/>
      <c r="I207" s="251"/>
      <c r="J207" s="251"/>
      <c r="K207" s="251"/>
      <c r="L207" s="251"/>
      <c r="M207" s="251"/>
      <c r="N207" s="253"/>
      <c r="O207" s="251"/>
      <c r="P207" s="251"/>
      <c r="Q207" s="707"/>
      <c r="R207" s="707"/>
      <c r="S207" s="252"/>
      <c r="T207" s="251"/>
      <c r="U207" s="251"/>
      <c r="V207" s="251"/>
      <c r="W207" s="251"/>
      <c r="X207" s="251"/>
      <c r="Y207" s="255"/>
      <c r="AB207" s="256"/>
      <c r="AC207" s="256"/>
      <c r="AD207" s="257"/>
      <c r="AE207" s="258"/>
      <c r="AF207" s="258"/>
      <c r="AG207" s="258"/>
      <c r="AH207" s="258"/>
      <c r="AI207" s="258"/>
      <c r="AJ207" s="258"/>
      <c r="AK207" s="258"/>
      <c r="AL207" s="258"/>
      <c r="AM207" s="258"/>
      <c r="AN207" s="258"/>
      <c r="AO207" s="258"/>
      <c r="AP207" s="258"/>
      <c r="AQ207" s="258"/>
      <c r="AR207" s="258"/>
      <c r="AS207" s="258"/>
      <c r="AT207" s="258"/>
      <c r="AU207" s="258"/>
      <c r="AV207" s="258"/>
      <c r="AW207" s="258"/>
      <c r="AX207" s="258"/>
      <c r="AY207" s="258"/>
      <c r="AZ207" s="258"/>
      <c r="BA207" s="258"/>
      <c r="BB207" s="258"/>
      <c r="BC207" s="258"/>
      <c r="BD207" s="258"/>
      <c r="BE207" s="258"/>
      <c r="BF207" s="258"/>
      <c r="BG207" s="258"/>
      <c r="BH207" s="258"/>
      <c r="BI207" s="258"/>
      <c r="BJ207" s="258"/>
      <c r="BK207" s="258"/>
      <c r="BL207" s="258"/>
      <c r="BM207" s="258"/>
      <c r="BN207" s="258"/>
      <c r="BO207" s="258"/>
      <c r="BP207" s="258"/>
      <c r="BQ207" s="258"/>
      <c r="BR207" s="258"/>
      <c r="BS207" s="258"/>
      <c r="BT207" s="258"/>
      <c r="BU207" s="257"/>
      <c r="BV207" s="258"/>
      <c r="BW207" s="258"/>
      <c r="BX207" s="258"/>
      <c r="BY207" s="258"/>
      <c r="BZ207" s="446"/>
      <c r="CA207" s="446"/>
      <c r="CB207" s="446"/>
      <c r="CC207" s="446"/>
      <c r="CD207" s="446"/>
      <c r="CE207" s="446"/>
      <c r="CF207" s="446"/>
      <c r="CG207" s="446"/>
      <c r="CH207" s="446"/>
      <c r="CI207" s="446"/>
      <c r="CJ207" s="446"/>
      <c r="CK207" s="446"/>
      <c r="CL207" s="446"/>
      <c r="CM207" s="446"/>
      <c r="CN207" s="446"/>
      <c r="CO207" s="446"/>
      <c r="CP207" s="446"/>
      <c r="CQ207" s="446"/>
      <c r="CR207" s="446"/>
      <c r="CS207" s="446"/>
      <c r="CT207" s="446"/>
      <c r="CU207" s="446"/>
      <c r="CV207" s="446"/>
      <c r="CW207" s="233"/>
      <c r="CX207" s="446"/>
      <c r="CY207" s="446"/>
      <c r="CZ207" s="446"/>
      <c r="DA207" s="446"/>
      <c r="DB207" s="446"/>
      <c r="DC207" s="446"/>
      <c r="DD207" s="446"/>
      <c r="DE207" s="446"/>
      <c r="DF207" s="446"/>
      <c r="DG207" s="446"/>
      <c r="DH207" s="446"/>
      <c r="DI207" s="446"/>
      <c r="DJ207" s="446"/>
      <c r="DK207" s="446"/>
      <c r="DL207" s="446"/>
      <c r="DM207" s="446"/>
      <c r="DN207" s="446"/>
      <c r="DO207" s="446"/>
      <c r="DP207" s="258"/>
      <c r="DQ207" s="258"/>
      <c r="DR207" s="258"/>
      <c r="DS207" s="258"/>
      <c r="DT207" s="258"/>
      <c r="DU207" s="258"/>
      <c r="DV207" s="258"/>
      <c r="DW207" s="258"/>
      <c r="DX207" s="258"/>
      <c r="DY207" s="258"/>
      <c r="DZ207" s="282"/>
      <c r="EA207" s="229"/>
      <c r="EB207" s="229"/>
    </row>
    <row r="208" spans="2:132" s="219" customFormat="1" ht="14.25" hidden="1" customHeight="1" x14ac:dyDescent="0.2">
      <c r="D208" s="251"/>
      <c r="E208" s="251"/>
      <c r="F208" s="251"/>
      <c r="H208" s="251"/>
      <c r="I208" s="251"/>
      <c r="J208" s="251"/>
      <c r="K208" s="251"/>
      <c r="L208" s="251"/>
      <c r="M208" s="251"/>
      <c r="N208" s="253"/>
      <c r="O208" s="251"/>
      <c r="P208" s="251"/>
      <c r="Q208" s="707"/>
      <c r="R208" s="707"/>
      <c r="S208" s="252"/>
      <c r="T208" s="251"/>
      <c r="U208" s="251"/>
      <c r="V208" s="251"/>
      <c r="W208" s="251"/>
      <c r="X208" s="251"/>
      <c r="Y208" s="255"/>
      <c r="AB208" s="256"/>
      <c r="AC208" s="256"/>
      <c r="AD208" s="257"/>
      <c r="AE208" s="258"/>
      <c r="AF208" s="258"/>
      <c r="AG208" s="258"/>
      <c r="AH208" s="258"/>
      <c r="AI208" s="258"/>
      <c r="AJ208" s="258"/>
      <c r="AK208" s="258"/>
      <c r="AL208" s="258"/>
      <c r="AM208" s="258"/>
      <c r="AN208" s="258"/>
      <c r="AO208" s="258"/>
      <c r="AP208" s="258"/>
      <c r="AQ208" s="258"/>
      <c r="AR208" s="258"/>
      <c r="AS208" s="258"/>
      <c r="AT208" s="258"/>
      <c r="AU208" s="258"/>
      <c r="AV208" s="258"/>
      <c r="AW208" s="258"/>
      <c r="AX208" s="258"/>
      <c r="AY208" s="258"/>
      <c r="AZ208" s="258"/>
      <c r="BA208" s="258"/>
      <c r="BB208" s="258"/>
      <c r="BC208" s="258"/>
      <c r="BD208" s="258"/>
      <c r="BE208" s="258"/>
      <c r="BF208" s="258"/>
      <c r="BG208" s="258"/>
      <c r="BH208" s="258"/>
      <c r="BI208" s="258"/>
      <c r="BJ208" s="258"/>
      <c r="BK208" s="258"/>
      <c r="BL208" s="258"/>
      <c r="BM208" s="258"/>
      <c r="BN208" s="258"/>
      <c r="BO208" s="258"/>
      <c r="BP208" s="258"/>
      <c r="BQ208" s="258"/>
      <c r="BR208" s="258"/>
      <c r="BS208" s="258"/>
      <c r="BT208" s="258"/>
      <c r="BU208" s="257"/>
      <c r="BV208" s="258"/>
      <c r="BW208" s="258"/>
      <c r="BX208" s="258"/>
      <c r="BY208" s="258"/>
      <c r="BZ208" s="446"/>
      <c r="CA208" s="446"/>
      <c r="CB208" s="446"/>
      <c r="CC208" s="446"/>
      <c r="CD208" s="446"/>
      <c r="CE208" s="446"/>
      <c r="CF208" s="446"/>
      <c r="CG208" s="446"/>
      <c r="CH208" s="446"/>
      <c r="CI208" s="446"/>
      <c r="CJ208" s="446"/>
      <c r="CK208" s="446"/>
      <c r="CL208" s="446"/>
      <c r="CM208" s="446"/>
      <c r="CN208" s="446"/>
      <c r="CO208" s="446"/>
      <c r="CP208" s="446"/>
      <c r="CQ208" s="446"/>
      <c r="CR208" s="446"/>
      <c r="CS208" s="446"/>
      <c r="CT208" s="446"/>
      <c r="CU208" s="446"/>
      <c r="CV208" s="446"/>
      <c r="CW208" s="233"/>
      <c r="CX208" s="446"/>
      <c r="CY208" s="446"/>
      <c r="CZ208" s="446"/>
      <c r="DA208" s="446"/>
      <c r="DB208" s="446"/>
      <c r="DC208" s="446"/>
      <c r="DD208" s="446"/>
      <c r="DE208" s="446"/>
      <c r="DF208" s="446"/>
      <c r="DG208" s="446"/>
      <c r="DH208" s="446"/>
      <c r="DI208" s="446"/>
      <c r="DJ208" s="446"/>
      <c r="DK208" s="446"/>
      <c r="DL208" s="446"/>
      <c r="DM208" s="446"/>
      <c r="DN208" s="446"/>
      <c r="DO208" s="446"/>
      <c r="DP208" s="258"/>
      <c r="DQ208" s="258"/>
      <c r="DR208" s="258"/>
      <c r="DS208" s="258"/>
      <c r="DT208" s="258"/>
      <c r="DU208" s="258"/>
      <c r="DV208" s="258"/>
      <c r="DW208" s="258"/>
      <c r="DX208" s="258"/>
      <c r="DY208" s="258"/>
      <c r="DZ208" s="282"/>
      <c r="EA208" s="229"/>
      <c r="EB208" s="229"/>
    </row>
    <row r="209" spans="2:130" s="229" customFormat="1" ht="14.25" hidden="1" customHeight="1" x14ac:dyDescent="0.2">
      <c r="D209" s="789"/>
      <c r="E209" s="789"/>
      <c r="F209" s="789"/>
      <c r="G209" s="789"/>
      <c r="H209" s="789"/>
      <c r="I209" s="843"/>
      <c r="J209" s="805"/>
      <c r="K209" s="843"/>
      <c r="L209" s="805"/>
      <c r="M209" s="843"/>
      <c r="N209" s="805"/>
      <c r="O209" s="843"/>
      <c r="P209" s="805"/>
      <c r="Q209" s="843"/>
      <c r="R209" s="843"/>
      <c r="S209" s="278"/>
      <c r="T209" s="843"/>
      <c r="U209" s="805"/>
      <c r="V209" s="843"/>
      <c r="W209" s="805"/>
      <c r="X209" s="843"/>
      <c r="Y209" s="805"/>
      <c r="Z209" s="843"/>
      <c r="AA209" s="805"/>
      <c r="AB209" s="843"/>
      <c r="AC209" s="805"/>
      <c r="AD209" s="843"/>
      <c r="AE209" s="805"/>
      <c r="AF209" s="843"/>
      <c r="AG209" s="805"/>
      <c r="AH209" s="258"/>
      <c r="AI209" s="258"/>
      <c r="AJ209" s="258"/>
      <c r="AK209" s="258"/>
      <c r="AL209" s="258"/>
      <c r="AM209" s="258"/>
      <c r="AN209" s="258"/>
      <c r="AO209" s="258"/>
      <c r="AP209" s="258"/>
      <c r="AQ209" s="258"/>
      <c r="AR209" s="258"/>
      <c r="AS209" s="258"/>
      <c r="AT209" s="258"/>
      <c r="AU209" s="258"/>
      <c r="AV209" s="258"/>
      <c r="AW209" s="258"/>
      <c r="AX209" s="258"/>
      <c r="AY209" s="258"/>
      <c r="AZ209" s="258"/>
      <c r="BA209" s="258"/>
      <c r="BB209" s="258"/>
      <c r="BC209" s="258"/>
      <c r="BD209" s="258"/>
      <c r="BE209" s="258"/>
      <c r="BF209" s="258"/>
      <c r="BG209" s="258"/>
      <c r="BH209" s="258"/>
      <c r="BI209" s="258"/>
      <c r="BJ209" s="258"/>
      <c r="BK209" s="258"/>
      <c r="BL209" s="258"/>
      <c r="BM209" s="258"/>
      <c r="BN209" s="258"/>
      <c r="BO209" s="258"/>
      <c r="BP209" s="258"/>
      <c r="BQ209" s="258"/>
      <c r="BR209" s="258"/>
      <c r="BS209" s="258"/>
      <c r="BT209" s="258"/>
      <c r="BU209" s="257"/>
      <c r="BV209" s="258"/>
      <c r="BW209" s="258"/>
      <c r="BX209" s="258"/>
      <c r="BY209" s="258"/>
      <c r="BZ209" s="446"/>
      <c r="CA209" s="446"/>
      <c r="CB209" s="446"/>
      <c r="CC209" s="446"/>
      <c r="CD209" s="446"/>
      <c r="CE209" s="446"/>
      <c r="CF209" s="446"/>
      <c r="CG209" s="446"/>
      <c r="CH209" s="446"/>
      <c r="CI209" s="446"/>
      <c r="CJ209" s="446"/>
      <c r="CK209" s="446"/>
      <c r="CL209" s="446"/>
      <c r="CM209" s="446"/>
      <c r="CN209" s="446"/>
      <c r="CO209" s="446"/>
      <c r="CP209" s="446"/>
      <c r="CQ209" s="446"/>
      <c r="CR209" s="446"/>
      <c r="CS209" s="446"/>
      <c r="CT209" s="446"/>
      <c r="CU209" s="446"/>
      <c r="CV209" s="446"/>
      <c r="CW209" s="233"/>
      <c r="CX209" s="446"/>
      <c r="CY209" s="446"/>
      <c r="CZ209" s="446"/>
      <c r="DA209" s="446"/>
      <c r="DB209" s="446"/>
      <c r="DC209" s="446"/>
      <c r="DD209" s="446"/>
      <c r="DE209" s="446"/>
      <c r="DF209" s="446"/>
      <c r="DG209" s="446"/>
      <c r="DH209" s="446"/>
      <c r="DI209" s="446"/>
      <c r="DJ209" s="446"/>
      <c r="DK209" s="446"/>
      <c r="DL209" s="446"/>
      <c r="DM209" s="446"/>
      <c r="DN209" s="446"/>
      <c r="DO209" s="446"/>
      <c r="DP209" s="258"/>
      <c r="DQ209" s="258"/>
      <c r="DR209" s="258"/>
      <c r="DS209" s="258"/>
      <c r="DT209" s="258"/>
      <c r="DU209" s="258"/>
      <c r="DV209" s="258"/>
      <c r="DW209" s="258"/>
      <c r="DX209" s="258"/>
      <c r="DY209" s="258"/>
      <c r="DZ209" s="792"/>
    </row>
    <row r="210" spans="2:130" s="229" customFormat="1" ht="14.25" hidden="1" customHeight="1" x14ac:dyDescent="0.2">
      <c r="D210" s="789"/>
      <c r="E210" s="789"/>
      <c r="F210" s="789"/>
      <c r="G210" s="789"/>
      <c r="H210" s="789"/>
      <c r="I210" s="844"/>
      <c r="J210" s="805"/>
      <c r="K210" s="844"/>
      <c r="L210" s="805"/>
      <c r="M210" s="844"/>
      <c r="N210" s="805"/>
      <c r="O210" s="844"/>
      <c r="P210" s="805"/>
      <c r="Q210" s="844"/>
      <c r="R210" s="844"/>
      <c r="S210" s="278"/>
      <c r="T210" s="844"/>
      <c r="U210" s="805"/>
      <c r="V210" s="844"/>
      <c r="W210" s="805"/>
      <c r="X210" s="844"/>
      <c r="Y210" s="805"/>
      <c r="Z210" s="844"/>
      <c r="AA210" s="805"/>
      <c r="AB210" s="844"/>
      <c r="AC210" s="805"/>
      <c r="AD210" s="844"/>
      <c r="AE210" s="805"/>
      <c r="AF210" s="844"/>
      <c r="AG210" s="805"/>
      <c r="AH210" s="258"/>
      <c r="AI210" s="258"/>
      <c r="AJ210" s="258"/>
      <c r="AK210" s="258"/>
      <c r="AL210" s="258"/>
      <c r="AM210" s="258"/>
      <c r="AN210" s="258"/>
      <c r="AO210" s="258"/>
      <c r="AP210" s="258"/>
      <c r="AQ210" s="258"/>
      <c r="AR210" s="258"/>
      <c r="AS210" s="258"/>
      <c r="AT210" s="258"/>
      <c r="AU210" s="258"/>
      <c r="AV210" s="258"/>
      <c r="AW210" s="258"/>
      <c r="AX210" s="258"/>
      <c r="AY210" s="258"/>
      <c r="AZ210" s="258"/>
      <c r="BA210" s="258"/>
      <c r="BB210" s="258"/>
      <c r="BC210" s="258"/>
      <c r="BD210" s="258"/>
      <c r="BE210" s="258"/>
      <c r="BF210" s="258"/>
      <c r="BG210" s="258"/>
      <c r="BH210" s="258"/>
      <c r="BI210" s="258"/>
      <c r="BJ210" s="258"/>
      <c r="BK210" s="258"/>
      <c r="BL210" s="258"/>
      <c r="BM210" s="258"/>
      <c r="BN210" s="258"/>
      <c r="BO210" s="258"/>
      <c r="BP210" s="258"/>
      <c r="BQ210" s="258"/>
      <c r="BR210" s="258"/>
      <c r="BS210" s="258"/>
      <c r="BT210" s="258"/>
      <c r="BU210" s="257"/>
      <c r="BV210" s="258"/>
      <c r="BW210" s="258"/>
      <c r="BX210" s="258"/>
      <c r="BY210" s="258"/>
      <c r="BZ210" s="446"/>
      <c r="CA210" s="446"/>
      <c r="CB210" s="446"/>
      <c r="CC210" s="446"/>
      <c r="CD210" s="446"/>
      <c r="CE210" s="446"/>
      <c r="CF210" s="446"/>
      <c r="CG210" s="446"/>
      <c r="CH210" s="446"/>
      <c r="CI210" s="446"/>
      <c r="CJ210" s="446"/>
      <c r="CK210" s="446"/>
      <c r="CL210" s="446"/>
      <c r="CM210" s="446"/>
      <c r="CN210" s="446"/>
      <c r="CO210" s="446"/>
      <c r="CP210" s="446"/>
      <c r="CQ210" s="446"/>
      <c r="CR210" s="446"/>
      <c r="CS210" s="446"/>
      <c r="CT210" s="446"/>
      <c r="CU210" s="446"/>
      <c r="CV210" s="446"/>
      <c r="CW210" s="233"/>
      <c r="CX210" s="446"/>
      <c r="CY210" s="446"/>
      <c r="CZ210" s="446"/>
      <c r="DA210" s="446"/>
      <c r="DB210" s="446"/>
      <c r="DC210" s="446"/>
      <c r="DD210" s="446"/>
      <c r="DE210" s="446"/>
      <c r="DF210" s="446"/>
      <c r="DG210" s="446"/>
      <c r="DH210" s="446"/>
      <c r="DI210" s="446"/>
      <c r="DJ210" s="446"/>
      <c r="DK210" s="446"/>
      <c r="DL210" s="446"/>
      <c r="DM210" s="446"/>
      <c r="DN210" s="446"/>
      <c r="DO210" s="446"/>
      <c r="DP210" s="258"/>
      <c r="DQ210" s="258"/>
      <c r="DR210" s="258"/>
      <c r="DS210" s="258"/>
      <c r="DT210" s="258"/>
      <c r="DU210" s="258"/>
      <c r="DV210" s="258"/>
      <c r="DW210" s="258"/>
      <c r="DX210" s="258"/>
      <c r="DY210" s="258"/>
      <c r="DZ210" s="792"/>
    </row>
    <row r="211" spans="2:130" s="229" customFormat="1" ht="14.25" customHeight="1" x14ac:dyDescent="0.2">
      <c r="D211" s="789"/>
      <c r="E211" s="789"/>
      <c r="F211" s="789"/>
      <c r="G211" s="789"/>
      <c r="H211" s="789"/>
      <c r="I211" s="843"/>
      <c r="J211" s="805"/>
      <c r="K211" s="843"/>
      <c r="L211" s="805"/>
      <c r="M211" s="843"/>
      <c r="N211" s="805"/>
      <c r="O211" s="843"/>
      <c r="P211" s="805"/>
      <c r="Q211" s="843"/>
      <c r="R211" s="843"/>
      <c r="S211" s="278"/>
      <c r="T211" s="843"/>
      <c r="U211" s="805"/>
      <c r="V211" s="843"/>
      <c r="W211" s="805"/>
      <c r="X211" s="843"/>
      <c r="Y211" s="805"/>
      <c r="Z211" s="843"/>
      <c r="AA211" s="805"/>
      <c r="AB211" s="843"/>
      <c r="AC211" s="805"/>
      <c r="AD211" s="843"/>
      <c r="AE211" s="805"/>
      <c r="AF211" s="843"/>
      <c r="AG211" s="805"/>
      <c r="AH211" s="258"/>
      <c r="AI211" s="258"/>
      <c r="AJ211" s="258"/>
      <c r="AK211" s="258"/>
      <c r="AL211" s="258"/>
      <c r="AM211" s="258"/>
      <c r="AN211" s="258"/>
      <c r="AO211" s="258"/>
      <c r="AP211" s="258"/>
      <c r="AQ211" s="258"/>
      <c r="AR211" s="258"/>
      <c r="AS211" s="258"/>
      <c r="AT211" s="258"/>
      <c r="AU211" s="258"/>
      <c r="AV211" s="258"/>
      <c r="AW211" s="258"/>
      <c r="AX211" s="258"/>
      <c r="AY211" s="258"/>
      <c r="AZ211" s="258"/>
      <c r="BA211" s="258"/>
      <c r="BB211" s="258"/>
      <c r="BC211" s="258"/>
      <c r="BD211" s="258"/>
      <c r="BE211" s="258"/>
      <c r="BF211" s="258"/>
      <c r="BG211" s="258"/>
      <c r="BH211" s="258"/>
      <c r="BI211" s="258"/>
      <c r="BJ211" s="258"/>
      <c r="BK211" s="258"/>
      <c r="BL211" s="258"/>
      <c r="BM211" s="258"/>
      <c r="BN211" s="258"/>
      <c r="BO211" s="258"/>
      <c r="BP211" s="258"/>
      <c r="BQ211" s="258"/>
      <c r="BR211" s="258"/>
      <c r="BS211" s="258"/>
      <c r="BT211" s="258"/>
      <c r="BU211" s="257"/>
      <c r="BV211" s="258"/>
      <c r="BW211" s="258"/>
      <c r="BX211" s="258"/>
      <c r="BY211" s="258"/>
      <c r="BZ211" s="446"/>
      <c r="CA211" s="446"/>
      <c r="CB211" s="446"/>
      <c r="CC211" s="446"/>
      <c r="CD211" s="446"/>
      <c r="CE211" s="446"/>
      <c r="CF211" s="446"/>
      <c r="CG211" s="446"/>
      <c r="CH211" s="446"/>
      <c r="CI211" s="446"/>
      <c r="CJ211" s="446"/>
      <c r="CK211" s="446"/>
      <c r="CL211" s="446"/>
      <c r="CM211" s="446"/>
      <c r="CN211" s="446"/>
      <c r="CO211" s="446"/>
      <c r="CP211" s="446"/>
      <c r="CQ211" s="446"/>
      <c r="CR211" s="446"/>
      <c r="CS211" s="446"/>
      <c r="CT211" s="446"/>
      <c r="CU211" s="446"/>
      <c r="CV211" s="446"/>
      <c r="CW211" s="233"/>
      <c r="CX211" s="446"/>
      <c r="CY211" s="446"/>
      <c r="CZ211" s="446"/>
      <c r="DA211" s="446"/>
      <c r="DB211" s="446"/>
      <c r="DC211" s="446"/>
      <c r="DD211" s="446"/>
      <c r="DE211" s="446"/>
      <c r="DF211" s="446"/>
      <c r="DG211" s="446"/>
      <c r="DH211" s="446"/>
      <c r="DI211" s="446"/>
      <c r="DJ211" s="446"/>
      <c r="DK211" s="446"/>
      <c r="DL211" s="446"/>
      <c r="DM211" s="446"/>
      <c r="DN211" s="446"/>
      <c r="DO211" s="446"/>
      <c r="DP211" s="258"/>
      <c r="DQ211" s="258"/>
      <c r="DR211" s="258"/>
      <c r="DS211" s="258"/>
      <c r="DT211" s="258"/>
      <c r="DU211" s="258"/>
      <c r="DV211" s="258"/>
      <c r="DW211" s="258"/>
      <c r="DX211" s="258"/>
      <c r="DY211" s="258"/>
      <c r="DZ211" s="792"/>
    </row>
    <row r="212" spans="2:130" s="229" customFormat="1" ht="14.25" customHeight="1" x14ac:dyDescent="0.2">
      <c r="D212" s="789"/>
      <c r="E212" s="790"/>
      <c r="F212" s="845"/>
      <c r="G212" s="846"/>
      <c r="H212" s="790"/>
      <c r="I212" s="790"/>
      <c r="J212" s="805"/>
      <c r="K212" s="790"/>
      <c r="L212" s="805"/>
      <c r="M212" s="790"/>
      <c r="N212" s="805"/>
      <c r="O212" s="790"/>
      <c r="P212" s="805"/>
      <c r="Q212" s="790"/>
      <c r="R212" s="790"/>
      <c r="S212" s="278"/>
      <c r="T212" s="790"/>
      <c r="U212" s="805"/>
      <c r="V212" s="790"/>
      <c r="W212" s="805"/>
      <c r="X212" s="790"/>
      <c r="Y212" s="805"/>
      <c r="Z212" s="790"/>
      <c r="AA212" s="805"/>
      <c r="AB212" s="790"/>
      <c r="AC212" s="805"/>
      <c r="AD212" s="847"/>
      <c r="AE212" s="805"/>
      <c r="AF212" s="847"/>
      <c r="AG212" s="805"/>
      <c r="AH212" s="258"/>
      <c r="AI212" s="258"/>
      <c r="AJ212" s="258"/>
      <c r="AK212" s="258"/>
      <c r="AL212" s="258"/>
      <c r="AM212" s="258"/>
      <c r="AN212" s="258"/>
      <c r="AO212" s="258"/>
      <c r="AP212" s="258"/>
      <c r="AQ212" s="258"/>
      <c r="AR212" s="258"/>
      <c r="AS212" s="258"/>
      <c r="AT212" s="258"/>
      <c r="AU212" s="258"/>
      <c r="AV212" s="258"/>
      <c r="AW212" s="258"/>
      <c r="AX212" s="258"/>
      <c r="AY212" s="258"/>
      <c r="AZ212" s="258"/>
      <c r="BA212" s="258"/>
      <c r="BB212" s="258"/>
      <c r="BC212" s="258"/>
      <c r="BD212" s="258"/>
      <c r="BE212" s="258"/>
      <c r="BF212" s="258"/>
      <c r="BG212" s="258"/>
      <c r="BH212" s="258"/>
      <c r="BI212" s="258"/>
      <c r="BJ212" s="258"/>
      <c r="BK212" s="258"/>
      <c r="BL212" s="258"/>
      <c r="BM212" s="258"/>
      <c r="BN212" s="258"/>
      <c r="BO212" s="258"/>
      <c r="BP212" s="258"/>
      <c r="BQ212" s="258"/>
      <c r="BR212" s="258"/>
      <c r="BS212" s="258"/>
      <c r="BT212" s="258"/>
      <c r="BU212" s="257"/>
      <c r="BV212" s="258"/>
      <c r="BW212" s="258"/>
      <c r="BX212" s="258"/>
      <c r="BY212" s="258"/>
      <c r="BZ212" s="446"/>
      <c r="CA212" s="446"/>
      <c r="CB212" s="446"/>
      <c r="CC212" s="446"/>
      <c r="CD212" s="446"/>
      <c r="CE212" s="446"/>
      <c r="CF212" s="446"/>
      <c r="CG212" s="446"/>
      <c r="CH212" s="446"/>
      <c r="CI212" s="446"/>
      <c r="CJ212" s="446"/>
      <c r="CK212" s="446"/>
      <c r="CL212" s="446"/>
      <c r="CM212" s="446"/>
      <c r="CN212" s="446"/>
      <c r="CO212" s="446"/>
      <c r="CP212" s="446"/>
      <c r="CQ212" s="446"/>
      <c r="CR212" s="446"/>
      <c r="CS212" s="446"/>
      <c r="CT212" s="446"/>
      <c r="CU212" s="446"/>
      <c r="CV212" s="446"/>
      <c r="CW212" s="233"/>
      <c r="CX212" s="446"/>
      <c r="CY212" s="446"/>
      <c r="CZ212" s="446"/>
      <c r="DA212" s="446"/>
      <c r="DB212" s="446"/>
      <c r="DC212" s="446"/>
      <c r="DD212" s="446"/>
      <c r="DE212" s="446"/>
      <c r="DF212" s="446"/>
      <c r="DG212" s="446"/>
      <c r="DH212" s="446"/>
      <c r="DI212" s="446"/>
      <c r="DJ212" s="446"/>
      <c r="DK212" s="446"/>
      <c r="DL212" s="446"/>
      <c r="DM212" s="446"/>
      <c r="DN212" s="446"/>
      <c r="DO212" s="446"/>
      <c r="DP212" s="258"/>
      <c r="DQ212" s="258"/>
      <c r="DR212" s="258"/>
      <c r="DS212" s="258"/>
      <c r="DT212" s="258"/>
      <c r="DU212" s="258"/>
      <c r="DV212" s="258"/>
      <c r="DW212" s="258"/>
      <c r="DX212" s="258"/>
      <c r="DY212" s="258"/>
      <c r="DZ212" s="792"/>
    </row>
    <row r="213" spans="2:130" s="229" customFormat="1" ht="14.25" customHeight="1" x14ac:dyDescent="0.2">
      <c r="D213" s="789"/>
      <c r="E213" s="792"/>
      <c r="F213" s="845"/>
      <c r="G213" s="789"/>
      <c r="H213" s="790"/>
      <c r="I213" s="790"/>
      <c r="J213" s="805"/>
      <c r="K213" s="790"/>
      <c r="L213" s="805"/>
      <c r="M213" s="790"/>
      <c r="N213" s="805"/>
      <c r="O213" s="790"/>
      <c r="P213" s="805"/>
      <c r="Q213" s="790"/>
      <c r="R213" s="790"/>
      <c r="S213" s="278"/>
      <c r="T213" s="790"/>
      <c r="U213" s="805"/>
      <c r="V213" s="790"/>
      <c r="W213" s="805"/>
      <c r="X213" s="790"/>
      <c r="Y213" s="805"/>
      <c r="Z213" s="790"/>
      <c r="AA213" s="805"/>
      <c r="AB213" s="790"/>
      <c r="AC213" s="805"/>
      <c r="AD213" s="790"/>
      <c r="AE213" s="805"/>
      <c r="AF213" s="790"/>
      <c r="AG213" s="805"/>
      <c r="AH213" s="258"/>
      <c r="AI213" s="258"/>
      <c r="AJ213" s="258"/>
      <c r="AK213" s="258"/>
      <c r="AL213" s="258"/>
      <c r="AM213" s="258"/>
      <c r="AN213" s="258"/>
      <c r="AO213" s="258"/>
      <c r="AP213" s="258"/>
      <c r="AQ213" s="258"/>
      <c r="AR213" s="258"/>
      <c r="AS213" s="258"/>
      <c r="AT213" s="258"/>
      <c r="AU213" s="258"/>
      <c r="AV213" s="258"/>
      <c r="AW213" s="258"/>
      <c r="AX213" s="258"/>
      <c r="AY213" s="258"/>
      <c r="AZ213" s="258"/>
      <c r="BA213" s="258"/>
      <c r="BB213" s="258"/>
      <c r="BC213" s="258"/>
      <c r="BD213" s="258"/>
      <c r="BE213" s="258"/>
      <c r="BF213" s="258"/>
      <c r="BG213" s="258"/>
      <c r="BH213" s="258"/>
      <c r="BI213" s="258"/>
      <c r="BJ213" s="258"/>
      <c r="BK213" s="258"/>
      <c r="BL213" s="258"/>
      <c r="BM213" s="258"/>
      <c r="BN213" s="258"/>
      <c r="BO213" s="258"/>
      <c r="BP213" s="258"/>
      <c r="BQ213" s="258"/>
      <c r="BR213" s="258"/>
      <c r="BS213" s="258"/>
      <c r="BT213" s="258"/>
      <c r="BU213" s="257"/>
      <c r="BV213" s="258"/>
      <c r="BW213" s="258"/>
      <c r="BX213" s="258"/>
      <c r="BY213" s="258"/>
      <c r="BZ213" s="446"/>
      <c r="CA213" s="446"/>
      <c r="CB213" s="446"/>
      <c r="CC213" s="446"/>
      <c r="CD213" s="446"/>
      <c r="CE213" s="446"/>
      <c r="CF213" s="446"/>
      <c r="CG213" s="446"/>
      <c r="CH213" s="446"/>
      <c r="CI213" s="446"/>
      <c r="CJ213" s="446"/>
      <c r="CK213" s="446"/>
      <c r="CL213" s="446"/>
      <c r="CM213" s="446"/>
      <c r="CN213" s="446"/>
      <c r="CO213" s="446"/>
      <c r="CP213" s="446"/>
      <c r="CQ213" s="446"/>
      <c r="CR213" s="446"/>
      <c r="CS213" s="446"/>
      <c r="CT213" s="446"/>
      <c r="CU213" s="446"/>
      <c r="CV213" s="446"/>
      <c r="CW213" s="233"/>
      <c r="CX213" s="446"/>
      <c r="CY213" s="446"/>
      <c r="CZ213" s="446"/>
      <c r="DA213" s="446"/>
      <c r="DB213" s="446"/>
      <c r="DC213" s="446"/>
      <c r="DD213" s="446"/>
      <c r="DE213" s="446"/>
      <c r="DF213" s="446"/>
      <c r="DG213" s="446"/>
      <c r="DH213" s="446"/>
      <c r="DI213" s="446"/>
      <c r="DJ213" s="446"/>
      <c r="DK213" s="446"/>
      <c r="DL213" s="446"/>
      <c r="DM213" s="446"/>
      <c r="DN213" s="446"/>
      <c r="DO213" s="446"/>
      <c r="DP213" s="258"/>
      <c r="DQ213" s="258"/>
      <c r="DR213" s="258"/>
      <c r="DS213" s="258"/>
      <c r="DT213" s="258"/>
      <c r="DU213" s="258"/>
      <c r="DV213" s="258"/>
      <c r="DW213" s="258"/>
      <c r="DX213" s="258"/>
      <c r="DY213" s="258"/>
      <c r="DZ213" s="792"/>
    </row>
    <row r="214" spans="2:130" s="229" customFormat="1" ht="14.25" customHeight="1" x14ac:dyDescent="0.2">
      <c r="D214" s="789"/>
      <c r="E214" s="792"/>
      <c r="F214" s="845"/>
      <c r="G214" s="846"/>
      <c r="H214" s="790"/>
      <c r="I214" s="790"/>
      <c r="J214" s="805"/>
      <c r="K214" s="790"/>
      <c r="L214" s="805"/>
      <c r="M214" s="790"/>
      <c r="N214" s="805"/>
      <c r="O214" s="790"/>
      <c r="P214" s="805"/>
      <c r="Q214" s="790"/>
      <c r="R214" s="790"/>
      <c r="S214" s="278"/>
      <c r="T214" s="790"/>
      <c r="U214" s="805"/>
      <c r="V214" s="790"/>
      <c r="W214" s="805"/>
      <c r="X214" s="790"/>
      <c r="Y214" s="805"/>
      <c r="Z214" s="790"/>
      <c r="AA214" s="805"/>
      <c r="AB214" s="790"/>
      <c r="AC214" s="805"/>
      <c r="AD214" s="790"/>
      <c r="AE214" s="805"/>
      <c r="AF214" s="790"/>
      <c r="AG214" s="805"/>
      <c r="AH214" s="258"/>
      <c r="AI214" s="258"/>
      <c r="AJ214" s="258"/>
      <c r="AK214" s="258"/>
      <c r="AL214" s="258"/>
      <c r="AM214" s="258"/>
      <c r="AN214" s="258"/>
      <c r="AO214" s="258"/>
      <c r="AP214" s="258"/>
      <c r="AQ214" s="258"/>
      <c r="AR214" s="258"/>
      <c r="AS214" s="258"/>
      <c r="AT214" s="258"/>
      <c r="AU214" s="258"/>
      <c r="AV214" s="258"/>
      <c r="AW214" s="258"/>
      <c r="AX214" s="258"/>
      <c r="AY214" s="258"/>
      <c r="AZ214" s="258"/>
      <c r="BA214" s="258"/>
      <c r="BB214" s="258"/>
      <c r="BC214" s="258"/>
      <c r="BD214" s="258"/>
      <c r="BE214" s="258"/>
      <c r="BF214" s="258"/>
      <c r="BG214" s="258"/>
      <c r="BH214" s="258"/>
      <c r="BI214" s="258"/>
      <c r="BJ214" s="258"/>
      <c r="BK214" s="258"/>
      <c r="BL214" s="258"/>
      <c r="BM214" s="258"/>
      <c r="BN214" s="258"/>
      <c r="BO214" s="258"/>
      <c r="BP214" s="258"/>
      <c r="BQ214" s="258"/>
      <c r="BR214" s="258"/>
      <c r="BS214" s="258"/>
      <c r="BT214" s="258"/>
      <c r="BU214" s="257"/>
      <c r="BV214" s="258"/>
      <c r="BW214" s="258"/>
      <c r="BX214" s="258"/>
      <c r="BY214" s="258"/>
      <c r="BZ214" s="446"/>
      <c r="CA214" s="446"/>
      <c r="CB214" s="446"/>
      <c r="CC214" s="446"/>
      <c r="CD214" s="446"/>
      <c r="CE214" s="446"/>
      <c r="CF214" s="446"/>
      <c r="CG214" s="446"/>
      <c r="CH214" s="446"/>
      <c r="CI214" s="446"/>
      <c r="CJ214" s="446"/>
      <c r="CK214" s="446"/>
      <c r="CL214" s="446"/>
      <c r="CM214" s="446"/>
      <c r="CN214" s="446"/>
      <c r="CO214" s="446"/>
      <c r="CP214" s="446"/>
      <c r="CQ214" s="446"/>
      <c r="CR214" s="446"/>
      <c r="CS214" s="446"/>
      <c r="CT214" s="446"/>
      <c r="CU214" s="446"/>
      <c r="CV214" s="446"/>
      <c r="CW214" s="233"/>
      <c r="CX214" s="446"/>
      <c r="CY214" s="446"/>
      <c r="CZ214" s="446"/>
      <c r="DA214" s="446"/>
      <c r="DB214" s="446"/>
      <c r="DC214" s="446"/>
      <c r="DD214" s="446"/>
      <c r="DE214" s="446"/>
      <c r="DF214" s="446"/>
      <c r="DG214" s="446"/>
      <c r="DH214" s="446"/>
      <c r="DI214" s="446"/>
      <c r="DJ214" s="446"/>
      <c r="DK214" s="446"/>
      <c r="DL214" s="446"/>
      <c r="DM214" s="446"/>
      <c r="DN214" s="446"/>
      <c r="DO214" s="446"/>
      <c r="DP214" s="258"/>
      <c r="DQ214" s="258"/>
      <c r="DR214" s="258"/>
      <c r="DS214" s="258"/>
      <c r="DT214" s="258"/>
      <c r="DU214" s="258"/>
      <c r="DV214" s="258"/>
      <c r="DW214" s="258"/>
      <c r="DX214" s="258"/>
      <c r="DY214" s="258"/>
      <c r="DZ214" s="792"/>
    </row>
    <row r="215" spans="2:130" s="229" customFormat="1" ht="14.25" customHeight="1" x14ac:dyDescent="0.2">
      <c r="B215" s="1651"/>
      <c r="C215" s="1651"/>
      <c r="D215" s="789"/>
      <c r="E215" s="792"/>
      <c r="F215" s="845"/>
      <c r="G215" s="789"/>
      <c r="H215" s="790"/>
      <c r="I215" s="790"/>
      <c r="J215" s="805"/>
      <c r="K215" s="790"/>
      <c r="L215" s="805"/>
      <c r="M215" s="790"/>
      <c r="N215" s="805"/>
      <c r="O215" s="790"/>
      <c r="P215" s="805"/>
      <c r="Q215" s="790"/>
      <c r="R215" s="790"/>
      <c r="S215" s="278"/>
      <c r="T215" s="790"/>
      <c r="U215" s="805"/>
      <c r="V215" s="790"/>
      <c r="W215" s="805"/>
      <c r="X215" s="790"/>
      <c r="Y215" s="805"/>
      <c r="Z215" s="790"/>
      <c r="AA215" s="805"/>
      <c r="AB215" s="790"/>
      <c r="AC215" s="805"/>
      <c r="AD215" s="843"/>
      <c r="AE215" s="805"/>
      <c r="AF215" s="790"/>
      <c r="AG215" s="805"/>
      <c r="AH215" s="258"/>
      <c r="AI215" s="258"/>
      <c r="AJ215" s="258"/>
      <c r="AK215" s="258"/>
      <c r="AL215" s="258"/>
      <c r="AM215" s="258"/>
      <c r="AN215" s="258"/>
      <c r="AO215" s="258"/>
      <c r="AP215" s="258"/>
      <c r="AQ215" s="258"/>
      <c r="AR215" s="258"/>
      <c r="AS215" s="258"/>
      <c r="AT215" s="258"/>
      <c r="AU215" s="258"/>
      <c r="AV215" s="258"/>
      <c r="AW215" s="258"/>
      <c r="AX215" s="258"/>
      <c r="AY215" s="258"/>
      <c r="AZ215" s="258"/>
      <c r="BA215" s="258"/>
      <c r="BB215" s="258"/>
      <c r="BC215" s="258"/>
      <c r="BD215" s="258"/>
      <c r="BE215" s="258"/>
      <c r="BF215" s="258"/>
      <c r="BG215" s="258"/>
      <c r="BH215" s="258"/>
      <c r="BI215" s="258"/>
      <c r="BJ215" s="258"/>
      <c r="BK215" s="258"/>
      <c r="BL215" s="258"/>
      <c r="BM215" s="258"/>
      <c r="BN215" s="258"/>
      <c r="BO215" s="258"/>
      <c r="BP215" s="258"/>
      <c r="BQ215" s="258"/>
      <c r="BR215" s="258"/>
      <c r="BS215" s="258"/>
      <c r="BT215" s="258"/>
      <c r="BU215" s="257"/>
      <c r="BV215" s="258"/>
      <c r="BW215" s="258"/>
      <c r="BX215" s="258"/>
      <c r="BY215" s="258"/>
      <c r="BZ215" s="446"/>
      <c r="CA215" s="446"/>
      <c r="CB215" s="446"/>
      <c r="CC215" s="446"/>
      <c r="CD215" s="446"/>
      <c r="CE215" s="446"/>
      <c r="CF215" s="446"/>
      <c r="CG215" s="446"/>
      <c r="CH215" s="446"/>
      <c r="CI215" s="446"/>
      <c r="CJ215" s="446"/>
      <c r="CK215" s="446"/>
      <c r="CL215" s="446"/>
      <c r="CM215" s="446"/>
      <c r="CN215" s="446"/>
      <c r="CO215" s="446"/>
      <c r="CP215" s="446"/>
      <c r="CQ215" s="446"/>
      <c r="CR215" s="446"/>
      <c r="CS215" s="446"/>
      <c r="CT215" s="446"/>
      <c r="CU215" s="446"/>
      <c r="CV215" s="446"/>
      <c r="CW215" s="984"/>
      <c r="CX215" s="446"/>
      <c r="CY215" s="446"/>
      <c r="CZ215" s="446"/>
      <c r="DA215" s="446"/>
      <c r="DB215" s="446"/>
      <c r="DC215" s="446"/>
      <c r="DD215" s="446"/>
      <c r="DE215" s="446"/>
      <c r="DF215" s="446"/>
      <c r="DG215" s="446"/>
      <c r="DH215" s="446"/>
      <c r="DI215" s="446"/>
      <c r="DJ215" s="446"/>
      <c r="DK215" s="446"/>
      <c r="DL215" s="446"/>
      <c r="DM215" s="446"/>
      <c r="DN215" s="446"/>
      <c r="DO215" s="446"/>
      <c r="DP215" s="258"/>
      <c r="DQ215" s="258"/>
      <c r="DR215" s="258"/>
      <c r="DS215" s="258"/>
      <c r="DT215" s="258"/>
      <c r="DU215" s="258"/>
      <c r="DV215" s="258"/>
      <c r="DW215" s="258"/>
      <c r="DX215" s="258"/>
      <c r="DY215" s="258"/>
      <c r="DZ215" s="792"/>
    </row>
    <row r="216" spans="2:130" s="229" customFormat="1" ht="14.25" customHeight="1" x14ac:dyDescent="0.2">
      <c r="B216" s="1651"/>
      <c r="C216" s="1651"/>
      <c r="D216" s="789"/>
      <c r="E216" s="792"/>
      <c r="F216" s="845"/>
      <c r="G216" s="789"/>
      <c r="H216" s="790"/>
      <c r="I216" s="790"/>
      <c r="J216" s="805"/>
      <c r="K216" s="790"/>
      <c r="L216" s="805"/>
      <c r="M216" s="790"/>
      <c r="N216" s="805"/>
      <c r="O216" s="790"/>
      <c r="P216" s="805"/>
      <c r="Q216" s="790"/>
      <c r="R216" s="790"/>
      <c r="S216" s="278"/>
      <c r="T216" s="790"/>
      <c r="U216" s="805"/>
      <c r="V216" s="790"/>
      <c r="W216" s="805"/>
      <c r="X216" s="790"/>
      <c r="Y216" s="805"/>
      <c r="Z216" s="790"/>
      <c r="AA216" s="805"/>
      <c r="AB216" s="790"/>
      <c r="AC216" s="805"/>
      <c r="AD216" s="843"/>
      <c r="AE216" s="805"/>
      <c r="AF216" s="790"/>
      <c r="AG216" s="805"/>
      <c r="AH216" s="258"/>
      <c r="AI216" s="258"/>
      <c r="AJ216" s="258"/>
      <c r="AK216" s="258"/>
      <c r="AL216" s="258"/>
      <c r="AM216" s="258"/>
      <c r="AN216" s="258"/>
      <c r="AO216" s="258"/>
      <c r="AP216" s="258"/>
      <c r="AQ216" s="258"/>
      <c r="AR216" s="258"/>
      <c r="AS216" s="258"/>
      <c r="AT216" s="258"/>
      <c r="AU216" s="258"/>
      <c r="AV216" s="258"/>
      <c r="AW216" s="258"/>
      <c r="AX216" s="258"/>
      <c r="AY216" s="258"/>
      <c r="AZ216" s="258"/>
      <c r="BA216" s="258"/>
      <c r="BB216" s="258"/>
      <c r="BC216" s="258"/>
      <c r="BD216" s="258"/>
      <c r="BE216" s="258"/>
      <c r="BF216" s="258"/>
      <c r="BG216" s="258"/>
      <c r="BH216" s="258"/>
      <c r="BI216" s="258"/>
      <c r="BJ216" s="258"/>
      <c r="BK216" s="258"/>
      <c r="BL216" s="258"/>
      <c r="BM216" s="258"/>
      <c r="BN216" s="258"/>
      <c r="BO216" s="258"/>
      <c r="BP216" s="258"/>
      <c r="BQ216" s="258"/>
      <c r="BR216" s="258"/>
      <c r="BS216" s="258"/>
      <c r="BT216" s="258"/>
      <c r="BU216" s="257"/>
      <c r="BV216" s="258"/>
      <c r="BW216" s="258"/>
      <c r="BX216" s="258"/>
      <c r="BY216" s="258"/>
      <c r="BZ216" s="446"/>
      <c r="CA216" s="446"/>
      <c r="CB216" s="446"/>
      <c r="CC216" s="446"/>
      <c r="CD216" s="446"/>
      <c r="CE216" s="446"/>
      <c r="CF216" s="446"/>
      <c r="CG216" s="446"/>
      <c r="CH216" s="446"/>
      <c r="CI216" s="446"/>
      <c r="CJ216" s="446"/>
      <c r="CK216" s="446"/>
      <c r="CL216" s="446"/>
      <c r="CM216" s="446"/>
      <c r="CN216" s="446"/>
      <c r="CO216" s="446"/>
      <c r="CP216" s="446"/>
      <c r="CQ216" s="446"/>
      <c r="CR216" s="446"/>
      <c r="CS216" s="446"/>
      <c r="CT216" s="446"/>
      <c r="CU216" s="446"/>
      <c r="CV216" s="446"/>
      <c r="CW216" s="984"/>
      <c r="CX216" s="446"/>
      <c r="CY216" s="446"/>
      <c r="CZ216" s="446"/>
      <c r="DA216" s="446"/>
      <c r="DB216" s="446"/>
      <c r="DC216" s="446"/>
      <c r="DD216" s="446"/>
      <c r="DE216" s="446"/>
      <c r="DF216" s="446"/>
      <c r="DG216" s="446"/>
      <c r="DH216" s="446"/>
      <c r="DI216" s="446"/>
      <c r="DJ216" s="446"/>
      <c r="DK216" s="446"/>
      <c r="DL216" s="446"/>
      <c r="DM216" s="446"/>
      <c r="DN216" s="446"/>
      <c r="DO216" s="446"/>
      <c r="DP216" s="258"/>
      <c r="DQ216" s="258"/>
      <c r="DR216" s="258"/>
      <c r="DS216" s="258"/>
      <c r="DT216" s="258"/>
      <c r="DU216" s="258"/>
      <c r="DV216" s="258"/>
      <c r="DW216" s="258"/>
      <c r="DX216" s="258"/>
      <c r="DY216" s="258"/>
      <c r="DZ216" s="792"/>
    </row>
    <row r="217" spans="2:130" s="229" customFormat="1" ht="14.25" customHeight="1" x14ac:dyDescent="0.2">
      <c r="B217" s="848"/>
      <c r="C217" s="848"/>
      <c r="D217" s="848"/>
      <c r="E217" s="847"/>
      <c r="F217" s="790"/>
      <c r="G217" s="849"/>
      <c r="H217" s="849"/>
      <c r="I217" s="849"/>
      <c r="J217" s="849"/>
      <c r="K217" s="849"/>
      <c r="L217" s="849"/>
      <c r="M217" s="849"/>
      <c r="N217" s="849"/>
      <c r="O217" s="849"/>
      <c r="P217" s="849"/>
      <c r="Q217" s="849"/>
      <c r="R217" s="849"/>
      <c r="S217" s="850"/>
      <c r="T217" s="849"/>
      <c r="U217" s="849"/>
      <c r="V217" s="849"/>
      <c r="W217" s="849"/>
      <c r="X217" s="849"/>
      <c r="Y217" s="849"/>
      <c r="Z217" s="849"/>
      <c r="AA217" s="849"/>
      <c r="AB217" s="849"/>
      <c r="AC217" s="849"/>
      <c r="AD217" s="849"/>
      <c r="AE217" s="849"/>
      <c r="AF217" s="849"/>
      <c r="AG217" s="849"/>
      <c r="AH217" s="258"/>
      <c r="AI217" s="258"/>
      <c r="AJ217" s="258"/>
      <c r="AK217" s="258"/>
      <c r="AL217" s="258"/>
      <c r="AM217" s="258"/>
      <c r="AN217" s="258"/>
      <c r="AO217" s="258"/>
      <c r="AP217" s="258"/>
      <c r="AQ217" s="258"/>
      <c r="AR217" s="258"/>
      <c r="AS217" s="258"/>
      <c r="AT217" s="258"/>
      <c r="AU217" s="258"/>
      <c r="AV217" s="258"/>
      <c r="AW217" s="258"/>
      <c r="AX217" s="258"/>
      <c r="AY217" s="258"/>
      <c r="AZ217" s="258"/>
      <c r="BA217" s="258"/>
      <c r="BB217" s="258"/>
      <c r="BC217" s="258"/>
      <c r="BD217" s="258"/>
      <c r="BE217" s="258"/>
      <c r="BF217" s="258"/>
      <c r="BG217" s="258"/>
      <c r="BH217" s="258"/>
      <c r="BI217" s="258"/>
      <c r="BJ217" s="258"/>
      <c r="BK217" s="258"/>
      <c r="BL217" s="258"/>
      <c r="BM217" s="258"/>
      <c r="BN217" s="258"/>
      <c r="BO217" s="258"/>
      <c r="BP217" s="258"/>
      <c r="BQ217" s="258"/>
      <c r="BR217" s="258"/>
      <c r="BS217" s="258"/>
      <c r="BT217" s="258"/>
      <c r="BU217" s="257"/>
      <c r="BV217" s="258"/>
      <c r="BW217" s="258"/>
      <c r="BX217" s="258"/>
      <c r="BY217" s="258"/>
      <c r="BZ217" s="446"/>
      <c r="CA217" s="446"/>
      <c r="CB217" s="446"/>
      <c r="CC217" s="446"/>
      <c r="CD217" s="446"/>
      <c r="CE217" s="446"/>
      <c r="CF217" s="446"/>
      <c r="CG217" s="446"/>
      <c r="CH217" s="446"/>
      <c r="CI217" s="446"/>
      <c r="CJ217" s="446"/>
      <c r="CK217" s="446"/>
      <c r="CL217" s="446"/>
      <c r="CM217" s="446"/>
      <c r="CN217" s="446"/>
      <c r="CO217" s="446"/>
      <c r="CP217" s="446"/>
      <c r="CQ217" s="446"/>
      <c r="CR217" s="446"/>
      <c r="CS217" s="446"/>
      <c r="CT217" s="446"/>
      <c r="CU217" s="446"/>
      <c r="CV217" s="446"/>
      <c r="CW217" s="851"/>
      <c r="CX217" s="446"/>
      <c r="CY217" s="446"/>
      <c r="CZ217" s="446"/>
      <c r="DA217" s="446"/>
      <c r="DB217" s="446"/>
      <c r="DC217" s="446"/>
      <c r="DD217" s="446"/>
      <c r="DE217" s="446"/>
      <c r="DF217" s="446"/>
      <c r="DG217" s="446"/>
      <c r="DH217" s="446"/>
      <c r="DI217" s="446"/>
      <c r="DJ217" s="446"/>
      <c r="DK217" s="446"/>
      <c r="DL217" s="446"/>
      <c r="DM217" s="446"/>
      <c r="DN217" s="446"/>
      <c r="DO217" s="446"/>
      <c r="DP217" s="258"/>
      <c r="DQ217" s="258"/>
      <c r="DR217" s="258"/>
      <c r="DS217" s="258"/>
      <c r="DT217" s="258"/>
      <c r="DU217" s="258"/>
      <c r="DV217" s="258"/>
      <c r="DW217" s="258"/>
      <c r="DX217" s="258"/>
      <c r="DY217" s="258"/>
      <c r="DZ217" s="792"/>
    </row>
    <row r="218" spans="2:130" s="229" customFormat="1" ht="14.25" customHeight="1" x14ac:dyDescent="0.2">
      <c r="B218" s="848"/>
      <c r="C218" s="848"/>
      <c r="D218" s="848"/>
      <c r="E218" s="790"/>
      <c r="F218" s="790"/>
      <c r="G218" s="830"/>
      <c r="H218" s="830"/>
      <c r="I218" s="830"/>
      <c r="J218" s="830"/>
      <c r="K218" s="830"/>
      <c r="L218" s="830"/>
      <c r="M218" s="830"/>
      <c r="N218" s="830"/>
      <c r="O218" s="830"/>
      <c r="P218" s="830"/>
      <c r="Q218" s="830"/>
      <c r="R218" s="830"/>
      <c r="S218" s="852"/>
      <c r="T218" s="830"/>
      <c r="U218" s="830"/>
      <c r="V218" s="830"/>
      <c r="W218" s="830"/>
      <c r="X218" s="830"/>
      <c r="Y218" s="830"/>
      <c r="Z218" s="830"/>
      <c r="AA218" s="830"/>
      <c r="AB218" s="830"/>
      <c r="AC218" s="830"/>
      <c r="AD218" s="830"/>
      <c r="AE218" s="830"/>
      <c r="AF218" s="830"/>
      <c r="AG218" s="830"/>
      <c r="AH218" s="258"/>
      <c r="AI218" s="258"/>
      <c r="AJ218" s="258"/>
      <c r="AK218" s="258"/>
      <c r="AL218" s="258"/>
      <c r="AM218" s="258"/>
      <c r="AN218" s="258"/>
      <c r="AO218" s="258"/>
      <c r="AP218" s="258"/>
      <c r="AQ218" s="258"/>
      <c r="AR218" s="258"/>
      <c r="AS218" s="258"/>
      <c r="AT218" s="258"/>
      <c r="AU218" s="258"/>
      <c r="AV218" s="258"/>
      <c r="AW218" s="258"/>
      <c r="AX218" s="258"/>
      <c r="AY218" s="258"/>
      <c r="AZ218" s="258"/>
      <c r="BA218" s="258"/>
      <c r="BB218" s="258"/>
      <c r="BC218" s="258"/>
      <c r="BD218" s="258"/>
      <c r="BE218" s="258"/>
      <c r="BF218" s="258"/>
      <c r="BG218" s="258"/>
      <c r="BH218" s="258"/>
      <c r="BI218" s="258"/>
      <c r="BJ218" s="258"/>
      <c r="BK218" s="258"/>
      <c r="BL218" s="258"/>
      <c r="BM218" s="258"/>
      <c r="BN218" s="258"/>
      <c r="BO218" s="258"/>
      <c r="BP218" s="258"/>
      <c r="BQ218" s="258"/>
      <c r="BR218" s="258"/>
      <c r="BS218" s="258"/>
      <c r="BT218" s="258"/>
      <c r="BU218" s="257"/>
      <c r="BV218" s="258"/>
      <c r="BW218" s="258"/>
      <c r="BX218" s="258"/>
      <c r="BY218" s="258"/>
      <c r="BZ218" s="446"/>
      <c r="CA218" s="446"/>
      <c r="CB218" s="446"/>
      <c r="CC218" s="446"/>
      <c r="CD218" s="446"/>
      <c r="CE218" s="446"/>
      <c r="CF218" s="446"/>
      <c r="CG218" s="446"/>
      <c r="CH218" s="446"/>
      <c r="CI218" s="446"/>
      <c r="CJ218" s="446"/>
      <c r="CK218" s="446"/>
      <c r="CL218" s="446"/>
      <c r="CM218" s="446"/>
      <c r="CN218" s="446"/>
      <c r="CO218" s="446"/>
      <c r="CP218" s="446"/>
      <c r="CQ218" s="446"/>
      <c r="CR218" s="446"/>
      <c r="CS218" s="446"/>
      <c r="CT218" s="446"/>
      <c r="CU218" s="446"/>
      <c r="CV218" s="446"/>
      <c r="CW218" s="851"/>
      <c r="CX218" s="446"/>
      <c r="CY218" s="446"/>
      <c r="CZ218" s="446"/>
      <c r="DA218" s="446"/>
      <c r="DB218" s="446"/>
      <c r="DC218" s="446"/>
      <c r="DD218" s="446"/>
      <c r="DE218" s="446"/>
      <c r="DF218" s="446"/>
      <c r="DG218" s="446"/>
      <c r="DH218" s="446"/>
      <c r="DI218" s="446"/>
      <c r="DJ218" s="446"/>
      <c r="DK218" s="446"/>
      <c r="DL218" s="446"/>
      <c r="DM218" s="446"/>
      <c r="DN218" s="446"/>
      <c r="DO218" s="446"/>
      <c r="DP218" s="258"/>
      <c r="DQ218" s="258"/>
      <c r="DR218" s="258"/>
      <c r="DS218" s="258"/>
      <c r="DT218" s="258"/>
      <c r="DU218" s="258"/>
      <c r="DV218" s="258"/>
      <c r="DW218" s="258"/>
      <c r="DX218" s="258"/>
      <c r="DY218" s="258"/>
      <c r="DZ218" s="792"/>
    </row>
    <row r="219" spans="2:130" s="229" customFormat="1" ht="14.25" customHeight="1" x14ac:dyDescent="0.2">
      <c r="B219" s="848"/>
      <c r="C219" s="848"/>
      <c r="D219" s="848"/>
      <c r="E219" s="790"/>
      <c r="F219" s="790"/>
      <c r="G219" s="830"/>
      <c r="H219" s="830"/>
      <c r="I219" s="830"/>
      <c r="J219" s="830"/>
      <c r="K219" s="830"/>
      <c r="L219" s="830"/>
      <c r="M219" s="830"/>
      <c r="N219" s="830"/>
      <c r="O219" s="830"/>
      <c r="P219" s="830"/>
      <c r="Q219" s="830"/>
      <c r="R219" s="830"/>
      <c r="S219" s="852"/>
      <c r="T219" s="830"/>
      <c r="U219" s="830"/>
      <c r="V219" s="830"/>
      <c r="W219" s="830"/>
      <c r="X219" s="830"/>
      <c r="Y219" s="830"/>
      <c r="Z219" s="830"/>
      <c r="AA219" s="830"/>
      <c r="AB219" s="830"/>
      <c r="AC219" s="830"/>
      <c r="AD219" s="830"/>
      <c r="AE219" s="830"/>
      <c r="AF219" s="830"/>
      <c r="AG219" s="830"/>
      <c r="AH219" s="258"/>
      <c r="AI219" s="258"/>
      <c r="AJ219" s="258"/>
      <c r="AK219" s="258"/>
      <c r="AL219" s="258"/>
      <c r="AM219" s="258"/>
      <c r="AN219" s="258"/>
      <c r="AO219" s="258"/>
      <c r="AP219" s="258"/>
      <c r="AQ219" s="258"/>
      <c r="AR219" s="258"/>
      <c r="AS219" s="258"/>
      <c r="AT219" s="258"/>
      <c r="AU219" s="258"/>
      <c r="AV219" s="258"/>
      <c r="AW219" s="258"/>
      <c r="AX219" s="258"/>
      <c r="AY219" s="258"/>
      <c r="AZ219" s="258"/>
      <c r="BA219" s="258"/>
      <c r="BB219" s="258"/>
      <c r="BC219" s="258"/>
      <c r="BD219" s="258"/>
      <c r="BE219" s="258"/>
      <c r="BF219" s="258"/>
      <c r="BG219" s="258"/>
      <c r="BH219" s="258"/>
      <c r="BI219" s="258"/>
      <c r="BJ219" s="258"/>
      <c r="BK219" s="258"/>
      <c r="BL219" s="258"/>
      <c r="BM219" s="258"/>
      <c r="BN219" s="258"/>
      <c r="BO219" s="258"/>
      <c r="BP219" s="258"/>
      <c r="BQ219" s="258"/>
      <c r="BR219" s="258"/>
      <c r="BS219" s="258"/>
      <c r="BT219" s="258"/>
      <c r="BU219" s="257"/>
      <c r="BV219" s="258"/>
      <c r="BW219" s="258"/>
      <c r="BX219" s="258"/>
      <c r="BY219" s="258"/>
      <c r="BZ219" s="446"/>
      <c r="CA219" s="446"/>
      <c r="CB219" s="446"/>
      <c r="CC219" s="446"/>
      <c r="CD219" s="446"/>
      <c r="CE219" s="446"/>
      <c r="CF219" s="446"/>
      <c r="CG219" s="446"/>
      <c r="CH219" s="446"/>
      <c r="CI219" s="446"/>
      <c r="CJ219" s="446"/>
      <c r="CK219" s="446"/>
      <c r="CL219" s="446"/>
      <c r="CM219" s="446"/>
      <c r="CN219" s="446"/>
      <c r="CO219" s="446"/>
      <c r="CP219" s="446"/>
      <c r="CQ219" s="446"/>
      <c r="CR219" s="446"/>
      <c r="CS219" s="446"/>
      <c r="CT219" s="446"/>
      <c r="CU219" s="446"/>
      <c r="CV219" s="446"/>
      <c r="CW219" s="851"/>
      <c r="CX219" s="446"/>
      <c r="CY219" s="446"/>
      <c r="CZ219" s="446"/>
      <c r="DA219" s="446"/>
      <c r="DB219" s="446"/>
      <c r="DC219" s="446"/>
      <c r="DD219" s="446"/>
      <c r="DE219" s="446"/>
      <c r="DF219" s="446"/>
      <c r="DG219" s="446"/>
      <c r="DH219" s="446"/>
      <c r="DI219" s="446"/>
      <c r="DJ219" s="446"/>
      <c r="DK219" s="446"/>
      <c r="DL219" s="446"/>
      <c r="DM219" s="446"/>
      <c r="DN219" s="446"/>
      <c r="DO219" s="446"/>
      <c r="DP219" s="258"/>
      <c r="DQ219" s="258"/>
      <c r="DR219" s="258"/>
      <c r="DS219" s="258"/>
      <c r="DT219" s="258"/>
      <c r="DU219" s="258"/>
      <c r="DV219" s="258"/>
      <c r="DW219" s="258"/>
      <c r="DX219" s="258"/>
      <c r="DY219" s="258"/>
      <c r="DZ219" s="792"/>
    </row>
    <row r="220" spans="2:130" s="229" customFormat="1" ht="14.25" customHeight="1" x14ac:dyDescent="0.2">
      <c r="B220" s="848"/>
      <c r="C220" s="848"/>
      <c r="D220" s="848"/>
      <c r="E220" s="790"/>
      <c r="F220" s="790"/>
      <c r="G220" s="830"/>
      <c r="H220" s="830"/>
      <c r="I220" s="830"/>
      <c r="J220" s="830"/>
      <c r="K220" s="830"/>
      <c r="L220" s="830"/>
      <c r="M220" s="830"/>
      <c r="N220" s="830"/>
      <c r="O220" s="830"/>
      <c r="P220" s="830"/>
      <c r="Q220" s="830"/>
      <c r="R220" s="830"/>
      <c r="S220" s="852"/>
      <c r="T220" s="830"/>
      <c r="U220" s="830"/>
      <c r="V220" s="830"/>
      <c r="W220" s="830"/>
      <c r="X220" s="830"/>
      <c r="Y220" s="830"/>
      <c r="Z220" s="830"/>
      <c r="AA220" s="830"/>
      <c r="AB220" s="830"/>
      <c r="AC220" s="830"/>
      <c r="AD220" s="830"/>
      <c r="AE220" s="830"/>
      <c r="AF220" s="830"/>
      <c r="AG220" s="830"/>
      <c r="AH220" s="258"/>
      <c r="AI220" s="258"/>
      <c r="AJ220" s="258"/>
      <c r="AK220" s="258"/>
      <c r="AL220" s="258"/>
      <c r="AM220" s="258"/>
      <c r="AN220" s="258"/>
      <c r="AO220" s="258"/>
      <c r="AP220" s="258"/>
      <c r="AQ220" s="258"/>
      <c r="AR220" s="258"/>
      <c r="AS220" s="258"/>
      <c r="AT220" s="258"/>
      <c r="AU220" s="258"/>
      <c r="AV220" s="258"/>
      <c r="AW220" s="258"/>
      <c r="AX220" s="258"/>
      <c r="AY220" s="258"/>
      <c r="AZ220" s="258"/>
      <c r="BA220" s="258"/>
      <c r="BB220" s="258"/>
      <c r="BC220" s="258"/>
      <c r="BD220" s="258"/>
      <c r="BE220" s="258"/>
      <c r="BF220" s="258"/>
      <c r="BG220" s="258"/>
      <c r="BH220" s="258"/>
      <c r="BI220" s="258"/>
      <c r="BJ220" s="258"/>
      <c r="BK220" s="258"/>
      <c r="BL220" s="258"/>
      <c r="BM220" s="258"/>
      <c r="BN220" s="258"/>
      <c r="BO220" s="258"/>
      <c r="BP220" s="258"/>
      <c r="BQ220" s="258"/>
      <c r="BR220" s="258"/>
      <c r="BS220" s="258"/>
      <c r="BT220" s="258"/>
      <c r="BU220" s="257"/>
      <c r="BV220" s="258"/>
      <c r="BW220" s="258"/>
      <c r="BX220" s="258"/>
      <c r="BY220" s="258"/>
      <c r="BZ220" s="446"/>
      <c r="CA220" s="446"/>
      <c r="CB220" s="446"/>
      <c r="CC220" s="446"/>
      <c r="CD220" s="446"/>
      <c r="CE220" s="446"/>
      <c r="CF220" s="446"/>
      <c r="CG220" s="446"/>
      <c r="CH220" s="446"/>
      <c r="CI220" s="446"/>
      <c r="CJ220" s="446"/>
      <c r="CK220" s="446"/>
      <c r="CL220" s="446"/>
      <c r="CM220" s="446"/>
      <c r="CN220" s="446"/>
      <c r="CO220" s="446"/>
      <c r="CP220" s="446"/>
      <c r="CQ220" s="446"/>
      <c r="CR220" s="446"/>
      <c r="CS220" s="446"/>
      <c r="CT220" s="446"/>
      <c r="CU220" s="446"/>
      <c r="CV220" s="446"/>
      <c r="CW220" s="851"/>
      <c r="CX220" s="446"/>
      <c r="CY220" s="446"/>
      <c r="CZ220" s="446"/>
      <c r="DA220" s="446"/>
      <c r="DB220" s="446"/>
      <c r="DC220" s="446"/>
      <c r="DD220" s="446"/>
      <c r="DE220" s="446"/>
      <c r="DF220" s="446"/>
      <c r="DG220" s="446"/>
      <c r="DH220" s="446"/>
      <c r="DI220" s="446"/>
      <c r="DJ220" s="446"/>
      <c r="DK220" s="446"/>
      <c r="DL220" s="446"/>
      <c r="DM220" s="446"/>
      <c r="DN220" s="446"/>
      <c r="DO220" s="446"/>
      <c r="DP220" s="258"/>
      <c r="DQ220" s="258"/>
      <c r="DR220" s="258"/>
      <c r="DS220" s="258"/>
      <c r="DT220" s="258"/>
      <c r="DU220" s="258"/>
      <c r="DV220" s="258"/>
      <c r="DW220" s="258"/>
      <c r="DX220" s="258"/>
      <c r="DY220" s="258"/>
      <c r="DZ220" s="792"/>
    </row>
    <row r="221" spans="2:130" s="229" customFormat="1" ht="14.25" customHeight="1" x14ac:dyDescent="0.2">
      <c r="B221" s="848"/>
      <c r="C221" s="848"/>
      <c r="D221" s="848"/>
      <c r="E221" s="790"/>
      <c r="F221" s="790"/>
      <c r="G221" s="830"/>
      <c r="H221" s="830"/>
      <c r="I221" s="830"/>
      <c r="J221" s="830"/>
      <c r="K221" s="830"/>
      <c r="L221" s="830"/>
      <c r="M221" s="830"/>
      <c r="N221" s="830"/>
      <c r="O221" s="830"/>
      <c r="P221" s="830"/>
      <c r="Q221" s="830"/>
      <c r="R221" s="830"/>
      <c r="S221" s="852"/>
      <c r="T221" s="830"/>
      <c r="U221" s="830"/>
      <c r="V221" s="830"/>
      <c r="W221" s="830"/>
      <c r="X221" s="830"/>
      <c r="Y221" s="830"/>
      <c r="Z221" s="830"/>
      <c r="AA221" s="830"/>
      <c r="AB221" s="830"/>
      <c r="AC221" s="830"/>
      <c r="AD221" s="830"/>
      <c r="AE221" s="830"/>
      <c r="AF221" s="830"/>
      <c r="AG221" s="830"/>
      <c r="AH221" s="258"/>
      <c r="AI221" s="258"/>
      <c r="AJ221" s="258"/>
      <c r="AK221" s="258"/>
      <c r="AL221" s="258"/>
      <c r="AM221" s="258"/>
      <c r="AN221" s="258"/>
      <c r="AO221" s="258"/>
      <c r="AP221" s="258"/>
      <c r="AQ221" s="258"/>
      <c r="AR221" s="258"/>
      <c r="AS221" s="258"/>
      <c r="AT221" s="258"/>
      <c r="AU221" s="258"/>
      <c r="AV221" s="258"/>
      <c r="AW221" s="258"/>
      <c r="AX221" s="258"/>
      <c r="AY221" s="258"/>
      <c r="AZ221" s="258"/>
      <c r="BA221" s="258"/>
      <c r="BB221" s="258"/>
      <c r="BC221" s="258"/>
      <c r="BD221" s="258"/>
      <c r="BE221" s="258"/>
      <c r="BF221" s="258"/>
      <c r="BG221" s="258"/>
      <c r="BH221" s="258"/>
      <c r="BI221" s="258"/>
      <c r="BJ221" s="258"/>
      <c r="BK221" s="258"/>
      <c r="BL221" s="258"/>
      <c r="BM221" s="258"/>
      <c r="BN221" s="258"/>
      <c r="BO221" s="258"/>
      <c r="BP221" s="258"/>
      <c r="BQ221" s="258"/>
      <c r="BR221" s="258"/>
      <c r="BS221" s="258"/>
      <c r="BT221" s="258"/>
      <c r="BU221" s="257"/>
      <c r="BV221" s="258"/>
      <c r="BW221" s="258"/>
      <c r="BX221" s="258"/>
      <c r="BY221" s="258"/>
      <c r="BZ221" s="446"/>
      <c r="CA221" s="446"/>
      <c r="CB221" s="446"/>
      <c r="CC221" s="446"/>
      <c r="CD221" s="446"/>
      <c r="CE221" s="446"/>
      <c r="CF221" s="446"/>
      <c r="CG221" s="446"/>
      <c r="CH221" s="446"/>
      <c r="CI221" s="446"/>
      <c r="CJ221" s="446"/>
      <c r="CK221" s="446"/>
      <c r="CL221" s="446"/>
      <c r="CM221" s="446"/>
      <c r="CN221" s="446"/>
      <c r="CO221" s="446"/>
      <c r="CP221" s="446"/>
      <c r="CQ221" s="446"/>
      <c r="CR221" s="446"/>
      <c r="CS221" s="446"/>
      <c r="CT221" s="446"/>
      <c r="CU221" s="446"/>
      <c r="CV221" s="446"/>
      <c r="CW221" s="851"/>
      <c r="CX221" s="446"/>
      <c r="CY221" s="446"/>
      <c r="CZ221" s="446"/>
      <c r="DA221" s="446"/>
      <c r="DB221" s="446"/>
      <c r="DC221" s="446"/>
      <c r="DD221" s="446"/>
      <c r="DE221" s="446"/>
      <c r="DF221" s="446"/>
      <c r="DG221" s="446"/>
      <c r="DH221" s="446"/>
      <c r="DI221" s="446"/>
      <c r="DJ221" s="446"/>
      <c r="DK221" s="446"/>
      <c r="DL221" s="446"/>
      <c r="DM221" s="446"/>
      <c r="DN221" s="446"/>
      <c r="DO221" s="446"/>
      <c r="DP221" s="258"/>
      <c r="DQ221" s="258"/>
      <c r="DR221" s="258"/>
      <c r="DS221" s="258"/>
      <c r="DT221" s="258"/>
      <c r="DU221" s="258"/>
      <c r="DV221" s="258"/>
      <c r="DW221" s="258"/>
      <c r="DX221" s="258"/>
      <c r="DY221" s="258"/>
      <c r="DZ221" s="792"/>
    </row>
    <row r="222" spans="2:130" s="229" customFormat="1" ht="14.25" customHeight="1" x14ac:dyDescent="0.2">
      <c r="B222" s="848"/>
      <c r="C222" s="848"/>
      <c r="D222" s="848"/>
      <c r="E222" s="790"/>
      <c r="F222" s="790"/>
      <c r="G222" s="830"/>
      <c r="H222" s="830"/>
      <c r="I222" s="830"/>
      <c r="J222" s="830"/>
      <c r="K222" s="830"/>
      <c r="L222" s="830"/>
      <c r="M222" s="830"/>
      <c r="N222" s="830"/>
      <c r="O222" s="830"/>
      <c r="P222" s="830"/>
      <c r="Q222" s="830"/>
      <c r="R222" s="830"/>
      <c r="S222" s="852"/>
      <c r="T222" s="830"/>
      <c r="U222" s="830"/>
      <c r="V222" s="830"/>
      <c r="W222" s="830"/>
      <c r="X222" s="830"/>
      <c r="Y222" s="830"/>
      <c r="Z222" s="830"/>
      <c r="AA222" s="830"/>
      <c r="AB222" s="830"/>
      <c r="AC222" s="830"/>
      <c r="AD222" s="830"/>
      <c r="AE222" s="830"/>
      <c r="AF222" s="830"/>
      <c r="AG222" s="830"/>
      <c r="AH222" s="258"/>
      <c r="AI222" s="258"/>
      <c r="AJ222" s="258"/>
      <c r="AK222" s="258"/>
      <c r="AL222" s="258"/>
      <c r="AM222" s="258"/>
      <c r="AN222" s="258"/>
      <c r="AO222" s="258"/>
      <c r="AP222" s="258"/>
      <c r="AQ222" s="258"/>
      <c r="AR222" s="258"/>
      <c r="AS222" s="258"/>
      <c r="AT222" s="258"/>
      <c r="AU222" s="258"/>
      <c r="AV222" s="258"/>
      <c r="AW222" s="258"/>
      <c r="AX222" s="258"/>
      <c r="AY222" s="258"/>
      <c r="AZ222" s="258"/>
      <c r="BA222" s="258"/>
      <c r="BB222" s="258"/>
      <c r="BC222" s="258"/>
      <c r="BD222" s="258"/>
      <c r="BE222" s="258"/>
      <c r="BF222" s="258"/>
      <c r="BG222" s="258"/>
      <c r="BH222" s="258"/>
      <c r="BI222" s="258"/>
      <c r="BJ222" s="258"/>
      <c r="BK222" s="258"/>
      <c r="BL222" s="258"/>
      <c r="BM222" s="258"/>
      <c r="BN222" s="258"/>
      <c r="BO222" s="258"/>
      <c r="BP222" s="258"/>
      <c r="BQ222" s="258"/>
      <c r="BR222" s="258"/>
      <c r="BS222" s="258"/>
      <c r="BT222" s="258"/>
      <c r="BU222" s="257"/>
      <c r="BV222" s="258"/>
      <c r="BW222" s="258"/>
      <c r="BX222" s="258"/>
      <c r="BY222" s="258"/>
      <c r="BZ222" s="446"/>
      <c r="CA222" s="446"/>
      <c r="CB222" s="446"/>
      <c r="CC222" s="446"/>
      <c r="CD222" s="446"/>
      <c r="CE222" s="446"/>
      <c r="CF222" s="446"/>
      <c r="CG222" s="446"/>
      <c r="CH222" s="446"/>
      <c r="CI222" s="446"/>
      <c r="CJ222" s="446"/>
      <c r="CK222" s="446"/>
      <c r="CL222" s="446"/>
      <c r="CM222" s="446"/>
      <c r="CN222" s="446"/>
      <c r="CO222" s="446"/>
      <c r="CP222" s="446"/>
      <c r="CQ222" s="446"/>
      <c r="CR222" s="446"/>
      <c r="CS222" s="446"/>
      <c r="CT222" s="446"/>
      <c r="CU222" s="446"/>
      <c r="CV222" s="446"/>
      <c r="CW222" s="851"/>
      <c r="CX222" s="446"/>
      <c r="CY222" s="446"/>
      <c r="CZ222" s="446"/>
      <c r="DA222" s="446"/>
      <c r="DB222" s="446"/>
      <c r="DC222" s="446"/>
      <c r="DD222" s="446"/>
      <c r="DE222" s="446"/>
      <c r="DF222" s="446"/>
      <c r="DG222" s="446"/>
      <c r="DH222" s="446"/>
      <c r="DI222" s="446"/>
      <c r="DJ222" s="446"/>
      <c r="DK222" s="446"/>
      <c r="DL222" s="446"/>
      <c r="DM222" s="446"/>
      <c r="DN222" s="446"/>
      <c r="DO222" s="446"/>
      <c r="DP222" s="258"/>
      <c r="DQ222" s="258"/>
      <c r="DR222" s="258"/>
      <c r="DS222" s="258"/>
      <c r="DT222" s="258"/>
      <c r="DU222" s="258"/>
      <c r="DV222" s="258"/>
      <c r="DW222" s="258"/>
      <c r="DX222" s="258"/>
      <c r="DY222" s="258"/>
      <c r="DZ222" s="792"/>
    </row>
    <row r="223" spans="2:130" s="229" customFormat="1" ht="14.25" customHeight="1" x14ac:dyDescent="0.2">
      <c r="B223" s="848"/>
      <c r="C223" s="848"/>
      <c r="D223" s="848"/>
      <c r="E223" s="790"/>
      <c r="F223" s="790"/>
      <c r="G223" s="830"/>
      <c r="H223" s="830"/>
      <c r="I223" s="830"/>
      <c r="J223" s="830"/>
      <c r="K223" s="830"/>
      <c r="L223" s="830"/>
      <c r="M223" s="830"/>
      <c r="N223" s="830"/>
      <c r="O223" s="830"/>
      <c r="P223" s="830"/>
      <c r="Q223" s="830"/>
      <c r="R223" s="830"/>
      <c r="S223" s="852"/>
      <c r="T223" s="830"/>
      <c r="U223" s="830"/>
      <c r="V223" s="830"/>
      <c r="W223" s="830"/>
      <c r="X223" s="830"/>
      <c r="Y223" s="830"/>
      <c r="Z223" s="830"/>
      <c r="AA223" s="830"/>
      <c r="AB223" s="830"/>
      <c r="AC223" s="830"/>
      <c r="AD223" s="830"/>
      <c r="AE223" s="830"/>
      <c r="AF223" s="830"/>
      <c r="AG223" s="830"/>
      <c r="AH223" s="258"/>
      <c r="AI223" s="258"/>
      <c r="AJ223" s="258"/>
      <c r="AK223" s="258"/>
      <c r="AL223" s="258"/>
      <c r="AM223" s="258"/>
      <c r="AN223" s="258"/>
      <c r="AO223" s="258"/>
      <c r="AP223" s="258"/>
      <c r="AQ223" s="258"/>
      <c r="AR223" s="258"/>
      <c r="AS223" s="258"/>
      <c r="AT223" s="258"/>
      <c r="AU223" s="258"/>
      <c r="AV223" s="258"/>
      <c r="AW223" s="258"/>
      <c r="AX223" s="258"/>
      <c r="AY223" s="258"/>
      <c r="AZ223" s="258"/>
      <c r="BA223" s="258"/>
      <c r="BB223" s="258"/>
      <c r="BC223" s="258"/>
      <c r="BD223" s="258"/>
      <c r="BE223" s="258"/>
      <c r="BF223" s="258"/>
      <c r="BG223" s="258"/>
      <c r="BH223" s="258"/>
      <c r="BI223" s="258"/>
      <c r="BJ223" s="258"/>
      <c r="BK223" s="258"/>
      <c r="BL223" s="258"/>
      <c r="BM223" s="258"/>
      <c r="BN223" s="258"/>
      <c r="BO223" s="258"/>
      <c r="BP223" s="258"/>
      <c r="BQ223" s="258"/>
      <c r="BR223" s="258"/>
      <c r="BS223" s="258"/>
      <c r="BT223" s="258"/>
      <c r="BU223" s="257"/>
      <c r="BV223" s="258"/>
      <c r="BW223" s="258"/>
      <c r="BX223" s="258"/>
      <c r="BY223" s="258"/>
      <c r="BZ223" s="446"/>
      <c r="CA223" s="446"/>
      <c r="CB223" s="446"/>
      <c r="CC223" s="446"/>
      <c r="CD223" s="446"/>
      <c r="CE223" s="446"/>
      <c r="CF223" s="446"/>
      <c r="CG223" s="446"/>
      <c r="CH223" s="446"/>
      <c r="CI223" s="446"/>
      <c r="CJ223" s="446"/>
      <c r="CK223" s="446"/>
      <c r="CL223" s="446"/>
      <c r="CM223" s="446"/>
      <c r="CN223" s="446"/>
      <c r="CO223" s="446"/>
      <c r="CP223" s="446"/>
      <c r="CQ223" s="446"/>
      <c r="CR223" s="446"/>
      <c r="CS223" s="446"/>
      <c r="CT223" s="446"/>
      <c r="CU223" s="446"/>
      <c r="CV223" s="446"/>
      <c r="CW223" s="851"/>
      <c r="CX223" s="446"/>
      <c r="CY223" s="446"/>
      <c r="CZ223" s="446"/>
      <c r="DA223" s="446"/>
      <c r="DB223" s="446"/>
      <c r="DC223" s="446"/>
      <c r="DD223" s="446"/>
      <c r="DE223" s="446"/>
      <c r="DF223" s="446"/>
      <c r="DG223" s="446"/>
      <c r="DH223" s="446"/>
      <c r="DI223" s="446"/>
      <c r="DJ223" s="446"/>
      <c r="DK223" s="446"/>
      <c r="DL223" s="446"/>
      <c r="DM223" s="446"/>
      <c r="DN223" s="446"/>
      <c r="DO223" s="446"/>
      <c r="DP223" s="258"/>
      <c r="DQ223" s="258"/>
      <c r="DR223" s="258"/>
      <c r="DS223" s="258"/>
      <c r="DT223" s="258"/>
      <c r="DU223" s="258"/>
      <c r="DV223" s="258"/>
      <c r="DW223" s="258"/>
      <c r="DX223" s="258"/>
      <c r="DY223" s="258"/>
      <c r="DZ223" s="792"/>
    </row>
    <row r="224" spans="2:130" s="229" customFormat="1" ht="14.25" customHeight="1" x14ac:dyDescent="0.2">
      <c r="B224" s="848"/>
      <c r="C224" s="848"/>
      <c r="D224" s="848"/>
      <c r="E224" s="790"/>
      <c r="F224" s="790"/>
      <c r="G224" s="830"/>
      <c r="H224" s="830"/>
      <c r="I224" s="830"/>
      <c r="J224" s="830"/>
      <c r="K224" s="830"/>
      <c r="L224" s="830"/>
      <c r="M224" s="830"/>
      <c r="N224" s="830"/>
      <c r="O224" s="830"/>
      <c r="P224" s="830"/>
      <c r="Q224" s="830"/>
      <c r="R224" s="830"/>
      <c r="S224" s="852"/>
      <c r="T224" s="830"/>
      <c r="U224" s="830"/>
      <c r="V224" s="830"/>
      <c r="W224" s="830"/>
      <c r="X224" s="830"/>
      <c r="Y224" s="830"/>
      <c r="Z224" s="830"/>
      <c r="AA224" s="830"/>
      <c r="AB224" s="830"/>
      <c r="AC224" s="830"/>
      <c r="AD224" s="830"/>
      <c r="AE224" s="830"/>
      <c r="AF224" s="830"/>
      <c r="AG224" s="830"/>
      <c r="AH224" s="258"/>
      <c r="AI224" s="258"/>
      <c r="AJ224" s="258"/>
      <c r="AK224" s="258"/>
      <c r="AL224" s="258"/>
      <c r="AM224" s="258"/>
      <c r="AN224" s="258"/>
      <c r="AO224" s="258"/>
      <c r="AP224" s="258"/>
      <c r="AQ224" s="258"/>
      <c r="AR224" s="258"/>
      <c r="AS224" s="258"/>
      <c r="AT224" s="258"/>
      <c r="AU224" s="258"/>
      <c r="AV224" s="258"/>
      <c r="AW224" s="258"/>
      <c r="AX224" s="258"/>
      <c r="AY224" s="258"/>
      <c r="AZ224" s="258"/>
      <c r="BA224" s="258"/>
      <c r="BB224" s="258"/>
      <c r="BC224" s="258"/>
      <c r="BD224" s="258"/>
      <c r="BE224" s="258"/>
      <c r="BF224" s="258"/>
      <c r="BG224" s="258"/>
      <c r="BH224" s="258"/>
      <c r="BI224" s="258"/>
      <c r="BJ224" s="258"/>
      <c r="BK224" s="258"/>
      <c r="BL224" s="258"/>
      <c r="BM224" s="258"/>
      <c r="BN224" s="258"/>
      <c r="BO224" s="258"/>
      <c r="BP224" s="258"/>
      <c r="BQ224" s="258"/>
      <c r="BR224" s="258"/>
      <c r="BS224" s="258"/>
      <c r="BT224" s="258"/>
      <c r="BU224" s="257"/>
      <c r="BV224" s="258"/>
      <c r="BW224" s="258"/>
      <c r="BX224" s="258"/>
      <c r="BY224" s="258"/>
      <c r="BZ224" s="446"/>
      <c r="CA224" s="446"/>
      <c r="CB224" s="446"/>
      <c r="CC224" s="446"/>
      <c r="CD224" s="446"/>
      <c r="CE224" s="446"/>
      <c r="CF224" s="446"/>
      <c r="CG224" s="446"/>
      <c r="CH224" s="446"/>
      <c r="CI224" s="446"/>
      <c r="CJ224" s="446"/>
      <c r="CK224" s="446"/>
      <c r="CL224" s="446"/>
      <c r="CM224" s="446"/>
      <c r="CN224" s="446"/>
      <c r="CO224" s="446"/>
      <c r="CP224" s="446"/>
      <c r="CQ224" s="446"/>
      <c r="CR224" s="446"/>
      <c r="CS224" s="446"/>
      <c r="CT224" s="446"/>
      <c r="CU224" s="446"/>
      <c r="CV224" s="446"/>
      <c r="CW224" s="851"/>
      <c r="CX224" s="446"/>
      <c r="CY224" s="446"/>
      <c r="CZ224" s="446"/>
      <c r="DA224" s="446"/>
      <c r="DB224" s="446"/>
      <c r="DC224" s="446"/>
      <c r="DD224" s="446"/>
      <c r="DE224" s="446"/>
      <c r="DF224" s="446"/>
      <c r="DG224" s="446"/>
      <c r="DH224" s="446"/>
      <c r="DI224" s="446"/>
      <c r="DJ224" s="446"/>
      <c r="DK224" s="446"/>
      <c r="DL224" s="446"/>
      <c r="DM224" s="446"/>
      <c r="DN224" s="446"/>
      <c r="DO224" s="446"/>
      <c r="DP224" s="258"/>
      <c r="DQ224" s="258"/>
      <c r="DR224" s="258"/>
      <c r="DS224" s="258"/>
      <c r="DT224" s="258"/>
      <c r="DU224" s="258"/>
      <c r="DV224" s="258"/>
      <c r="DW224" s="258"/>
      <c r="DX224" s="258"/>
      <c r="DY224" s="258"/>
      <c r="DZ224" s="792"/>
    </row>
    <row r="225" spans="2:130" s="229" customFormat="1" ht="14.25" customHeight="1" x14ac:dyDescent="0.2">
      <c r="B225" s="848"/>
      <c r="C225" s="848"/>
      <c r="D225" s="848"/>
      <c r="E225" s="790"/>
      <c r="F225" s="790"/>
      <c r="G225" s="830"/>
      <c r="H225" s="830"/>
      <c r="I225" s="830"/>
      <c r="J225" s="830"/>
      <c r="K225" s="830"/>
      <c r="L225" s="830"/>
      <c r="M225" s="830"/>
      <c r="N225" s="830"/>
      <c r="O225" s="830"/>
      <c r="P225" s="830"/>
      <c r="Q225" s="830"/>
      <c r="R225" s="830"/>
      <c r="S225" s="852"/>
      <c r="T225" s="830"/>
      <c r="U225" s="830"/>
      <c r="V225" s="830"/>
      <c r="W225" s="830"/>
      <c r="X225" s="830"/>
      <c r="Y225" s="830"/>
      <c r="Z225" s="830"/>
      <c r="AA225" s="830"/>
      <c r="AB225" s="830"/>
      <c r="AC225" s="830"/>
      <c r="AD225" s="830"/>
      <c r="AE225" s="830"/>
      <c r="AF225" s="830"/>
      <c r="AG225" s="830"/>
      <c r="AH225" s="258"/>
      <c r="AI225" s="258"/>
      <c r="AJ225" s="258"/>
      <c r="AK225" s="258"/>
      <c r="AL225" s="258"/>
      <c r="AM225" s="258"/>
      <c r="AN225" s="258"/>
      <c r="AO225" s="258"/>
      <c r="AP225" s="258"/>
      <c r="AQ225" s="258"/>
      <c r="AR225" s="258"/>
      <c r="AS225" s="258"/>
      <c r="AT225" s="258"/>
      <c r="AU225" s="258"/>
      <c r="AV225" s="258"/>
      <c r="AW225" s="258"/>
      <c r="AX225" s="258"/>
      <c r="AY225" s="258"/>
      <c r="AZ225" s="258"/>
      <c r="BA225" s="258"/>
      <c r="BB225" s="258"/>
      <c r="BC225" s="258"/>
      <c r="BD225" s="258"/>
      <c r="BE225" s="258"/>
      <c r="BF225" s="258"/>
      <c r="BG225" s="258"/>
      <c r="BH225" s="258"/>
      <c r="BI225" s="258"/>
      <c r="BJ225" s="258"/>
      <c r="BK225" s="258"/>
      <c r="BL225" s="258"/>
      <c r="BM225" s="258"/>
      <c r="BN225" s="258"/>
      <c r="BO225" s="258"/>
      <c r="BP225" s="258"/>
      <c r="BQ225" s="258"/>
      <c r="BR225" s="258"/>
      <c r="BS225" s="258"/>
      <c r="BT225" s="258"/>
      <c r="BU225" s="257"/>
      <c r="BV225" s="258"/>
      <c r="BW225" s="258"/>
      <c r="BX225" s="258"/>
      <c r="BY225" s="258"/>
      <c r="BZ225" s="446"/>
      <c r="CA225" s="446"/>
      <c r="CB225" s="446"/>
      <c r="CC225" s="446"/>
      <c r="CD225" s="446"/>
      <c r="CE225" s="446"/>
      <c r="CF225" s="446"/>
      <c r="CG225" s="446"/>
      <c r="CH225" s="446"/>
      <c r="CI225" s="446"/>
      <c r="CJ225" s="446"/>
      <c r="CK225" s="446"/>
      <c r="CL225" s="446"/>
      <c r="CM225" s="446"/>
      <c r="CN225" s="446"/>
      <c r="CO225" s="446"/>
      <c r="CP225" s="446"/>
      <c r="CQ225" s="446"/>
      <c r="CR225" s="446"/>
      <c r="CS225" s="446"/>
      <c r="CT225" s="446"/>
      <c r="CU225" s="446"/>
      <c r="CV225" s="446"/>
      <c r="CW225" s="851"/>
      <c r="CX225" s="446"/>
      <c r="CY225" s="446"/>
      <c r="CZ225" s="446"/>
      <c r="DA225" s="446"/>
      <c r="DB225" s="446"/>
      <c r="DC225" s="446"/>
      <c r="DD225" s="446"/>
      <c r="DE225" s="446"/>
      <c r="DF225" s="446"/>
      <c r="DG225" s="446"/>
      <c r="DH225" s="446"/>
      <c r="DI225" s="446"/>
      <c r="DJ225" s="446"/>
      <c r="DK225" s="446"/>
      <c r="DL225" s="446"/>
      <c r="DM225" s="446"/>
      <c r="DN225" s="446"/>
      <c r="DO225" s="446"/>
      <c r="DP225" s="258"/>
      <c r="DQ225" s="258"/>
      <c r="DR225" s="258"/>
      <c r="DS225" s="258"/>
      <c r="DT225" s="258"/>
      <c r="DU225" s="258"/>
      <c r="DV225" s="258"/>
      <c r="DW225" s="258"/>
      <c r="DX225" s="258"/>
      <c r="DY225" s="258"/>
      <c r="DZ225" s="792"/>
    </row>
    <row r="226" spans="2:130" s="229" customFormat="1" ht="14.25" customHeight="1" x14ac:dyDescent="0.2">
      <c r="B226" s="848"/>
      <c r="C226" s="848"/>
      <c r="D226" s="848"/>
      <c r="E226" s="790"/>
      <c r="F226" s="790"/>
      <c r="G226" s="830"/>
      <c r="H226" s="830"/>
      <c r="I226" s="830"/>
      <c r="J226" s="830"/>
      <c r="K226" s="830"/>
      <c r="L226" s="830"/>
      <c r="M226" s="830"/>
      <c r="N226" s="830"/>
      <c r="O226" s="830"/>
      <c r="P226" s="830"/>
      <c r="Q226" s="830"/>
      <c r="R226" s="830"/>
      <c r="S226" s="852"/>
      <c r="T226" s="830"/>
      <c r="U226" s="830"/>
      <c r="V226" s="830"/>
      <c r="W226" s="830"/>
      <c r="X226" s="830"/>
      <c r="Y226" s="830"/>
      <c r="Z226" s="830"/>
      <c r="AA226" s="830"/>
      <c r="AB226" s="830"/>
      <c r="AC226" s="830"/>
      <c r="AD226" s="830"/>
      <c r="AE226" s="830"/>
      <c r="AF226" s="830"/>
      <c r="AG226" s="830"/>
      <c r="AH226" s="258"/>
      <c r="AI226" s="258"/>
      <c r="AJ226" s="258"/>
      <c r="AK226" s="258"/>
      <c r="AL226" s="258"/>
      <c r="AM226" s="258"/>
      <c r="AN226" s="258"/>
      <c r="AO226" s="258"/>
      <c r="AP226" s="258"/>
      <c r="AQ226" s="258"/>
      <c r="AR226" s="258"/>
      <c r="AS226" s="258"/>
      <c r="AT226" s="258"/>
      <c r="AU226" s="258"/>
      <c r="AV226" s="258"/>
      <c r="AW226" s="258"/>
      <c r="AX226" s="258"/>
      <c r="AY226" s="258"/>
      <c r="AZ226" s="258"/>
      <c r="BA226" s="258"/>
      <c r="BB226" s="258"/>
      <c r="BC226" s="258"/>
      <c r="BD226" s="258"/>
      <c r="BE226" s="258"/>
      <c r="BF226" s="258"/>
      <c r="BG226" s="258"/>
      <c r="BH226" s="258"/>
      <c r="BI226" s="258"/>
      <c r="BJ226" s="258"/>
      <c r="BK226" s="258"/>
      <c r="BL226" s="258"/>
      <c r="BM226" s="258"/>
      <c r="BN226" s="258"/>
      <c r="BO226" s="258"/>
      <c r="BP226" s="258"/>
      <c r="BQ226" s="258"/>
      <c r="BR226" s="258"/>
      <c r="BS226" s="258"/>
      <c r="BT226" s="258"/>
      <c r="BU226" s="257"/>
      <c r="BV226" s="258"/>
      <c r="BW226" s="258"/>
      <c r="BX226" s="258"/>
      <c r="BY226" s="258"/>
      <c r="BZ226" s="446"/>
      <c r="CA226" s="446"/>
      <c r="CB226" s="446"/>
      <c r="CC226" s="446"/>
      <c r="CD226" s="446"/>
      <c r="CE226" s="446"/>
      <c r="CF226" s="446"/>
      <c r="CG226" s="446"/>
      <c r="CH226" s="446"/>
      <c r="CI226" s="446"/>
      <c r="CJ226" s="446"/>
      <c r="CK226" s="446"/>
      <c r="CL226" s="446"/>
      <c r="CM226" s="446"/>
      <c r="CN226" s="446"/>
      <c r="CO226" s="446"/>
      <c r="CP226" s="446"/>
      <c r="CQ226" s="446"/>
      <c r="CR226" s="446"/>
      <c r="CS226" s="446"/>
      <c r="CT226" s="446"/>
      <c r="CU226" s="446"/>
      <c r="CV226" s="446"/>
      <c r="CW226" s="851"/>
      <c r="CX226" s="446"/>
      <c r="CY226" s="446"/>
      <c r="CZ226" s="446"/>
      <c r="DA226" s="446"/>
      <c r="DB226" s="446"/>
      <c r="DC226" s="446"/>
      <c r="DD226" s="446"/>
      <c r="DE226" s="446"/>
      <c r="DF226" s="446"/>
      <c r="DG226" s="446"/>
      <c r="DH226" s="446"/>
      <c r="DI226" s="446"/>
      <c r="DJ226" s="446"/>
      <c r="DK226" s="446"/>
      <c r="DL226" s="446"/>
      <c r="DM226" s="446"/>
      <c r="DN226" s="446"/>
      <c r="DO226" s="446"/>
      <c r="DP226" s="258"/>
      <c r="DQ226" s="258"/>
      <c r="DR226" s="258"/>
      <c r="DS226" s="258"/>
      <c r="DT226" s="258"/>
      <c r="DU226" s="258"/>
      <c r="DV226" s="258"/>
      <c r="DW226" s="258"/>
      <c r="DX226" s="258"/>
      <c r="DY226" s="258"/>
      <c r="DZ226" s="792"/>
    </row>
    <row r="227" spans="2:130" s="229" customFormat="1" ht="14.25" customHeight="1" x14ac:dyDescent="0.2">
      <c r="B227" s="848"/>
      <c r="C227" s="848"/>
      <c r="D227" s="848"/>
      <c r="E227" s="790"/>
      <c r="F227" s="790"/>
      <c r="G227" s="830"/>
      <c r="H227" s="830"/>
      <c r="I227" s="830"/>
      <c r="J227" s="830"/>
      <c r="K227" s="830"/>
      <c r="L227" s="830"/>
      <c r="M227" s="830"/>
      <c r="N227" s="830"/>
      <c r="O227" s="830"/>
      <c r="P227" s="830"/>
      <c r="Q227" s="830"/>
      <c r="R227" s="830"/>
      <c r="S227" s="852"/>
      <c r="T227" s="830"/>
      <c r="U227" s="830"/>
      <c r="V227" s="830"/>
      <c r="W227" s="830"/>
      <c r="X227" s="830"/>
      <c r="Y227" s="830"/>
      <c r="Z227" s="830"/>
      <c r="AA227" s="830"/>
      <c r="AB227" s="830"/>
      <c r="AC227" s="830"/>
      <c r="AD227" s="830"/>
      <c r="AE227" s="830"/>
      <c r="AF227" s="830"/>
      <c r="AG227" s="830"/>
      <c r="AH227" s="258"/>
      <c r="AI227" s="258"/>
      <c r="AJ227" s="258"/>
      <c r="AK227" s="258"/>
      <c r="AL227" s="258"/>
      <c r="AM227" s="258"/>
      <c r="AN227" s="258"/>
      <c r="AO227" s="258"/>
      <c r="AP227" s="258"/>
      <c r="AQ227" s="258"/>
      <c r="AR227" s="258"/>
      <c r="AS227" s="258"/>
      <c r="AT227" s="258"/>
      <c r="AU227" s="258"/>
      <c r="AV227" s="258"/>
      <c r="AW227" s="258"/>
      <c r="AX227" s="258"/>
      <c r="AY227" s="258"/>
      <c r="AZ227" s="258"/>
      <c r="BA227" s="258"/>
      <c r="BB227" s="258"/>
      <c r="BC227" s="258"/>
      <c r="BD227" s="258"/>
      <c r="BE227" s="258"/>
      <c r="BF227" s="258"/>
      <c r="BG227" s="258"/>
      <c r="BH227" s="258"/>
      <c r="BI227" s="258"/>
      <c r="BJ227" s="258"/>
      <c r="BK227" s="258"/>
      <c r="BL227" s="258"/>
      <c r="BM227" s="258"/>
      <c r="BN227" s="258"/>
      <c r="BO227" s="258"/>
      <c r="BP227" s="258"/>
      <c r="BQ227" s="258"/>
      <c r="BR227" s="258"/>
      <c r="BS227" s="258"/>
      <c r="BT227" s="258"/>
      <c r="BU227" s="257"/>
      <c r="BV227" s="258"/>
      <c r="BW227" s="258"/>
      <c r="BX227" s="258"/>
      <c r="BY227" s="258"/>
      <c r="BZ227" s="446"/>
      <c r="CA227" s="446"/>
      <c r="CB227" s="446"/>
      <c r="CC227" s="446"/>
      <c r="CD227" s="446"/>
      <c r="CE227" s="446"/>
      <c r="CF227" s="446"/>
      <c r="CG227" s="446"/>
      <c r="CH227" s="446"/>
      <c r="CI227" s="446"/>
      <c r="CJ227" s="446"/>
      <c r="CK227" s="446"/>
      <c r="CL227" s="446"/>
      <c r="CM227" s="446"/>
      <c r="CN227" s="446"/>
      <c r="CO227" s="446"/>
      <c r="CP227" s="446"/>
      <c r="CQ227" s="446"/>
      <c r="CR227" s="446"/>
      <c r="CS227" s="446"/>
      <c r="CT227" s="446"/>
      <c r="CU227" s="446"/>
      <c r="CV227" s="446"/>
      <c r="CW227" s="851"/>
      <c r="CX227" s="446"/>
      <c r="CY227" s="446"/>
      <c r="CZ227" s="446"/>
      <c r="DA227" s="446"/>
      <c r="DB227" s="446"/>
      <c r="DC227" s="446"/>
      <c r="DD227" s="446"/>
      <c r="DE227" s="446"/>
      <c r="DF227" s="446"/>
      <c r="DG227" s="446"/>
      <c r="DH227" s="446"/>
      <c r="DI227" s="446"/>
      <c r="DJ227" s="446"/>
      <c r="DK227" s="446"/>
      <c r="DL227" s="446"/>
      <c r="DM227" s="446"/>
      <c r="DN227" s="446"/>
      <c r="DO227" s="446"/>
      <c r="DP227" s="258"/>
      <c r="DQ227" s="258"/>
      <c r="DR227" s="258"/>
      <c r="DS227" s="258"/>
      <c r="DT227" s="258"/>
      <c r="DU227" s="258"/>
      <c r="DV227" s="258"/>
      <c r="DW227" s="258"/>
      <c r="DX227" s="258"/>
      <c r="DY227" s="258"/>
      <c r="DZ227" s="792"/>
    </row>
    <row r="228" spans="2:130" s="229" customFormat="1" ht="14.25" customHeight="1" x14ac:dyDescent="0.2">
      <c r="B228" s="848"/>
      <c r="C228" s="848"/>
      <c r="D228" s="848"/>
      <c r="E228" s="790"/>
      <c r="F228" s="790"/>
      <c r="G228" s="830"/>
      <c r="H228" s="830"/>
      <c r="I228" s="830"/>
      <c r="J228" s="830"/>
      <c r="K228" s="830"/>
      <c r="L228" s="830"/>
      <c r="M228" s="830"/>
      <c r="N228" s="830"/>
      <c r="O228" s="830"/>
      <c r="P228" s="830"/>
      <c r="Q228" s="830"/>
      <c r="R228" s="830"/>
      <c r="S228" s="852"/>
      <c r="T228" s="830"/>
      <c r="U228" s="830"/>
      <c r="V228" s="830"/>
      <c r="W228" s="830"/>
      <c r="X228" s="830"/>
      <c r="Y228" s="830"/>
      <c r="Z228" s="830"/>
      <c r="AA228" s="830"/>
      <c r="AB228" s="830"/>
      <c r="AC228" s="830"/>
      <c r="AD228" s="830"/>
      <c r="AE228" s="830"/>
      <c r="AF228" s="830"/>
      <c r="AG228" s="830"/>
      <c r="AH228" s="258"/>
      <c r="AI228" s="258"/>
      <c r="AJ228" s="258"/>
      <c r="AK228" s="258"/>
      <c r="AL228" s="258"/>
      <c r="AM228" s="258"/>
      <c r="AN228" s="258"/>
      <c r="AO228" s="258"/>
      <c r="AP228" s="258"/>
      <c r="AQ228" s="258"/>
      <c r="AR228" s="258"/>
      <c r="AS228" s="258"/>
      <c r="AT228" s="258"/>
      <c r="AU228" s="258"/>
      <c r="AV228" s="258"/>
      <c r="AW228" s="258"/>
      <c r="AX228" s="258"/>
      <c r="AY228" s="258"/>
      <c r="AZ228" s="258"/>
      <c r="BA228" s="258"/>
      <c r="BB228" s="258"/>
      <c r="BC228" s="258"/>
      <c r="BD228" s="258"/>
      <c r="BE228" s="258"/>
      <c r="BF228" s="258"/>
      <c r="BG228" s="258"/>
      <c r="BH228" s="258"/>
      <c r="BI228" s="258"/>
      <c r="BJ228" s="258"/>
      <c r="BK228" s="258"/>
      <c r="BL228" s="258"/>
      <c r="BM228" s="258"/>
      <c r="BN228" s="258"/>
      <c r="BO228" s="258"/>
      <c r="BP228" s="258"/>
      <c r="BQ228" s="258"/>
      <c r="BR228" s="258"/>
      <c r="BS228" s="258"/>
      <c r="BT228" s="258"/>
      <c r="BU228" s="257"/>
      <c r="BV228" s="258"/>
      <c r="BW228" s="258"/>
      <c r="BX228" s="258"/>
      <c r="BY228" s="258"/>
      <c r="BZ228" s="446"/>
      <c r="CA228" s="446"/>
      <c r="CB228" s="446"/>
      <c r="CC228" s="446"/>
      <c r="CD228" s="446"/>
      <c r="CE228" s="446"/>
      <c r="CF228" s="446"/>
      <c r="CG228" s="446"/>
      <c r="CH228" s="446"/>
      <c r="CI228" s="446"/>
      <c r="CJ228" s="446"/>
      <c r="CK228" s="446"/>
      <c r="CL228" s="446"/>
      <c r="CM228" s="446"/>
      <c r="CN228" s="446"/>
      <c r="CO228" s="446"/>
      <c r="CP228" s="446"/>
      <c r="CQ228" s="446"/>
      <c r="CR228" s="446"/>
      <c r="CS228" s="446"/>
      <c r="CT228" s="446"/>
      <c r="CU228" s="446"/>
      <c r="CV228" s="446"/>
      <c r="CW228" s="851"/>
      <c r="CX228" s="446"/>
      <c r="CY228" s="446"/>
      <c r="CZ228" s="446"/>
      <c r="DA228" s="446"/>
      <c r="DB228" s="446"/>
      <c r="DC228" s="446"/>
      <c r="DD228" s="446"/>
      <c r="DE228" s="446"/>
      <c r="DF228" s="446"/>
      <c r="DG228" s="446"/>
      <c r="DH228" s="446"/>
      <c r="DI228" s="446"/>
      <c r="DJ228" s="446"/>
      <c r="DK228" s="446"/>
      <c r="DL228" s="446"/>
      <c r="DM228" s="446"/>
      <c r="DN228" s="446"/>
      <c r="DO228" s="446"/>
      <c r="DP228" s="258"/>
      <c r="DQ228" s="258"/>
      <c r="DR228" s="258"/>
      <c r="DS228" s="258"/>
      <c r="DT228" s="258"/>
      <c r="DU228" s="258"/>
      <c r="DV228" s="258"/>
      <c r="DW228" s="258"/>
      <c r="DX228" s="258"/>
      <c r="DY228" s="258"/>
      <c r="DZ228" s="792"/>
    </row>
    <row r="229" spans="2:130" s="229" customFormat="1" ht="14.25" customHeight="1" x14ac:dyDescent="0.2">
      <c r="B229" s="848"/>
      <c r="C229" s="848"/>
      <c r="D229" s="848"/>
      <c r="E229" s="790"/>
      <c r="F229" s="790"/>
      <c r="G229" s="830"/>
      <c r="H229" s="830"/>
      <c r="I229" s="830"/>
      <c r="J229" s="830"/>
      <c r="K229" s="830"/>
      <c r="L229" s="830"/>
      <c r="M229" s="830"/>
      <c r="N229" s="830"/>
      <c r="O229" s="830"/>
      <c r="P229" s="830"/>
      <c r="Q229" s="830"/>
      <c r="R229" s="830"/>
      <c r="S229" s="852"/>
      <c r="T229" s="830"/>
      <c r="U229" s="830"/>
      <c r="V229" s="830"/>
      <c r="W229" s="830"/>
      <c r="X229" s="830"/>
      <c r="Y229" s="830"/>
      <c r="Z229" s="830"/>
      <c r="AA229" s="830"/>
      <c r="AB229" s="830"/>
      <c r="AC229" s="830"/>
      <c r="AD229" s="830"/>
      <c r="AE229" s="830"/>
      <c r="AF229" s="830"/>
      <c r="AG229" s="830"/>
      <c r="AH229" s="258"/>
      <c r="AI229" s="258"/>
      <c r="AJ229" s="258"/>
      <c r="AK229" s="258"/>
      <c r="AL229" s="258"/>
      <c r="AM229" s="258"/>
      <c r="AN229" s="258"/>
      <c r="AO229" s="258"/>
      <c r="AP229" s="258"/>
      <c r="AQ229" s="258"/>
      <c r="AR229" s="258"/>
      <c r="AS229" s="258"/>
      <c r="AT229" s="258"/>
      <c r="AU229" s="258"/>
      <c r="AV229" s="258"/>
      <c r="AW229" s="258"/>
      <c r="AX229" s="258"/>
      <c r="AY229" s="258"/>
      <c r="AZ229" s="258"/>
      <c r="BA229" s="258"/>
      <c r="BB229" s="258"/>
      <c r="BC229" s="258"/>
      <c r="BD229" s="258"/>
      <c r="BE229" s="258"/>
      <c r="BF229" s="258"/>
      <c r="BG229" s="258"/>
      <c r="BH229" s="258"/>
      <c r="BI229" s="258"/>
      <c r="BJ229" s="258"/>
      <c r="BK229" s="258"/>
      <c r="BL229" s="258"/>
      <c r="BM229" s="258"/>
      <c r="BN229" s="258"/>
      <c r="BO229" s="258"/>
      <c r="BP229" s="258"/>
      <c r="BQ229" s="258"/>
      <c r="BR229" s="258"/>
      <c r="BS229" s="258"/>
      <c r="BT229" s="258"/>
      <c r="BU229" s="257"/>
      <c r="BV229" s="258"/>
      <c r="BW229" s="258"/>
      <c r="BX229" s="258"/>
      <c r="BY229" s="258"/>
      <c r="BZ229" s="446"/>
      <c r="CA229" s="446"/>
      <c r="CB229" s="446"/>
      <c r="CC229" s="446"/>
      <c r="CD229" s="446"/>
      <c r="CE229" s="446"/>
      <c r="CF229" s="446"/>
      <c r="CG229" s="446"/>
      <c r="CH229" s="446"/>
      <c r="CI229" s="446"/>
      <c r="CJ229" s="446"/>
      <c r="CK229" s="446"/>
      <c r="CL229" s="446"/>
      <c r="CM229" s="446"/>
      <c r="CN229" s="446"/>
      <c r="CO229" s="446"/>
      <c r="CP229" s="446"/>
      <c r="CQ229" s="446"/>
      <c r="CR229" s="446"/>
      <c r="CS229" s="446"/>
      <c r="CT229" s="446"/>
      <c r="CU229" s="446"/>
      <c r="CV229" s="446"/>
      <c r="CW229" s="851"/>
      <c r="CX229" s="446"/>
      <c r="CY229" s="446"/>
      <c r="CZ229" s="446"/>
      <c r="DA229" s="446"/>
      <c r="DB229" s="446"/>
      <c r="DC229" s="446"/>
      <c r="DD229" s="446"/>
      <c r="DE229" s="446"/>
      <c r="DF229" s="446"/>
      <c r="DG229" s="446"/>
      <c r="DH229" s="446"/>
      <c r="DI229" s="446"/>
      <c r="DJ229" s="446"/>
      <c r="DK229" s="446"/>
      <c r="DL229" s="446"/>
      <c r="DM229" s="446"/>
      <c r="DN229" s="446"/>
      <c r="DO229" s="446"/>
      <c r="DP229" s="258"/>
      <c r="DQ229" s="258"/>
      <c r="DR229" s="258"/>
      <c r="DS229" s="258"/>
      <c r="DT229" s="258"/>
      <c r="DU229" s="258"/>
      <c r="DV229" s="258"/>
      <c r="DW229" s="258"/>
      <c r="DX229" s="258"/>
      <c r="DY229" s="258"/>
      <c r="DZ229" s="792"/>
    </row>
    <row r="230" spans="2:130" s="229" customFormat="1" ht="14.25" customHeight="1" x14ac:dyDescent="0.2">
      <c r="B230" s="848"/>
      <c r="C230" s="848"/>
      <c r="D230" s="848"/>
      <c r="E230" s="790"/>
      <c r="F230" s="790"/>
      <c r="G230" s="830"/>
      <c r="H230" s="830"/>
      <c r="I230" s="830"/>
      <c r="J230" s="830"/>
      <c r="K230" s="830"/>
      <c r="L230" s="830"/>
      <c r="M230" s="830"/>
      <c r="N230" s="830"/>
      <c r="O230" s="830"/>
      <c r="P230" s="830"/>
      <c r="Q230" s="830"/>
      <c r="R230" s="830"/>
      <c r="S230" s="852"/>
      <c r="T230" s="830"/>
      <c r="U230" s="830"/>
      <c r="V230" s="830"/>
      <c r="W230" s="830"/>
      <c r="X230" s="830"/>
      <c r="Y230" s="830"/>
      <c r="Z230" s="830"/>
      <c r="AA230" s="830"/>
      <c r="AB230" s="830"/>
      <c r="AC230" s="830"/>
      <c r="AD230" s="830"/>
      <c r="AE230" s="830"/>
      <c r="AF230" s="830"/>
      <c r="AG230" s="830"/>
      <c r="AH230" s="258"/>
      <c r="AI230" s="258"/>
      <c r="AJ230" s="258"/>
      <c r="AK230" s="258"/>
      <c r="AL230" s="258"/>
      <c r="AM230" s="258"/>
      <c r="AN230" s="258"/>
      <c r="AO230" s="258"/>
      <c r="AP230" s="258"/>
      <c r="AQ230" s="258"/>
      <c r="AR230" s="258"/>
      <c r="AS230" s="258"/>
      <c r="AT230" s="258"/>
      <c r="AU230" s="258"/>
      <c r="AV230" s="258"/>
      <c r="AW230" s="258"/>
      <c r="AX230" s="258"/>
      <c r="AY230" s="258"/>
      <c r="AZ230" s="258"/>
      <c r="BA230" s="258"/>
      <c r="BB230" s="258"/>
      <c r="BC230" s="258"/>
      <c r="BD230" s="258"/>
      <c r="BE230" s="258"/>
      <c r="BF230" s="258"/>
      <c r="BG230" s="258"/>
      <c r="BH230" s="258"/>
      <c r="BI230" s="258"/>
      <c r="BJ230" s="258"/>
      <c r="BK230" s="258"/>
      <c r="BL230" s="258"/>
      <c r="BM230" s="258"/>
      <c r="BN230" s="258"/>
      <c r="BO230" s="258"/>
      <c r="BP230" s="258"/>
      <c r="BQ230" s="258"/>
      <c r="BR230" s="258"/>
      <c r="BS230" s="258"/>
      <c r="BT230" s="258"/>
      <c r="BU230" s="257"/>
      <c r="BV230" s="258"/>
      <c r="BW230" s="258"/>
      <c r="BX230" s="258"/>
      <c r="BY230" s="258"/>
      <c r="BZ230" s="446"/>
      <c r="CA230" s="446"/>
      <c r="CB230" s="446"/>
      <c r="CC230" s="446"/>
      <c r="CD230" s="446"/>
      <c r="CE230" s="446"/>
      <c r="CF230" s="446"/>
      <c r="CG230" s="446"/>
      <c r="CH230" s="446"/>
      <c r="CI230" s="446"/>
      <c r="CJ230" s="446"/>
      <c r="CK230" s="446"/>
      <c r="CL230" s="446"/>
      <c r="CM230" s="446"/>
      <c r="CN230" s="446"/>
      <c r="CO230" s="446"/>
      <c r="CP230" s="446"/>
      <c r="CQ230" s="446"/>
      <c r="CR230" s="446"/>
      <c r="CS230" s="446"/>
      <c r="CT230" s="446"/>
      <c r="CU230" s="446"/>
      <c r="CV230" s="446"/>
      <c r="CW230" s="851"/>
      <c r="CX230" s="446"/>
      <c r="CY230" s="446"/>
      <c r="CZ230" s="446"/>
      <c r="DA230" s="446"/>
      <c r="DB230" s="446"/>
      <c r="DC230" s="446"/>
      <c r="DD230" s="446"/>
      <c r="DE230" s="446"/>
      <c r="DF230" s="446"/>
      <c r="DG230" s="446"/>
      <c r="DH230" s="446"/>
      <c r="DI230" s="446"/>
      <c r="DJ230" s="446"/>
      <c r="DK230" s="446"/>
      <c r="DL230" s="446"/>
      <c r="DM230" s="446"/>
      <c r="DN230" s="446"/>
      <c r="DO230" s="446"/>
      <c r="DP230" s="258"/>
      <c r="DQ230" s="258"/>
      <c r="DR230" s="258"/>
      <c r="DS230" s="258"/>
      <c r="DT230" s="258"/>
      <c r="DU230" s="258"/>
      <c r="DV230" s="258"/>
      <c r="DW230" s="258"/>
      <c r="DX230" s="258"/>
      <c r="DY230" s="258"/>
      <c r="DZ230" s="792"/>
    </row>
    <row r="231" spans="2:130" s="223" customFormat="1" ht="14.25" customHeight="1" x14ac:dyDescent="0.2">
      <c r="B231" s="851"/>
      <c r="C231" s="851"/>
      <c r="D231" s="851"/>
      <c r="E231" s="820"/>
      <c r="F231" s="820"/>
      <c r="G231" s="853"/>
      <c r="H231" s="853"/>
      <c r="I231" s="853"/>
      <c r="J231" s="853"/>
      <c r="K231" s="853"/>
      <c r="L231" s="853"/>
      <c r="M231" s="853"/>
      <c r="N231" s="853"/>
      <c r="O231" s="853"/>
      <c r="P231" s="853"/>
      <c r="Q231" s="853"/>
      <c r="R231" s="853"/>
      <c r="S231" s="854"/>
      <c r="T231" s="853"/>
      <c r="U231" s="853"/>
      <c r="V231" s="853"/>
      <c r="W231" s="853"/>
      <c r="X231" s="853"/>
      <c r="Y231" s="853"/>
      <c r="Z231" s="853"/>
      <c r="AA231" s="853"/>
      <c r="AB231" s="853"/>
      <c r="AC231" s="853"/>
      <c r="AD231" s="853"/>
      <c r="AE231" s="853"/>
      <c r="AF231" s="853"/>
      <c r="AG231" s="853"/>
      <c r="AH231" s="446"/>
      <c r="AI231" s="446"/>
      <c r="AJ231" s="446"/>
      <c r="AK231" s="446"/>
      <c r="AL231" s="446"/>
      <c r="AM231" s="446"/>
      <c r="AN231" s="446"/>
      <c r="AO231" s="446"/>
      <c r="AP231" s="446"/>
      <c r="AQ231" s="446"/>
      <c r="AR231" s="446"/>
      <c r="AS231" s="446"/>
      <c r="AT231" s="446"/>
      <c r="AU231" s="446"/>
      <c r="AV231" s="446"/>
      <c r="AW231" s="446"/>
      <c r="AX231" s="446"/>
      <c r="AY231" s="446"/>
      <c r="AZ231" s="446"/>
      <c r="BA231" s="446"/>
      <c r="BB231" s="446"/>
      <c r="BC231" s="446"/>
      <c r="BD231" s="446"/>
      <c r="BE231" s="446"/>
      <c r="BF231" s="446"/>
      <c r="BG231" s="446"/>
      <c r="BH231" s="446"/>
      <c r="BI231" s="446"/>
      <c r="BJ231" s="446"/>
      <c r="BK231" s="446"/>
      <c r="BL231" s="446"/>
      <c r="BM231" s="446"/>
      <c r="BN231" s="446"/>
      <c r="BO231" s="446"/>
      <c r="BP231" s="446"/>
      <c r="BQ231" s="446"/>
      <c r="BR231" s="446"/>
      <c r="BS231" s="446"/>
      <c r="BT231" s="446"/>
      <c r="BU231" s="562"/>
      <c r="BV231" s="446"/>
      <c r="BW231" s="446"/>
      <c r="BX231" s="446"/>
      <c r="BY231" s="446"/>
      <c r="BZ231" s="446"/>
      <c r="CA231" s="446"/>
      <c r="CB231" s="446"/>
      <c r="CC231" s="446"/>
      <c r="CD231" s="446"/>
      <c r="CE231" s="446"/>
      <c r="CF231" s="446"/>
      <c r="CG231" s="446"/>
      <c r="CH231" s="446"/>
      <c r="CI231" s="446"/>
      <c r="CJ231" s="446"/>
      <c r="CK231" s="446"/>
      <c r="CL231" s="446"/>
      <c r="CM231" s="446"/>
      <c r="CN231" s="446"/>
      <c r="CO231" s="446"/>
      <c r="CP231" s="446"/>
      <c r="CQ231" s="446"/>
      <c r="CR231" s="446"/>
      <c r="CS231" s="446"/>
      <c r="CT231" s="446"/>
      <c r="CU231" s="446"/>
      <c r="CV231" s="446"/>
      <c r="CW231" s="851"/>
      <c r="CX231" s="446"/>
      <c r="CY231" s="446"/>
      <c r="CZ231" s="446"/>
      <c r="DA231" s="446"/>
      <c r="DB231" s="446"/>
      <c r="DC231" s="446"/>
      <c r="DD231" s="446"/>
      <c r="DE231" s="446"/>
      <c r="DF231" s="446"/>
      <c r="DG231" s="446"/>
      <c r="DH231" s="446"/>
      <c r="DI231" s="446"/>
      <c r="DJ231" s="446"/>
      <c r="DK231" s="446"/>
      <c r="DL231" s="446"/>
      <c r="DM231" s="446"/>
      <c r="DN231" s="446"/>
      <c r="DO231" s="446"/>
      <c r="DP231" s="446"/>
      <c r="DQ231" s="446"/>
      <c r="DR231" s="446"/>
      <c r="DS231" s="446"/>
      <c r="DT231" s="446"/>
      <c r="DU231" s="446"/>
      <c r="DV231" s="446"/>
      <c r="DW231" s="446"/>
      <c r="DX231" s="446"/>
      <c r="DY231" s="446"/>
      <c r="DZ231" s="283"/>
    </row>
    <row r="232" spans="2:130" s="223" customFormat="1" ht="14.25" customHeight="1" x14ac:dyDescent="0.2">
      <c r="B232" s="851"/>
      <c r="C232" s="851"/>
      <c r="D232" s="851"/>
      <c r="E232" s="820"/>
      <c r="F232" s="820"/>
      <c r="G232" s="853"/>
      <c r="H232" s="853"/>
      <c r="I232" s="853"/>
      <c r="J232" s="853"/>
      <c r="K232" s="853"/>
      <c r="L232" s="853"/>
      <c r="M232" s="853"/>
      <c r="N232" s="853"/>
      <c r="O232" s="853"/>
      <c r="P232" s="853"/>
      <c r="Q232" s="853"/>
      <c r="R232" s="853"/>
      <c r="S232" s="854"/>
      <c r="T232" s="853"/>
      <c r="U232" s="853"/>
      <c r="V232" s="853"/>
      <c r="W232" s="853"/>
      <c r="X232" s="853"/>
      <c r="Y232" s="853"/>
      <c r="Z232" s="853"/>
      <c r="AA232" s="853"/>
      <c r="AB232" s="853"/>
      <c r="AC232" s="853"/>
      <c r="AD232" s="853"/>
      <c r="AE232" s="853"/>
      <c r="AF232" s="853"/>
      <c r="AG232" s="853"/>
      <c r="AH232" s="446"/>
      <c r="AI232" s="446"/>
      <c r="AJ232" s="446"/>
      <c r="AK232" s="446"/>
      <c r="AL232" s="446"/>
      <c r="AM232" s="446"/>
      <c r="AN232" s="446"/>
      <c r="AO232" s="446"/>
      <c r="AP232" s="446"/>
      <c r="AQ232" s="446"/>
      <c r="AR232" s="446"/>
      <c r="AS232" s="446"/>
      <c r="AT232" s="446"/>
      <c r="AU232" s="446"/>
      <c r="AV232" s="446"/>
      <c r="AW232" s="446"/>
      <c r="AX232" s="446"/>
      <c r="AY232" s="446"/>
      <c r="AZ232" s="446"/>
      <c r="BA232" s="446"/>
      <c r="BB232" s="446"/>
      <c r="BC232" s="446"/>
      <c r="BD232" s="446"/>
      <c r="BE232" s="446"/>
      <c r="BF232" s="446"/>
      <c r="BG232" s="446"/>
      <c r="BH232" s="446"/>
      <c r="BI232" s="446"/>
      <c r="BJ232" s="446"/>
      <c r="BK232" s="446"/>
      <c r="BL232" s="446"/>
      <c r="BM232" s="446"/>
      <c r="BN232" s="446"/>
      <c r="BO232" s="446"/>
      <c r="BP232" s="446"/>
      <c r="BQ232" s="446"/>
      <c r="BR232" s="446"/>
      <c r="BS232" s="446"/>
      <c r="BT232" s="446"/>
      <c r="BU232" s="562"/>
      <c r="BV232" s="446"/>
      <c r="BW232" s="446"/>
      <c r="BX232" s="446"/>
      <c r="BY232" s="446"/>
      <c r="BZ232" s="446"/>
      <c r="CA232" s="446"/>
      <c r="CB232" s="446"/>
      <c r="CC232" s="446"/>
      <c r="CD232" s="446"/>
      <c r="CE232" s="446"/>
      <c r="CF232" s="446"/>
      <c r="CG232" s="446"/>
      <c r="CH232" s="446"/>
      <c r="CI232" s="446"/>
      <c r="CJ232" s="446"/>
      <c r="CK232" s="446"/>
      <c r="CL232" s="446"/>
      <c r="CM232" s="446"/>
      <c r="CN232" s="446"/>
      <c r="CO232" s="446"/>
      <c r="CP232" s="446"/>
      <c r="CQ232" s="446"/>
      <c r="CR232" s="446"/>
      <c r="CS232" s="446"/>
      <c r="CT232" s="446"/>
      <c r="CU232" s="446"/>
      <c r="CV232" s="446"/>
      <c r="CW232" s="851"/>
      <c r="CX232" s="446"/>
      <c r="CY232" s="446"/>
      <c r="CZ232" s="446"/>
      <c r="DA232" s="446"/>
      <c r="DB232" s="446"/>
      <c r="DC232" s="446"/>
      <c r="DD232" s="446"/>
      <c r="DE232" s="446"/>
      <c r="DF232" s="446"/>
      <c r="DG232" s="446"/>
      <c r="DH232" s="446"/>
      <c r="DI232" s="446"/>
      <c r="DJ232" s="446"/>
      <c r="DK232" s="446"/>
      <c r="DL232" s="446"/>
      <c r="DM232" s="446"/>
      <c r="DN232" s="446"/>
      <c r="DO232" s="446"/>
      <c r="DP232" s="446"/>
      <c r="DQ232" s="446"/>
      <c r="DR232" s="446"/>
      <c r="DS232" s="446"/>
      <c r="DT232" s="446"/>
      <c r="DU232" s="446"/>
      <c r="DV232" s="446"/>
      <c r="DW232" s="446"/>
      <c r="DX232" s="446"/>
      <c r="DY232" s="446"/>
      <c r="DZ232" s="283"/>
    </row>
    <row r="233" spans="2:130" s="223" customFormat="1" ht="14.25" customHeight="1" x14ac:dyDescent="0.2">
      <c r="B233" s="851"/>
      <c r="C233" s="851"/>
      <c r="D233" s="851"/>
      <c r="E233" s="820"/>
      <c r="F233" s="820"/>
      <c r="G233" s="853"/>
      <c r="H233" s="853"/>
      <c r="I233" s="853"/>
      <c r="J233" s="853"/>
      <c r="K233" s="853"/>
      <c r="L233" s="853"/>
      <c r="M233" s="853"/>
      <c r="N233" s="853"/>
      <c r="O233" s="853"/>
      <c r="P233" s="853"/>
      <c r="Q233" s="853"/>
      <c r="R233" s="853"/>
      <c r="S233" s="854"/>
      <c r="T233" s="853"/>
      <c r="U233" s="853"/>
      <c r="V233" s="853"/>
      <c r="W233" s="853"/>
      <c r="X233" s="853"/>
      <c r="Y233" s="853"/>
      <c r="Z233" s="853"/>
      <c r="AA233" s="853"/>
      <c r="AB233" s="853"/>
      <c r="AC233" s="853"/>
      <c r="AD233" s="853"/>
      <c r="AE233" s="853"/>
      <c r="AF233" s="853"/>
      <c r="AG233" s="853"/>
      <c r="AH233" s="446"/>
      <c r="AI233" s="446"/>
      <c r="AJ233" s="446"/>
      <c r="AK233" s="446"/>
      <c r="AL233" s="446"/>
      <c r="AM233" s="446"/>
      <c r="AN233" s="446"/>
      <c r="AO233" s="446"/>
      <c r="AP233" s="446"/>
      <c r="AQ233" s="446"/>
      <c r="AR233" s="446"/>
      <c r="AS233" s="446"/>
      <c r="AT233" s="446"/>
      <c r="AU233" s="446"/>
      <c r="AV233" s="446"/>
      <c r="AW233" s="446"/>
      <c r="AX233" s="446"/>
      <c r="AY233" s="446"/>
      <c r="AZ233" s="446"/>
      <c r="BA233" s="446"/>
      <c r="BB233" s="446"/>
      <c r="BC233" s="446"/>
      <c r="BD233" s="446"/>
      <c r="BE233" s="446"/>
      <c r="BF233" s="446"/>
      <c r="BG233" s="446"/>
      <c r="BH233" s="446"/>
      <c r="BI233" s="446"/>
      <c r="BJ233" s="446"/>
      <c r="BK233" s="446"/>
      <c r="BL233" s="446"/>
      <c r="BM233" s="446"/>
      <c r="BN233" s="446"/>
      <c r="BO233" s="446"/>
      <c r="BP233" s="446"/>
      <c r="BQ233" s="446"/>
      <c r="BR233" s="446"/>
      <c r="BS233" s="446"/>
      <c r="BT233" s="446"/>
      <c r="BU233" s="562"/>
      <c r="BV233" s="446"/>
      <c r="BW233" s="446"/>
      <c r="BX233" s="446"/>
      <c r="BY233" s="446"/>
      <c r="BZ233" s="446"/>
      <c r="CA233" s="446"/>
      <c r="CB233" s="446"/>
      <c r="CC233" s="446"/>
      <c r="CD233" s="446"/>
      <c r="CE233" s="446"/>
      <c r="CF233" s="446"/>
      <c r="CG233" s="446"/>
      <c r="CH233" s="446"/>
      <c r="CI233" s="446"/>
      <c r="CJ233" s="446"/>
      <c r="CK233" s="446"/>
      <c r="CL233" s="446"/>
      <c r="CM233" s="446"/>
      <c r="CN233" s="446"/>
      <c r="CO233" s="446"/>
      <c r="CP233" s="446"/>
      <c r="CQ233" s="446"/>
      <c r="CR233" s="446"/>
      <c r="CS233" s="446"/>
      <c r="CT233" s="446"/>
      <c r="CU233" s="446"/>
      <c r="CV233" s="446"/>
      <c r="CW233" s="851"/>
      <c r="CX233" s="446"/>
      <c r="CY233" s="446"/>
      <c r="CZ233" s="446"/>
      <c r="DA233" s="446"/>
      <c r="DB233" s="446"/>
      <c r="DC233" s="446"/>
      <c r="DD233" s="446"/>
      <c r="DE233" s="446"/>
      <c r="DF233" s="446"/>
      <c r="DG233" s="446"/>
      <c r="DH233" s="446"/>
      <c r="DI233" s="446"/>
      <c r="DJ233" s="446"/>
      <c r="DK233" s="446"/>
      <c r="DL233" s="446"/>
      <c r="DM233" s="446"/>
      <c r="DN233" s="446"/>
      <c r="DO233" s="446"/>
      <c r="DP233" s="446"/>
      <c r="DQ233" s="446"/>
      <c r="DR233" s="446"/>
      <c r="DS233" s="446"/>
      <c r="DT233" s="446"/>
      <c r="DU233" s="446"/>
      <c r="DV233" s="446"/>
      <c r="DW233" s="446"/>
      <c r="DX233" s="446"/>
      <c r="DY233" s="446"/>
      <c r="DZ233" s="283"/>
    </row>
    <row r="234" spans="2:130" s="223" customFormat="1" ht="14.25" customHeight="1" x14ac:dyDescent="0.2">
      <c r="B234" s="851"/>
      <c r="C234" s="851"/>
      <c r="D234" s="851"/>
      <c r="E234" s="820"/>
      <c r="F234" s="820"/>
      <c r="G234" s="853"/>
      <c r="H234" s="853"/>
      <c r="I234" s="853"/>
      <c r="J234" s="853"/>
      <c r="K234" s="853"/>
      <c r="L234" s="853"/>
      <c r="M234" s="853"/>
      <c r="N234" s="853"/>
      <c r="O234" s="853"/>
      <c r="P234" s="853"/>
      <c r="Q234" s="853"/>
      <c r="R234" s="853"/>
      <c r="S234" s="854"/>
      <c r="T234" s="853"/>
      <c r="U234" s="853"/>
      <c r="V234" s="853"/>
      <c r="W234" s="853"/>
      <c r="X234" s="853"/>
      <c r="Y234" s="853"/>
      <c r="Z234" s="853"/>
      <c r="AA234" s="853"/>
      <c r="AB234" s="853"/>
      <c r="AC234" s="853"/>
      <c r="AD234" s="853"/>
      <c r="AE234" s="853"/>
      <c r="AF234" s="853"/>
      <c r="AG234" s="853"/>
      <c r="AH234" s="446"/>
      <c r="AI234" s="446"/>
      <c r="AJ234" s="446"/>
      <c r="AK234" s="446"/>
      <c r="AL234" s="446"/>
      <c r="AM234" s="446"/>
      <c r="AN234" s="446"/>
      <c r="AO234" s="446"/>
      <c r="AP234" s="446"/>
      <c r="AQ234" s="446"/>
      <c r="AR234" s="446"/>
      <c r="AS234" s="446"/>
      <c r="AT234" s="446"/>
      <c r="AU234" s="446"/>
      <c r="AV234" s="446"/>
      <c r="AW234" s="446"/>
      <c r="AX234" s="446"/>
      <c r="AY234" s="446"/>
      <c r="AZ234" s="446"/>
      <c r="BA234" s="446"/>
      <c r="BB234" s="446"/>
      <c r="BC234" s="446"/>
      <c r="BD234" s="446"/>
      <c r="BE234" s="446"/>
      <c r="BF234" s="446"/>
      <c r="BG234" s="446"/>
      <c r="BH234" s="446"/>
      <c r="BI234" s="446"/>
      <c r="BJ234" s="446"/>
      <c r="BK234" s="446"/>
      <c r="BL234" s="446"/>
      <c r="BM234" s="446"/>
      <c r="BN234" s="446"/>
      <c r="BO234" s="446"/>
      <c r="BP234" s="446"/>
      <c r="BQ234" s="446"/>
      <c r="BR234" s="446"/>
      <c r="BS234" s="446"/>
      <c r="BT234" s="446"/>
      <c r="BU234" s="562"/>
      <c r="BV234" s="446"/>
      <c r="BW234" s="446"/>
      <c r="BX234" s="446"/>
      <c r="BY234" s="446"/>
      <c r="BZ234" s="446"/>
      <c r="CA234" s="446"/>
      <c r="CB234" s="446"/>
      <c r="CC234" s="446"/>
      <c r="CD234" s="446"/>
      <c r="CE234" s="446"/>
      <c r="CF234" s="446"/>
      <c r="CG234" s="446"/>
      <c r="CH234" s="446"/>
      <c r="CI234" s="446"/>
      <c r="CJ234" s="446"/>
      <c r="CK234" s="446"/>
      <c r="CL234" s="446"/>
      <c r="CM234" s="446"/>
      <c r="CN234" s="446"/>
      <c r="CO234" s="446"/>
      <c r="CP234" s="446"/>
      <c r="CQ234" s="446"/>
      <c r="CR234" s="446"/>
      <c r="CS234" s="446"/>
      <c r="CT234" s="446"/>
      <c r="CU234" s="446"/>
      <c r="CV234" s="446"/>
      <c r="CW234" s="851"/>
      <c r="CX234" s="446"/>
      <c r="CY234" s="446"/>
      <c r="CZ234" s="446"/>
      <c r="DA234" s="446"/>
      <c r="DB234" s="446"/>
      <c r="DC234" s="446"/>
      <c r="DD234" s="446"/>
      <c r="DE234" s="446"/>
      <c r="DF234" s="446"/>
      <c r="DG234" s="446"/>
      <c r="DH234" s="446"/>
      <c r="DI234" s="446"/>
      <c r="DJ234" s="446"/>
      <c r="DK234" s="446"/>
      <c r="DL234" s="446"/>
      <c r="DM234" s="446"/>
      <c r="DN234" s="446"/>
      <c r="DO234" s="446"/>
      <c r="DP234" s="446"/>
      <c r="DQ234" s="446"/>
      <c r="DR234" s="446"/>
      <c r="DS234" s="446"/>
      <c r="DT234" s="446"/>
      <c r="DU234" s="446"/>
      <c r="DV234" s="446"/>
      <c r="DW234" s="446"/>
      <c r="DX234" s="446"/>
      <c r="DY234" s="446"/>
      <c r="DZ234" s="283"/>
    </row>
    <row r="235" spans="2:130" s="223" customFormat="1" ht="14.25" customHeight="1" x14ac:dyDescent="0.2">
      <c r="B235" s="851"/>
      <c r="C235" s="851"/>
      <c r="D235" s="851"/>
      <c r="E235" s="820"/>
      <c r="F235" s="820"/>
      <c r="G235" s="853"/>
      <c r="H235" s="853"/>
      <c r="I235" s="853"/>
      <c r="J235" s="853"/>
      <c r="K235" s="853"/>
      <c r="L235" s="853"/>
      <c r="M235" s="853"/>
      <c r="N235" s="853"/>
      <c r="O235" s="853"/>
      <c r="P235" s="853"/>
      <c r="Q235" s="853"/>
      <c r="R235" s="853"/>
      <c r="S235" s="854"/>
      <c r="T235" s="853"/>
      <c r="U235" s="853"/>
      <c r="V235" s="853"/>
      <c r="W235" s="853"/>
      <c r="X235" s="853"/>
      <c r="Y235" s="853"/>
      <c r="Z235" s="853"/>
      <c r="AA235" s="853"/>
      <c r="AB235" s="853"/>
      <c r="AC235" s="853"/>
      <c r="AD235" s="853"/>
      <c r="AE235" s="853"/>
      <c r="AF235" s="853"/>
      <c r="AG235" s="853"/>
      <c r="AH235" s="446"/>
      <c r="AI235" s="446"/>
      <c r="AJ235" s="446"/>
      <c r="AK235" s="446"/>
      <c r="AL235" s="446"/>
      <c r="AM235" s="446"/>
      <c r="AN235" s="446"/>
      <c r="AO235" s="446"/>
      <c r="AP235" s="446"/>
      <c r="AQ235" s="446"/>
      <c r="AR235" s="446"/>
      <c r="AS235" s="446"/>
      <c r="AT235" s="446"/>
      <c r="AU235" s="446"/>
      <c r="AV235" s="446"/>
      <c r="AW235" s="446"/>
      <c r="AX235" s="446"/>
      <c r="AY235" s="446"/>
      <c r="AZ235" s="446"/>
      <c r="BA235" s="446"/>
      <c r="BB235" s="446"/>
      <c r="BC235" s="446"/>
      <c r="BD235" s="446"/>
      <c r="BE235" s="446"/>
      <c r="BF235" s="446"/>
      <c r="BG235" s="446"/>
      <c r="BH235" s="446"/>
      <c r="BI235" s="446"/>
      <c r="BJ235" s="446"/>
      <c r="BK235" s="446"/>
      <c r="BL235" s="446"/>
      <c r="BM235" s="446"/>
      <c r="BN235" s="446"/>
      <c r="BO235" s="446"/>
      <c r="BP235" s="446"/>
      <c r="BQ235" s="446"/>
      <c r="BR235" s="446"/>
      <c r="BS235" s="446"/>
      <c r="BT235" s="446"/>
      <c r="BU235" s="562"/>
      <c r="BV235" s="446"/>
      <c r="BW235" s="446"/>
      <c r="BX235" s="446"/>
      <c r="BY235" s="446"/>
      <c r="BZ235" s="446"/>
      <c r="CA235" s="446"/>
      <c r="CB235" s="446"/>
      <c r="CC235" s="446"/>
      <c r="CD235" s="446"/>
      <c r="CE235" s="446"/>
      <c r="CF235" s="446"/>
      <c r="CG235" s="446"/>
      <c r="CH235" s="446"/>
      <c r="CI235" s="446"/>
      <c r="CJ235" s="446"/>
      <c r="CK235" s="446"/>
      <c r="CL235" s="446"/>
      <c r="CM235" s="446"/>
      <c r="CN235" s="446"/>
      <c r="CO235" s="446"/>
      <c r="CP235" s="446"/>
      <c r="CQ235" s="446"/>
      <c r="CR235" s="446"/>
      <c r="CS235" s="446"/>
      <c r="CT235" s="446"/>
      <c r="CU235" s="446"/>
      <c r="CV235" s="446"/>
      <c r="CW235" s="851"/>
      <c r="CX235" s="446"/>
      <c r="CY235" s="446"/>
      <c r="CZ235" s="446"/>
      <c r="DA235" s="446"/>
      <c r="DB235" s="446"/>
      <c r="DC235" s="446"/>
      <c r="DD235" s="446"/>
      <c r="DE235" s="446"/>
      <c r="DF235" s="446"/>
      <c r="DG235" s="446"/>
      <c r="DH235" s="446"/>
      <c r="DI235" s="446"/>
      <c r="DJ235" s="446"/>
      <c r="DK235" s="446"/>
      <c r="DL235" s="446"/>
      <c r="DM235" s="446"/>
      <c r="DN235" s="446"/>
      <c r="DO235" s="446"/>
      <c r="DP235" s="446"/>
      <c r="DQ235" s="446"/>
      <c r="DR235" s="446"/>
      <c r="DS235" s="446"/>
      <c r="DT235" s="446"/>
      <c r="DU235" s="446"/>
      <c r="DV235" s="446"/>
      <c r="DW235" s="446"/>
      <c r="DX235" s="446"/>
      <c r="DY235" s="446"/>
      <c r="DZ235" s="283"/>
    </row>
    <row r="236" spans="2:130" s="223" customFormat="1" ht="14.25" customHeight="1" x14ac:dyDescent="0.2">
      <c r="B236" s="851"/>
      <c r="C236" s="851"/>
      <c r="D236" s="851"/>
      <c r="E236" s="820"/>
      <c r="F236" s="820"/>
      <c r="G236" s="853"/>
      <c r="H236" s="853"/>
      <c r="I236" s="853"/>
      <c r="J236" s="853"/>
      <c r="K236" s="853"/>
      <c r="L236" s="853"/>
      <c r="M236" s="853"/>
      <c r="N236" s="853"/>
      <c r="O236" s="853"/>
      <c r="P236" s="853"/>
      <c r="Q236" s="853"/>
      <c r="R236" s="853"/>
      <c r="S236" s="854"/>
      <c r="T236" s="853"/>
      <c r="U236" s="853"/>
      <c r="V236" s="853"/>
      <c r="W236" s="853"/>
      <c r="X236" s="853"/>
      <c r="Y236" s="853"/>
      <c r="Z236" s="853"/>
      <c r="AA236" s="853"/>
      <c r="AB236" s="853"/>
      <c r="AC236" s="853"/>
      <c r="AD236" s="853"/>
      <c r="AE236" s="853"/>
      <c r="AF236" s="853"/>
      <c r="AG236" s="853"/>
      <c r="AH236" s="446"/>
      <c r="AI236" s="446"/>
      <c r="AJ236" s="446"/>
      <c r="AK236" s="446"/>
      <c r="AL236" s="446"/>
      <c r="AM236" s="446"/>
      <c r="AN236" s="446"/>
      <c r="AO236" s="446"/>
      <c r="AP236" s="446"/>
      <c r="AQ236" s="446"/>
      <c r="AR236" s="446"/>
      <c r="AS236" s="446"/>
      <c r="AT236" s="446"/>
      <c r="AU236" s="446"/>
      <c r="AV236" s="446"/>
      <c r="AW236" s="446"/>
      <c r="AX236" s="446"/>
      <c r="AY236" s="446"/>
      <c r="AZ236" s="446"/>
      <c r="BA236" s="446"/>
      <c r="BB236" s="446"/>
      <c r="BC236" s="446"/>
      <c r="BD236" s="446"/>
      <c r="BE236" s="446"/>
      <c r="BF236" s="446"/>
      <c r="BG236" s="446"/>
      <c r="BH236" s="446"/>
      <c r="BI236" s="446"/>
      <c r="BJ236" s="446"/>
      <c r="BK236" s="446"/>
      <c r="BL236" s="446"/>
      <c r="BM236" s="446"/>
      <c r="BN236" s="446"/>
      <c r="BO236" s="446"/>
      <c r="BP236" s="446"/>
      <c r="BQ236" s="446"/>
      <c r="BR236" s="446"/>
      <c r="BS236" s="446"/>
      <c r="BT236" s="446"/>
      <c r="BU236" s="562"/>
      <c r="BV236" s="446"/>
      <c r="BW236" s="446"/>
      <c r="BX236" s="446"/>
      <c r="BY236" s="446"/>
      <c r="BZ236" s="446"/>
      <c r="CA236" s="446"/>
      <c r="CB236" s="446"/>
      <c r="CC236" s="446"/>
      <c r="CD236" s="446"/>
      <c r="CE236" s="446"/>
      <c r="CF236" s="446"/>
      <c r="CG236" s="446"/>
      <c r="CH236" s="446"/>
      <c r="CI236" s="446"/>
      <c r="CJ236" s="446"/>
      <c r="CK236" s="446"/>
      <c r="CL236" s="446"/>
      <c r="CM236" s="446"/>
      <c r="CN236" s="446"/>
      <c r="CO236" s="446"/>
      <c r="CP236" s="446"/>
      <c r="CQ236" s="446"/>
      <c r="CR236" s="446"/>
      <c r="CS236" s="446"/>
      <c r="CT236" s="446"/>
      <c r="CU236" s="446"/>
      <c r="CV236" s="446"/>
      <c r="CW236" s="851"/>
      <c r="CX236" s="446"/>
      <c r="CY236" s="446"/>
      <c r="CZ236" s="446"/>
      <c r="DA236" s="446"/>
      <c r="DB236" s="446"/>
      <c r="DC236" s="446"/>
      <c r="DD236" s="446"/>
      <c r="DE236" s="446"/>
      <c r="DF236" s="446"/>
      <c r="DG236" s="446"/>
      <c r="DH236" s="446"/>
      <c r="DI236" s="446"/>
      <c r="DJ236" s="446"/>
      <c r="DK236" s="446"/>
      <c r="DL236" s="446"/>
      <c r="DM236" s="446"/>
      <c r="DN236" s="446"/>
      <c r="DO236" s="446"/>
      <c r="DP236" s="446"/>
      <c r="DQ236" s="446"/>
      <c r="DR236" s="446"/>
      <c r="DS236" s="446"/>
      <c r="DT236" s="446"/>
      <c r="DU236" s="446"/>
      <c r="DV236" s="446"/>
      <c r="DW236" s="446"/>
      <c r="DX236" s="446"/>
      <c r="DY236" s="446"/>
      <c r="DZ236" s="283"/>
    </row>
    <row r="237" spans="2:130" s="223" customFormat="1" ht="14.25" customHeight="1" x14ac:dyDescent="0.2">
      <c r="B237" s="851"/>
      <c r="C237" s="851"/>
      <c r="D237" s="851"/>
      <c r="E237" s="820"/>
      <c r="F237" s="820"/>
      <c r="G237" s="853"/>
      <c r="H237" s="853"/>
      <c r="I237" s="853"/>
      <c r="J237" s="853"/>
      <c r="K237" s="853"/>
      <c r="L237" s="853"/>
      <c r="M237" s="853"/>
      <c r="N237" s="853"/>
      <c r="O237" s="853"/>
      <c r="P237" s="853"/>
      <c r="Q237" s="853"/>
      <c r="R237" s="853"/>
      <c r="S237" s="854"/>
      <c r="T237" s="853"/>
      <c r="U237" s="853"/>
      <c r="V237" s="853"/>
      <c r="W237" s="853"/>
      <c r="X237" s="853"/>
      <c r="Y237" s="853"/>
      <c r="Z237" s="853"/>
      <c r="AA237" s="853"/>
      <c r="AB237" s="853"/>
      <c r="AC237" s="853"/>
      <c r="AD237" s="853"/>
      <c r="AE237" s="853"/>
      <c r="AF237" s="853"/>
      <c r="AG237" s="853"/>
      <c r="AH237" s="446"/>
      <c r="AI237" s="446"/>
      <c r="AJ237" s="446"/>
      <c r="AK237" s="446"/>
      <c r="AL237" s="446"/>
      <c r="AM237" s="446"/>
      <c r="AN237" s="446"/>
      <c r="AO237" s="446"/>
      <c r="AP237" s="446"/>
      <c r="AQ237" s="446"/>
      <c r="AR237" s="446"/>
      <c r="AS237" s="446"/>
      <c r="AT237" s="446"/>
      <c r="AU237" s="446"/>
      <c r="AV237" s="446"/>
      <c r="AW237" s="446"/>
      <c r="AX237" s="446"/>
      <c r="AY237" s="446"/>
      <c r="AZ237" s="446"/>
      <c r="BA237" s="446"/>
      <c r="BB237" s="446"/>
      <c r="BC237" s="446"/>
      <c r="BD237" s="446"/>
      <c r="BE237" s="446"/>
      <c r="BF237" s="446"/>
      <c r="BG237" s="446"/>
      <c r="BH237" s="446"/>
      <c r="BI237" s="446"/>
      <c r="BJ237" s="446"/>
      <c r="BK237" s="446"/>
      <c r="BL237" s="446"/>
      <c r="BM237" s="446"/>
      <c r="BN237" s="446"/>
      <c r="BO237" s="446"/>
      <c r="BP237" s="446"/>
      <c r="BQ237" s="446"/>
      <c r="BR237" s="446"/>
      <c r="BS237" s="446"/>
      <c r="BT237" s="446"/>
      <c r="BU237" s="562"/>
      <c r="BV237" s="446"/>
      <c r="BW237" s="446"/>
      <c r="BX237" s="446"/>
      <c r="BY237" s="446"/>
      <c r="BZ237" s="446"/>
      <c r="CA237" s="446"/>
      <c r="CB237" s="446"/>
      <c r="CC237" s="446"/>
      <c r="CD237" s="446"/>
      <c r="CE237" s="446"/>
      <c r="CF237" s="446"/>
      <c r="CG237" s="446"/>
      <c r="CH237" s="446"/>
      <c r="CI237" s="446"/>
      <c r="CJ237" s="446"/>
      <c r="CK237" s="446"/>
      <c r="CL237" s="446"/>
      <c r="CM237" s="446"/>
      <c r="CN237" s="446"/>
      <c r="CO237" s="446"/>
      <c r="CP237" s="446"/>
      <c r="CQ237" s="446"/>
      <c r="CR237" s="446"/>
      <c r="CS237" s="446"/>
      <c r="CT237" s="446"/>
      <c r="CU237" s="446"/>
      <c r="CV237" s="446"/>
      <c r="CW237" s="851"/>
      <c r="CX237" s="446"/>
      <c r="CY237" s="446"/>
      <c r="CZ237" s="446"/>
      <c r="DA237" s="446"/>
      <c r="DB237" s="446"/>
      <c r="DC237" s="446"/>
      <c r="DD237" s="446"/>
      <c r="DE237" s="446"/>
      <c r="DF237" s="446"/>
      <c r="DG237" s="446"/>
      <c r="DH237" s="446"/>
      <c r="DI237" s="446"/>
      <c r="DJ237" s="446"/>
      <c r="DK237" s="446"/>
      <c r="DL237" s="446"/>
      <c r="DM237" s="446"/>
      <c r="DN237" s="446"/>
      <c r="DO237" s="446"/>
      <c r="DP237" s="446"/>
      <c r="DQ237" s="446"/>
      <c r="DR237" s="446"/>
      <c r="DS237" s="446"/>
      <c r="DT237" s="446"/>
      <c r="DU237" s="446"/>
      <c r="DV237" s="446"/>
      <c r="DW237" s="446"/>
      <c r="DX237" s="446"/>
      <c r="DY237" s="446"/>
      <c r="DZ237" s="283"/>
    </row>
    <row r="238" spans="2:130" s="223" customFormat="1" ht="14.25" customHeight="1" x14ac:dyDescent="0.2">
      <c r="B238" s="851"/>
      <c r="C238" s="851"/>
      <c r="D238" s="851"/>
      <c r="E238" s="820"/>
      <c r="F238" s="820"/>
      <c r="G238" s="853"/>
      <c r="H238" s="853"/>
      <c r="I238" s="853"/>
      <c r="J238" s="853"/>
      <c r="K238" s="853"/>
      <c r="L238" s="853"/>
      <c r="M238" s="853"/>
      <c r="N238" s="853"/>
      <c r="O238" s="853"/>
      <c r="P238" s="853"/>
      <c r="Q238" s="853"/>
      <c r="R238" s="853"/>
      <c r="S238" s="854"/>
      <c r="T238" s="853"/>
      <c r="U238" s="853"/>
      <c r="V238" s="853"/>
      <c r="W238" s="853"/>
      <c r="X238" s="853"/>
      <c r="Y238" s="853"/>
      <c r="Z238" s="853"/>
      <c r="AA238" s="853"/>
      <c r="AB238" s="853"/>
      <c r="AC238" s="853"/>
      <c r="AD238" s="853"/>
      <c r="AE238" s="853"/>
      <c r="AF238" s="853"/>
      <c r="AG238" s="853"/>
      <c r="AH238" s="446"/>
      <c r="AI238" s="446"/>
      <c r="AJ238" s="446"/>
      <c r="AK238" s="446"/>
      <c r="AL238" s="446"/>
      <c r="AM238" s="446"/>
      <c r="AN238" s="446"/>
      <c r="AO238" s="446"/>
      <c r="AP238" s="446"/>
      <c r="AQ238" s="446"/>
      <c r="AR238" s="446"/>
      <c r="AS238" s="446"/>
      <c r="AT238" s="446"/>
      <c r="AU238" s="446"/>
      <c r="AV238" s="446"/>
      <c r="AW238" s="446"/>
      <c r="AX238" s="446"/>
      <c r="AY238" s="446"/>
      <c r="AZ238" s="446"/>
      <c r="BA238" s="446"/>
      <c r="BB238" s="446"/>
      <c r="BC238" s="446"/>
      <c r="BD238" s="446"/>
      <c r="BE238" s="446"/>
      <c r="BF238" s="446"/>
      <c r="BG238" s="446"/>
      <c r="BH238" s="446"/>
      <c r="BI238" s="446"/>
      <c r="BJ238" s="446"/>
      <c r="BK238" s="446"/>
      <c r="BL238" s="446"/>
      <c r="BM238" s="446"/>
      <c r="BN238" s="446"/>
      <c r="BO238" s="446"/>
      <c r="BP238" s="446"/>
      <c r="BQ238" s="446"/>
      <c r="BR238" s="446"/>
      <c r="BS238" s="446"/>
      <c r="BT238" s="446"/>
      <c r="BU238" s="562"/>
      <c r="BV238" s="446"/>
      <c r="BW238" s="446"/>
      <c r="BX238" s="446"/>
      <c r="BY238" s="446"/>
      <c r="BZ238" s="446"/>
      <c r="CA238" s="446"/>
      <c r="CB238" s="446"/>
      <c r="CC238" s="446"/>
      <c r="CD238" s="446"/>
      <c r="CE238" s="446"/>
      <c r="CF238" s="446"/>
      <c r="CG238" s="446"/>
      <c r="CH238" s="446"/>
      <c r="CI238" s="446"/>
      <c r="CJ238" s="446"/>
      <c r="CK238" s="446"/>
      <c r="CL238" s="446"/>
      <c r="CM238" s="446"/>
      <c r="CN238" s="446"/>
      <c r="CO238" s="446"/>
      <c r="CP238" s="446"/>
      <c r="CQ238" s="446"/>
      <c r="CR238" s="446"/>
      <c r="CS238" s="446"/>
      <c r="CT238" s="446"/>
      <c r="CU238" s="446"/>
      <c r="CV238" s="446"/>
      <c r="CW238" s="851"/>
      <c r="CX238" s="446"/>
      <c r="CY238" s="446"/>
      <c r="CZ238" s="446"/>
      <c r="DA238" s="446"/>
      <c r="DB238" s="446"/>
      <c r="DC238" s="446"/>
      <c r="DD238" s="446"/>
      <c r="DE238" s="446"/>
      <c r="DF238" s="446"/>
      <c r="DG238" s="446"/>
      <c r="DH238" s="446"/>
      <c r="DI238" s="446"/>
      <c r="DJ238" s="446"/>
      <c r="DK238" s="446"/>
      <c r="DL238" s="446"/>
      <c r="DM238" s="446"/>
      <c r="DN238" s="446"/>
      <c r="DO238" s="446"/>
      <c r="DP238" s="446"/>
      <c r="DQ238" s="446"/>
      <c r="DR238" s="446"/>
      <c r="DS238" s="446"/>
      <c r="DT238" s="446"/>
      <c r="DU238" s="446"/>
      <c r="DV238" s="446"/>
      <c r="DW238" s="446"/>
      <c r="DX238" s="446"/>
      <c r="DY238" s="446"/>
      <c r="DZ238" s="283"/>
    </row>
    <row r="239" spans="2:130" s="223" customFormat="1" ht="14.25" customHeight="1" x14ac:dyDescent="0.2">
      <c r="B239" s="851"/>
      <c r="C239" s="851"/>
      <c r="D239" s="851"/>
      <c r="E239" s="820"/>
      <c r="F239" s="820"/>
      <c r="G239" s="853"/>
      <c r="H239" s="853"/>
      <c r="I239" s="853"/>
      <c r="J239" s="853"/>
      <c r="K239" s="853"/>
      <c r="L239" s="853"/>
      <c r="M239" s="853"/>
      <c r="N239" s="853"/>
      <c r="O239" s="853"/>
      <c r="P239" s="853"/>
      <c r="Q239" s="853"/>
      <c r="R239" s="853"/>
      <c r="S239" s="854"/>
      <c r="T239" s="853"/>
      <c r="U239" s="853"/>
      <c r="V239" s="853"/>
      <c r="W239" s="853"/>
      <c r="X239" s="853"/>
      <c r="Y239" s="853"/>
      <c r="Z239" s="853"/>
      <c r="AA239" s="853"/>
      <c r="AB239" s="853"/>
      <c r="AC239" s="853"/>
      <c r="AD239" s="853"/>
      <c r="AE239" s="853"/>
      <c r="AF239" s="853"/>
      <c r="AG239" s="853"/>
      <c r="AH239" s="446"/>
      <c r="AI239" s="446"/>
      <c r="AJ239" s="446"/>
      <c r="AK239" s="446"/>
      <c r="AL239" s="446"/>
      <c r="AM239" s="446"/>
      <c r="AN239" s="446"/>
      <c r="AO239" s="446"/>
      <c r="AP239" s="446"/>
      <c r="AQ239" s="446"/>
      <c r="AR239" s="446"/>
      <c r="AS239" s="446"/>
      <c r="AT239" s="446"/>
      <c r="AU239" s="446"/>
      <c r="AV239" s="446"/>
      <c r="AW239" s="446"/>
      <c r="AX239" s="446"/>
      <c r="AY239" s="446"/>
      <c r="AZ239" s="446"/>
      <c r="BA239" s="446"/>
      <c r="BB239" s="446"/>
      <c r="BC239" s="446"/>
      <c r="BD239" s="446"/>
      <c r="BE239" s="446"/>
      <c r="BF239" s="446"/>
      <c r="BG239" s="446"/>
      <c r="BH239" s="446"/>
      <c r="BI239" s="446"/>
      <c r="BJ239" s="446"/>
      <c r="BK239" s="446"/>
      <c r="BL239" s="446"/>
      <c r="BM239" s="446"/>
      <c r="BN239" s="446"/>
      <c r="BO239" s="446"/>
      <c r="BP239" s="446"/>
      <c r="BQ239" s="446"/>
      <c r="BR239" s="446"/>
      <c r="BS239" s="446"/>
      <c r="BT239" s="446"/>
      <c r="BU239" s="562"/>
      <c r="BV239" s="446"/>
      <c r="BW239" s="446"/>
      <c r="BX239" s="446"/>
      <c r="BY239" s="446"/>
      <c r="BZ239" s="446"/>
      <c r="CA239" s="446"/>
      <c r="CB239" s="446"/>
      <c r="CC239" s="446"/>
      <c r="CD239" s="446"/>
      <c r="CE239" s="446"/>
      <c r="CF239" s="446"/>
      <c r="CG239" s="446"/>
      <c r="CH239" s="446"/>
      <c r="CI239" s="446"/>
      <c r="CJ239" s="446"/>
      <c r="CK239" s="446"/>
      <c r="CL239" s="446"/>
      <c r="CM239" s="446"/>
      <c r="CN239" s="446"/>
      <c r="CO239" s="446"/>
      <c r="CP239" s="446"/>
      <c r="CQ239" s="446"/>
      <c r="CR239" s="446"/>
      <c r="CS239" s="446"/>
      <c r="CT239" s="446"/>
      <c r="CU239" s="446"/>
      <c r="CV239" s="446"/>
      <c r="CW239" s="851"/>
      <c r="CX239" s="446"/>
      <c r="CY239" s="446"/>
      <c r="CZ239" s="446"/>
      <c r="DA239" s="446"/>
      <c r="DB239" s="446"/>
      <c r="DC239" s="446"/>
      <c r="DD239" s="446"/>
      <c r="DE239" s="446"/>
      <c r="DF239" s="446"/>
      <c r="DG239" s="446"/>
      <c r="DH239" s="446"/>
      <c r="DI239" s="446"/>
      <c r="DJ239" s="446"/>
      <c r="DK239" s="446"/>
      <c r="DL239" s="446"/>
      <c r="DM239" s="446"/>
      <c r="DN239" s="446"/>
      <c r="DO239" s="446"/>
      <c r="DP239" s="446"/>
      <c r="DQ239" s="446"/>
      <c r="DR239" s="446"/>
      <c r="DS239" s="446"/>
      <c r="DT239" s="446"/>
      <c r="DU239" s="446"/>
      <c r="DV239" s="446"/>
      <c r="DW239" s="446"/>
      <c r="DX239" s="446"/>
      <c r="DY239" s="446"/>
      <c r="DZ239" s="283"/>
    </row>
    <row r="240" spans="2:130" s="223" customFormat="1" ht="14.25" customHeight="1" x14ac:dyDescent="0.2">
      <c r="B240" s="851"/>
      <c r="C240" s="851"/>
      <c r="D240" s="851"/>
      <c r="E240" s="820"/>
      <c r="F240" s="820"/>
      <c r="G240" s="853"/>
      <c r="H240" s="853"/>
      <c r="I240" s="853"/>
      <c r="J240" s="853"/>
      <c r="K240" s="853"/>
      <c r="L240" s="853"/>
      <c r="M240" s="853"/>
      <c r="N240" s="853"/>
      <c r="O240" s="853"/>
      <c r="P240" s="853"/>
      <c r="Q240" s="853"/>
      <c r="R240" s="853"/>
      <c r="S240" s="854"/>
      <c r="T240" s="853"/>
      <c r="U240" s="853"/>
      <c r="V240" s="853"/>
      <c r="W240" s="853"/>
      <c r="X240" s="853"/>
      <c r="Y240" s="853"/>
      <c r="Z240" s="853"/>
      <c r="AA240" s="853"/>
      <c r="AB240" s="853"/>
      <c r="AC240" s="853"/>
      <c r="AD240" s="853"/>
      <c r="AE240" s="853"/>
      <c r="AF240" s="853"/>
      <c r="AG240" s="853"/>
      <c r="AH240" s="446"/>
      <c r="AI240" s="446"/>
      <c r="AJ240" s="446"/>
      <c r="AK240" s="446"/>
      <c r="AL240" s="446"/>
      <c r="AM240" s="446"/>
      <c r="AN240" s="446"/>
      <c r="AO240" s="446"/>
      <c r="AP240" s="446"/>
      <c r="AQ240" s="446"/>
      <c r="AR240" s="446"/>
      <c r="AS240" s="446"/>
      <c r="AT240" s="446"/>
      <c r="AU240" s="446"/>
      <c r="AV240" s="446"/>
      <c r="AW240" s="446"/>
      <c r="AX240" s="446"/>
      <c r="AY240" s="446"/>
      <c r="AZ240" s="446"/>
      <c r="BA240" s="446"/>
      <c r="BB240" s="446"/>
      <c r="BC240" s="446"/>
      <c r="BD240" s="446"/>
      <c r="BE240" s="446"/>
      <c r="BF240" s="446"/>
      <c r="BG240" s="446"/>
      <c r="BH240" s="446"/>
      <c r="BI240" s="446"/>
      <c r="BJ240" s="446"/>
      <c r="BK240" s="446"/>
      <c r="BL240" s="446"/>
      <c r="BM240" s="446"/>
      <c r="BN240" s="446"/>
      <c r="BO240" s="446"/>
      <c r="BP240" s="446"/>
      <c r="BQ240" s="446"/>
      <c r="BR240" s="446"/>
      <c r="BS240" s="446"/>
      <c r="BT240" s="446"/>
      <c r="BU240" s="562"/>
      <c r="BV240" s="446"/>
      <c r="BW240" s="446"/>
      <c r="BX240" s="446"/>
      <c r="BY240" s="446"/>
      <c r="BZ240" s="446"/>
      <c r="CA240" s="446"/>
      <c r="CB240" s="446"/>
      <c r="CC240" s="446"/>
      <c r="CD240" s="446"/>
      <c r="CE240" s="446"/>
      <c r="CF240" s="446"/>
      <c r="CG240" s="446"/>
      <c r="CH240" s="446"/>
      <c r="CI240" s="446"/>
      <c r="CJ240" s="446"/>
      <c r="CK240" s="446"/>
      <c r="CL240" s="446"/>
      <c r="CM240" s="446"/>
      <c r="CN240" s="446"/>
      <c r="CO240" s="446"/>
      <c r="CP240" s="446"/>
      <c r="CQ240" s="446"/>
      <c r="CR240" s="446"/>
      <c r="CS240" s="446"/>
      <c r="CT240" s="446"/>
      <c r="CU240" s="446"/>
      <c r="CV240" s="446"/>
      <c r="CW240" s="851"/>
      <c r="CX240" s="446"/>
      <c r="CY240" s="446"/>
      <c r="CZ240" s="446"/>
      <c r="DA240" s="446"/>
      <c r="DB240" s="446"/>
      <c r="DC240" s="446"/>
      <c r="DD240" s="446"/>
      <c r="DE240" s="446"/>
      <c r="DF240" s="446"/>
      <c r="DG240" s="446"/>
      <c r="DH240" s="446"/>
      <c r="DI240" s="446"/>
      <c r="DJ240" s="446"/>
      <c r="DK240" s="446"/>
      <c r="DL240" s="446"/>
      <c r="DM240" s="446"/>
      <c r="DN240" s="446"/>
      <c r="DO240" s="446"/>
      <c r="DP240" s="446"/>
      <c r="DQ240" s="446"/>
      <c r="DR240" s="446"/>
      <c r="DS240" s="446"/>
      <c r="DT240" s="446"/>
      <c r="DU240" s="446"/>
      <c r="DV240" s="446"/>
      <c r="DW240" s="446"/>
      <c r="DX240" s="446"/>
      <c r="DY240" s="446"/>
      <c r="DZ240" s="283"/>
    </row>
    <row r="241" spans="2:130" s="223" customFormat="1" ht="14.25" customHeight="1" x14ac:dyDescent="0.2">
      <c r="B241" s="851"/>
      <c r="C241" s="851"/>
      <c r="D241" s="851"/>
      <c r="E241" s="820"/>
      <c r="F241" s="820"/>
      <c r="G241" s="853"/>
      <c r="H241" s="853"/>
      <c r="I241" s="853"/>
      <c r="J241" s="853"/>
      <c r="K241" s="853"/>
      <c r="L241" s="853"/>
      <c r="M241" s="853"/>
      <c r="N241" s="853"/>
      <c r="O241" s="853"/>
      <c r="P241" s="853"/>
      <c r="Q241" s="853"/>
      <c r="R241" s="853"/>
      <c r="S241" s="854"/>
      <c r="T241" s="853"/>
      <c r="U241" s="853"/>
      <c r="V241" s="853"/>
      <c r="W241" s="853"/>
      <c r="X241" s="853"/>
      <c r="Y241" s="853"/>
      <c r="Z241" s="853"/>
      <c r="AA241" s="853"/>
      <c r="AB241" s="853"/>
      <c r="AC241" s="853"/>
      <c r="AD241" s="853"/>
      <c r="AE241" s="853"/>
      <c r="AF241" s="853"/>
      <c r="AG241" s="853"/>
      <c r="AH241" s="446"/>
      <c r="AI241" s="446"/>
      <c r="AJ241" s="446"/>
      <c r="AK241" s="446"/>
      <c r="AL241" s="446"/>
      <c r="AM241" s="446"/>
      <c r="AN241" s="446"/>
      <c r="AO241" s="446"/>
      <c r="AP241" s="446"/>
      <c r="AQ241" s="446"/>
      <c r="AR241" s="446"/>
      <c r="AS241" s="446"/>
      <c r="AT241" s="446"/>
      <c r="AU241" s="446"/>
      <c r="AV241" s="446"/>
      <c r="AW241" s="446"/>
      <c r="AX241" s="446"/>
      <c r="AY241" s="446"/>
      <c r="AZ241" s="446"/>
      <c r="BA241" s="446"/>
      <c r="BB241" s="446"/>
      <c r="BC241" s="446"/>
      <c r="BD241" s="446"/>
      <c r="BE241" s="446"/>
      <c r="BF241" s="446"/>
      <c r="BG241" s="446"/>
      <c r="BH241" s="446"/>
      <c r="BI241" s="446"/>
      <c r="BJ241" s="446"/>
      <c r="BK241" s="446"/>
      <c r="BL241" s="446"/>
      <c r="BM241" s="446"/>
      <c r="BN241" s="446"/>
      <c r="BO241" s="446"/>
      <c r="BP241" s="446"/>
      <c r="BQ241" s="446"/>
      <c r="BR241" s="446"/>
      <c r="BS241" s="446"/>
      <c r="BT241" s="446"/>
      <c r="BU241" s="562"/>
      <c r="BV241" s="446"/>
      <c r="BW241" s="446"/>
      <c r="BX241" s="446"/>
      <c r="BY241" s="446"/>
      <c r="BZ241" s="446"/>
      <c r="CA241" s="446"/>
      <c r="CB241" s="446"/>
      <c r="CC241" s="446"/>
      <c r="CD241" s="446"/>
      <c r="CE241" s="446"/>
      <c r="CF241" s="446"/>
      <c r="CG241" s="446"/>
      <c r="CH241" s="446"/>
      <c r="CI241" s="446"/>
      <c r="CJ241" s="446"/>
      <c r="CK241" s="446"/>
      <c r="CL241" s="446"/>
      <c r="CM241" s="446"/>
      <c r="CN241" s="446"/>
      <c r="CO241" s="446"/>
      <c r="CP241" s="446"/>
      <c r="CQ241" s="446"/>
      <c r="CR241" s="446"/>
      <c r="CS241" s="446"/>
      <c r="CT241" s="446"/>
      <c r="CU241" s="446"/>
      <c r="CV241" s="446"/>
      <c r="CW241" s="851"/>
      <c r="CX241" s="446"/>
      <c r="CY241" s="446"/>
      <c r="CZ241" s="446"/>
      <c r="DA241" s="446"/>
      <c r="DB241" s="446"/>
      <c r="DC241" s="446"/>
      <c r="DD241" s="446"/>
      <c r="DE241" s="446"/>
      <c r="DF241" s="446"/>
      <c r="DG241" s="446"/>
      <c r="DH241" s="446"/>
      <c r="DI241" s="446"/>
      <c r="DJ241" s="446"/>
      <c r="DK241" s="446"/>
      <c r="DL241" s="446"/>
      <c r="DM241" s="446"/>
      <c r="DN241" s="446"/>
      <c r="DO241" s="446"/>
      <c r="DP241" s="446"/>
      <c r="DQ241" s="446"/>
      <c r="DR241" s="446"/>
      <c r="DS241" s="446"/>
      <c r="DT241" s="446"/>
      <c r="DU241" s="446"/>
      <c r="DV241" s="446"/>
      <c r="DW241" s="446"/>
      <c r="DX241" s="446"/>
      <c r="DY241" s="446"/>
      <c r="DZ241" s="283"/>
    </row>
    <row r="242" spans="2:130" s="223" customFormat="1" ht="14.25" customHeight="1" x14ac:dyDescent="0.2">
      <c r="B242" s="851"/>
      <c r="C242" s="851"/>
      <c r="D242" s="851"/>
      <c r="E242" s="820"/>
      <c r="F242" s="820"/>
      <c r="G242" s="853"/>
      <c r="H242" s="853"/>
      <c r="I242" s="853"/>
      <c r="J242" s="853"/>
      <c r="K242" s="853"/>
      <c r="L242" s="853"/>
      <c r="M242" s="853"/>
      <c r="N242" s="853"/>
      <c r="O242" s="853"/>
      <c r="P242" s="853"/>
      <c r="Q242" s="853"/>
      <c r="R242" s="853"/>
      <c r="S242" s="854"/>
      <c r="T242" s="853"/>
      <c r="U242" s="853"/>
      <c r="V242" s="853"/>
      <c r="W242" s="853"/>
      <c r="X242" s="853"/>
      <c r="Y242" s="853"/>
      <c r="Z242" s="853"/>
      <c r="AA242" s="853"/>
      <c r="AB242" s="853"/>
      <c r="AC242" s="853"/>
      <c r="AD242" s="853"/>
      <c r="AE242" s="853"/>
      <c r="AF242" s="853"/>
      <c r="AG242" s="853"/>
      <c r="AH242" s="446"/>
      <c r="AI242" s="446"/>
      <c r="AJ242" s="446"/>
      <c r="AK242" s="446"/>
      <c r="AL242" s="446"/>
      <c r="AM242" s="446"/>
      <c r="AN242" s="446"/>
      <c r="AO242" s="446"/>
      <c r="AP242" s="446"/>
      <c r="AQ242" s="446"/>
      <c r="AR242" s="446"/>
      <c r="AS242" s="446"/>
      <c r="AT242" s="446"/>
      <c r="AU242" s="446"/>
      <c r="AV242" s="446"/>
      <c r="AW242" s="446"/>
      <c r="AX242" s="446"/>
      <c r="AY242" s="446"/>
      <c r="AZ242" s="446"/>
      <c r="BA242" s="446"/>
      <c r="BB242" s="446"/>
      <c r="BC242" s="446"/>
      <c r="BD242" s="446"/>
      <c r="BE242" s="446"/>
      <c r="BF242" s="446"/>
      <c r="BG242" s="446"/>
      <c r="BH242" s="446"/>
      <c r="BI242" s="446"/>
      <c r="BJ242" s="446"/>
      <c r="BK242" s="446"/>
      <c r="BL242" s="446"/>
      <c r="BM242" s="446"/>
      <c r="BN242" s="446"/>
      <c r="BO242" s="446"/>
      <c r="BP242" s="446"/>
      <c r="BQ242" s="446"/>
      <c r="BR242" s="446"/>
      <c r="BS242" s="446"/>
      <c r="BT242" s="446"/>
      <c r="BU242" s="562"/>
      <c r="BV242" s="446"/>
      <c r="BW242" s="446"/>
      <c r="BX242" s="446"/>
      <c r="BY242" s="446"/>
      <c r="BZ242" s="446"/>
      <c r="CA242" s="446"/>
      <c r="CB242" s="446"/>
      <c r="CC242" s="446"/>
      <c r="CD242" s="446"/>
      <c r="CE242" s="446"/>
      <c r="CF242" s="446"/>
      <c r="CG242" s="446"/>
      <c r="CH242" s="446"/>
      <c r="CI242" s="446"/>
      <c r="CJ242" s="446"/>
      <c r="CK242" s="446"/>
      <c r="CL242" s="446"/>
      <c r="CM242" s="446"/>
      <c r="CN242" s="446"/>
      <c r="CO242" s="446"/>
      <c r="CP242" s="446"/>
      <c r="CQ242" s="446"/>
      <c r="CR242" s="446"/>
      <c r="CS242" s="446"/>
      <c r="CT242" s="446"/>
      <c r="CU242" s="446"/>
      <c r="CV242" s="446"/>
      <c r="CW242" s="851"/>
      <c r="CX242" s="446"/>
      <c r="CY242" s="446"/>
      <c r="CZ242" s="446"/>
      <c r="DA242" s="446"/>
      <c r="DB242" s="446"/>
      <c r="DC242" s="446"/>
      <c r="DD242" s="446"/>
      <c r="DE242" s="446"/>
      <c r="DF242" s="446"/>
      <c r="DG242" s="446"/>
      <c r="DH242" s="446"/>
      <c r="DI242" s="446"/>
      <c r="DJ242" s="446"/>
      <c r="DK242" s="446"/>
      <c r="DL242" s="446"/>
      <c r="DM242" s="446"/>
      <c r="DN242" s="446"/>
      <c r="DO242" s="446"/>
      <c r="DP242" s="446"/>
      <c r="DQ242" s="446"/>
      <c r="DR242" s="446"/>
      <c r="DS242" s="446"/>
      <c r="DT242" s="446"/>
      <c r="DU242" s="446"/>
      <c r="DV242" s="446"/>
      <c r="DW242" s="446"/>
      <c r="DX242" s="446"/>
      <c r="DY242" s="446"/>
      <c r="DZ242" s="283"/>
    </row>
    <row r="243" spans="2:130" s="223" customFormat="1" ht="14.25" customHeight="1" x14ac:dyDescent="0.2">
      <c r="B243" s="851"/>
      <c r="C243" s="851"/>
      <c r="D243" s="851"/>
      <c r="E243" s="820"/>
      <c r="F243" s="820"/>
      <c r="G243" s="853"/>
      <c r="H243" s="853"/>
      <c r="I243" s="853"/>
      <c r="J243" s="853"/>
      <c r="K243" s="853"/>
      <c r="L243" s="853"/>
      <c r="M243" s="853"/>
      <c r="N243" s="853"/>
      <c r="O243" s="853"/>
      <c r="P243" s="853"/>
      <c r="Q243" s="853"/>
      <c r="R243" s="853"/>
      <c r="S243" s="854"/>
      <c r="T243" s="853"/>
      <c r="U243" s="853"/>
      <c r="V243" s="853"/>
      <c r="W243" s="853"/>
      <c r="X243" s="853"/>
      <c r="Y243" s="853"/>
      <c r="Z243" s="853"/>
      <c r="AA243" s="853"/>
      <c r="AB243" s="853"/>
      <c r="AC243" s="853"/>
      <c r="AD243" s="853"/>
      <c r="AE243" s="853"/>
      <c r="AF243" s="853"/>
      <c r="AG243" s="853"/>
      <c r="AH243" s="446"/>
      <c r="AI243" s="446"/>
      <c r="AJ243" s="446"/>
      <c r="AK243" s="446"/>
      <c r="AL243" s="446"/>
      <c r="AM243" s="446"/>
      <c r="AN243" s="446"/>
      <c r="AO243" s="446"/>
      <c r="AP243" s="446"/>
      <c r="AQ243" s="446"/>
      <c r="AR243" s="446"/>
      <c r="AS243" s="446"/>
      <c r="AT243" s="446"/>
      <c r="AU243" s="446"/>
      <c r="AV243" s="446"/>
      <c r="AW243" s="446"/>
      <c r="AX243" s="446"/>
      <c r="AY243" s="446"/>
      <c r="AZ243" s="446"/>
      <c r="BA243" s="446"/>
      <c r="BB243" s="446"/>
      <c r="BC243" s="446"/>
      <c r="BD243" s="446"/>
      <c r="BE243" s="446"/>
      <c r="BF243" s="446"/>
      <c r="BG243" s="446"/>
      <c r="BH243" s="446"/>
      <c r="BI243" s="446"/>
      <c r="BJ243" s="446"/>
      <c r="BK243" s="446"/>
      <c r="BL243" s="446"/>
      <c r="BM243" s="446"/>
      <c r="BN243" s="446"/>
      <c r="BO243" s="446"/>
      <c r="BP243" s="446"/>
      <c r="BQ243" s="446"/>
      <c r="BR243" s="446"/>
      <c r="BS243" s="446"/>
      <c r="BT243" s="446"/>
      <c r="BU243" s="562"/>
      <c r="BV243" s="446"/>
      <c r="BW243" s="446"/>
      <c r="BX243" s="446"/>
      <c r="BY243" s="446"/>
      <c r="BZ243" s="446"/>
      <c r="CA243" s="446"/>
      <c r="CB243" s="446"/>
      <c r="CC243" s="446"/>
      <c r="CD243" s="446"/>
      <c r="CE243" s="446"/>
      <c r="CF243" s="446"/>
      <c r="CG243" s="446"/>
      <c r="CH243" s="446"/>
      <c r="CI243" s="446"/>
      <c r="CJ243" s="446"/>
      <c r="CK243" s="446"/>
      <c r="CL243" s="446"/>
      <c r="CM243" s="446"/>
      <c r="CN243" s="446"/>
      <c r="CO243" s="446"/>
      <c r="CP243" s="446"/>
      <c r="CQ243" s="446"/>
      <c r="CR243" s="446"/>
      <c r="CS243" s="446"/>
      <c r="CT243" s="446"/>
      <c r="CU243" s="446"/>
      <c r="CV243" s="446"/>
      <c r="CW243" s="851"/>
      <c r="CX243" s="446"/>
      <c r="CY243" s="446"/>
      <c r="CZ243" s="446"/>
      <c r="DA243" s="446"/>
      <c r="DB243" s="446"/>
      <c r="DC243" s="446"/>
      <c r="DD243" s="446"/>
      <c r="DE243" s="446"/>
      <c r="DF243" s="446"/>
      <c r="DG243" s="446"/>
      <c r="DH243" s="446"/>
      <c r="DI243" s="446"/>
      <c r="DJ243" s="446"/>
      <c r="DK243" s="446"/>
      <c r="DL243" s="446"/>
      <c r="DM243" s="446"/>
      <c r="DN243" s="446"/>
      <c r="DO243" s="446"/>
      <c r="DP243" s="446"/>
      <c r="DQ243" s="446"/>
      <c r="DR243" s="446"/>
      <c r="DS243" s="446"/>
      <c r="DT243" s="446"/>
      <c r="DU243" s="446"/>
      <c r="DV243" s="446"/>
      <c r="DW243" s="446"/>
      <c r="DX243" s="446"/>
      <c r="DY243" s="446"/>
      <c r="DZ243" s="283"/>
    </row>
    <row r="244" spans="2:130" s="223" customFormat="1" ht="14.25" customHeight="1" x14ac:dyDescent="0.2">
      <c r="B244" s="851"/>
      <c r="C244" s="851"/>
      <c r="D244" s="851"/>
      <c r="E244" s="820"/>
      <c r="F244" s="820"/>
      <c r="G244" s="853"/>
      <c r="H244" s="853"/>
      <c r="I244" s="853"/>
      <c r="J244" s="853"/>
      <c r="K244" s="853"/>
      <c r="L244" s="853"/>
      <c r="M244" s="853"/>
      <c r="N244" s="853"/>
      <c r="O244" s="853"/>
      <c r="P244" s="853"/>
      <c r="Q244" s="853"/>
      <c r="R244" s="853"/>
      <c r="S244" s="854"/>
      <c r="T244" s="853"/>
      <c r="U244" s="853"/>
      <c r="V244" s="853"/>
      <c r="W244" s="853"/>
      <c r="X244" s="853"/>
      <c r="Y244" s="853"/>
      <c r="Z244" s="853"/>
      <c r="AA244" s="853"/>
      <c r="AB244" s="853"/>
      <c r="AC244" s="853"/>
      <c r="AD244" s="853"/>
      <c r="AE244" s="853"/>
      <c r="AF244" s="853"/>
      <c r="AG244" s="853"/>
      <c r="AH244" s="446"/>
      <c r="AI244" s="446"/>
      <c r="AJ244" s="446"/>
      <c r="AK244" s="446"/>
      <c r="AL244" s="446"/>
      <c r="AM244" s="446"/>
      <c r="AN244" s="446"/>
      <c r="AO244" s="446"/>
      <c r="AP244" s="446"/>
      <c r="AQ244" s="446"/>
      <c r="AR244" s="446"/>
      <c r="AS244" s="446"/>
      <c r="AT244" s="446"/>
      <c r="AU244" s="446"/>
      <c r="AV244" s="446"/>
      <c r="AW244" s="446"/>
      <c r="AX244" s="446"/>
      <c r="AY244" s="446"/>
      <c r="AZ244" s="446"/>
      <c r="BA244" s="446"/>
      <c r="BB244" s="446"/>
      <c r="BC244" s="446"/>
      <c r="BD244" s="446"/>
      <c r="BE244" s="446"/>
      <c r="BF244" s="446"/>
      <c r="BG244" s="446"/>
      <c r="BH244" s="446"/>
      <c r="BI244" s="446"/>
      <c r="BJ244" s="446"/>
      <c r="BK244" s="446"/>
      <c r="BL244" s="446"/>
      <c r="BM244" s="446"/>
      <c r="BN244" s="446"/>
      <c r="BO244" s="446"/>
      <c r="BP244" s="446"/>
      <c r="BQ244" s="446"/>
      <c r="BR244" s="446"/>
      <c r="BS244" s="446"/>
      <c r="BT244" s="446"/>
      <c r="BU244" s="562"/>
      <c r="BV244" s="446"/>
      <c r="BW244" s="446"/>
      <c r="BX244" s="446"/>
      <c r="BY244" s="446"/>
      <c r="BZ244" s="446"/>
      <c r="CA244" s="446"/>
      <c r="CB244" s="446"/>
      <c r="CC244" s="446"/>
      <c r="CD244" s="446"/>
      <c r="CE244" s="446"/>
      <c r="CF244" s="446"/>
      <c r="CG244" s="446"/>
      <c r="CH244" s="446"/>
      <c r="CI244" s="446"/>
      <c r="CJ244" s="446"/>
      <c r="CK244" s="446"/>
      <c r="CL244" s="446"/>
      <c r="CM244" s="446"/>
      <c r="CN244" s="446"/>
      <c r="CO244" s="446"/>
      <c r="CP244" s="446"/>
      <c r="CQ244" s="446"/>
      <c r="CR244" s="446"/>
      <c r="CS244" s="446"/>
      <c r="CT244" s="446"/>
      <c r="CU244" s="446"/>
      <c r="CV244" s="446"/>
      <c r="CW244" s="851"/>
      <c r="CX244" s="446"/>
      <c r="CY244" s="446"/>
      <c r="CZ244" s="446"/>
      <c r="DA244" s="446"/>
      <c r="DB244" s="446"/>
      <c r="DC244" s="446"/>
      <c r="DD244" s="446"/>
      <c r="DE244" s="446"/>
      <c r="DF244" s="446"/>
      <c r="DG244" s="446"/>
      <c r="DH244" s="446"/>
      <c r="DI244" s="446"/>
      <c r="DJ244" s="446"/>
      <c r="DK244" s="446"/>
      <c r="DL244" s="446"/>
      <c r="DM244" s="446"/>
      <c r="DN244" s="446"/>
      <c r="DO244" s="446"/>
      <c r="DP244" s="446"/>
      <c r="DQ244" s="446"/>
      <c r="DR244" s="446"/>
      <c r="DS244" s="446"/>
      <c r="DT244" s="446"/>
      <c r="DU244" s="446"/>
      <c r="DV244" s="446"/>
      <c r="DW244" s="446"/>
      <c r="DX244" s="446"/>
      <c r="DY244" s="446"/>
      <c r="DZ244" s="283"/>
    </row>
    <row r="245" spans="2:130" s="223" customFormat="1" ht="14.25" customHeight="1" x14ac:dyDescent="0.2">
      <c r="B245" s="851"/>
      <c r="C245" s="851"/>
      <c r="D245" s="851"/>
      <c r="E245" s="820"/>
      <c r="F245" s="820"/>
      <c r="G245" s="853"/>
      <c r="H245" s="853"/>
      <c r="I245" s="853"/>
      <c r="J245" s="853"/>
      <c r="K245" s="853"/>
      <c r="L245" s="853"/>
      <c r="M245" s="853"/>
      <c r="N245" s="853"/>
      <c r="O245" s="853"/>
      <c r="P245" s="853"/>
      <c r="Q245" s="853"/>
      <c r="R245" s="853"/>
      <c r="S245" s="854"/>
      <c r="T245" s="853"/>
      <c r="U245" s="853"/>
      <c r="V245" s="853"/>
      <c r="W245" s="853"/>
      <c r="X245" s="853"/>
      <c r="Y245" s="853"/>
      <c r="Z245" s="853"/>
      <c r="AA245" s="853"/>
      <c r="AB245" s="853"/>
      <c r="AC245" s="853"/>
      <c r="AD245" s="853"/>
      <c r="AE245" s="853"/>
      <c r="AF245" s="853"/>
      <c r="AG245" s="853"/>
      <c r="AH245" s="446"/>
      <c r="AI245" s="446"/>
      <c r="AJ245" s="446"/>
      <c r="AK245" s="446"/>
      <c r="AL245" s="446"/>
      <c r="AM245" s="446"/>
      <c r="AN245" s="446"/>
      <c r="AO245" s="446"/>
      <c r="AP245" s="446"/>
      <c r="AQ245" s="446"/>
      <c r="AR245" s="446"/>
      <c r="AS245" s="446"/>
      <c r="AT245" s="446"/>
      <c r="AU245" s="446"/>
      <c r="AV245" s="446"/>
      <c r="AW245" s="446"/>
      <c r="AX245" s="446"/>
      <c r="AY245" s="446"/>
      <c r="AZ245" s="446"/>
      <c r="BA245" s="446"/>
      <c r="BB245" s="446"/>
      <c r="BC245" s="446"/>
      <c r="BD245" s="446"/>
      <c r="BE245" s="446"/>
      <c r="BF245" s="446"/>
      <c r="BG245" s="446"/>
      <c r="BH245" s="446"/>
      <c r="BI245" s="446"/>
      <c r="BJ245" s="446"/>
      <c r="BK245" s="446"/>
      <c r="BL245" s="446"/>
      <c r="BM245" s="446"/>
      <c r="BN245" s="446"/>
      <c r="BO245" s="446"/>
      <c r="BP245" s="446"/>
      <c r="BQ245" s="446"/>
      <c r="BR245" s="446"/>
      <c r="BS245" s="446"/>
      <c r="BT245" s="446"/>
      <c r="BU245" s="562"/>
      <c r="BV245" s="446"/>
      <c r="BW245" s="446"/>
      <c r="BX245" s="446"/>
      <c r="BY245" s="446"/>
      <c r="BZ245" s="446"/>
      <c r="CA245" s="446"/>
      <c r="CB245" s="446"/>
      <c r="CC245" s="446"/>
      <c r="CD245" s="446"/>
      <c r="CE245" s="446"/>
      <c r="CF245" s="446"/>
      <c r="CG245" s="446"/>
      <c r="CH245" s="446"/>
      <c r="CI245" s="446"/>
      <c r="CJ245" s="446"/>
      <c r="CK245" s="446"/>
      <c r="CL245" s="446"/>
      <c r="CM245" s="446"/>
      <c r="CN245" s="446"/>
      <c r="CO245" s="446"/>
      <c r="CP245" s="446"/>
      <c r="CQ245" s="446"/>
      <c r="CR245" s="446"/>
      <c r="CS245" s="446"/>
      <c r="CT245" s="446"/>
      <c r="CU245" s="446"/>
      <c r="CV245" s="446"/>
      <c r="CW245" s="851"/>
      <c r="CX245" s="446"/>
      <c r="CY245" s="446"/>
      <c r="CZ245" s="446"/>
      <c r="DA245" s="446"/>
      <c r="DB245" s="446"/>
      <c r="DC245" s="446"/>
      <c r="DD245" s="446"/>
      <c r="DE245" s="446"/>
      <c r="DF245" s="446"/>
      <c r="DG245" s="446"/>
      <c r="DH245" s="446"/>
      <c r="DI245" s="446"/>
      <c r="DJ245" s="446"/>
      <c r="DK245" s="446"/>
      <c r="DL245" s="446"/>
      <c r="DM245" s="446"/>
      <c r="DN245" s="446"/>
      <c r="DO245" s="446"/>
      <c r="DP245" s="446"/>
      <c r="DQ245" s="446"/>
      <c r="DR245" s="446"/>
      <c r="DS245" s="446"/>
      <c r="DT245" s="446"/>
      <c r="DU245" s="446"/>
      <c r="DV245" s="446"/>
      <c r="DW245" s="446"/>
      <c r="DX245" s="446"/>
      <c r="DY245" s="446"/>
      <c r="DZ245" s="283"/>
    </row>
    <row r="246" spans="2:130" s="223" customFormat="1" ht="14.25" customHeight="1" x14ac:dyDescent="0.2">
      <c r="B246" s="851"/>
      <c r="C246" s="851"/>
      <c r="D246" s="851"/>
      <c r="E246" s="820"/>
      <c r="F246" s="820"/>
      <c r="G246" s="853"/>
      <c r="H246" s="853"/>
      <c r="I246" s="853"/>
      <c r="J246" s="853"/>
      <c r="K246" s="853"/>
      <c r="L246" s="853"/>
      <c r="M246" s="853"/>
      <c r="N246" s="853"/>
      <c r="O246" s="853"/>
      <c r="P246" s="853"/>
      <c r="Q246" s="853"/>
      <c r="R246" s="853"/>
      <c r="S246" s="854"/>
      <c r="T246" s="853"/>
      <c r="U246" s="853"/>
      <c r="V246" s="853"/>
      <c r="W246" s="853"/>
      <c r="X246" s="853"/>
      <c r="Y246" s="853"/>
      <c r="Z246" s="853"/>
      <c r="AA246" s="853"/>
      <c r="AB246" s="853"/>
      <c r="AC246" s="853"/>
      <c r="AD246" s="853"/>
      <c r="AE246" s="853"/>
      <c r="AF246" s="853"/>
      <c r="AG246" s="853"/>
      <c r="AH246" s="446"/>
      <c r="AI246" s="446"/>
      <c r="AJ246" s="446"/>
      <c r="AK246" s="446"/>
      <c r="AL246" s="446"/>
      <c r="AM246" s="446"/>
      <c r="AN246" s="446"/>
      <c r="AO246" s="446"/>
      <c r="AP246" s="446"/>
      <c r="AQ246" s="446"/>
      <c r="AR246" s="446"/>
      <c r="AS246" s="446"/>
      <c r="AT246" s="446"/>
      <c r="AU246" s="446"/>
      <c r="AV246" s="446"/>
      <c r="AW246" s="446"/>
      <c r="AX246" s="446"/>
      <c r="AY246" s="446"/>
      <c r="AZ246" s="446"/>
      <c r="BA246" s="446"/>
      <c r="BB246" s="446"/>
      <c r="BC246" s="446"/>
      <c r="BD246" s="446"/>
      <c r="BE246" s="446"/>
      <c r="BF246" s="446"/>
      <c r="BG246" s="446"/>
      <c r="BH246" s="446"/>
      <c r="BI246" s="446"/>
      <c r="BJ246" s="446"/>
      <c r="BK246" s="446"/>
      <c r="BL246" s="446"/>
      <c r="BM246" s="446"/>
      <c r="BN246" s="446"/>
      <c r="BO246" s="446"/>
      <c r="BP246" s="446"/>
      <c r="BQ246" s="446"/>
      <c r="BR246" s="446"/>
      <c r="BS246" s="446"/>
      <c r="BT246" s="446"/>
      <c r="BU246" s="562"/>
      <c r="BV246" s="446"/>
      <c r="BW246" s="446"/>
      <c r="BX246" s="446"/>
      <c r="BY246" s="446"/>
      <c r="BZ246" s="446"/>
      <c r="CA246" s="446"/>
      <c r="CB246" s="446"/>
      <c r="CC246" s="446"/>
      <c r="CD246" s="446"/>
      <c r="CE246" s="446"/>
      <c r="CF246" s="446"/>
      <c r="CG246" s="446"/>
      <c r="CH246" s="446"/>
      <c r="CI246" s="446"/>
      <c r="CJ246" s="446"/>
      <c r="CK246" s="446"/>
      <c r="CL246" s="446"/>
      <c r="CM246" s="446"/>
      <c r="CN246" s="446"/>
      <c r="CO246" s="446"/>
      <c r="CP246" s="446"/>
      <c r="CQ246" s="446"/>
      <c r="CR246" s="446"/>
      <c r="CS246" s="446"/>
      <c r="CT246" s="446"/>
      <c r="CU246" s="446"/>
      <c r="CV246" s="446"/>
      <c r="CW246" s="851"/>
      <c r="CX246" s="446"/>
      <c r="CY246" s="446"/>
      <c r="CZ246" s="446"/>
      <c r="DA246" s="446"/>
      <c r="DB246" s="446"/>
      <c r="DC246" s="446"/>
      <c r="DD246" s="446"/>
      <c r="DE246" s="446"/>
      <c r="DF246" s="446"/>
      <c r="DG246" s="446"/>
      <c r="DH246" s="446"/>
      <c r="DI246" s="446"/>
      <c r="DJ246" s="446"/>
      <c r="DK246" s="446"/>
      <c r="DL246" s="446"/>
      <c r="DM246" s="446"/>
      <c r="DN246" s="446"/>
      <c r="DO246" s="446"/>
      <c r="DP246" s="446"/>
      <c r="DQ246" s="446"/>
      <c r="DR246" s="446"/>
      <c r="DS246" s="446"/>
      <c r="DT246" s="446"/>
      <c r="DU246" s="446"/>
      <c r="DV246" s="446"/>
      <c r="DW246" s="446"/>
      <c r="DX246" s="446"/>
      <c r="DY246" s="446"/>
      <c r="DZ246" s="283"/>
    </row>
    <row r="247" spans="2:130" s="223" customFormat="1" ht="14.25" customHeight="1" x14ac:dyDescent="0.2">
      <c r="B247" s="851"/>
      <c r="C247" s="851"/>
      <c r="D247" s="851"/>
      <c r="E247" s="820"/>
      <c r="F247" s="820"/>
      <c r="G247" s="853"/>
      <c r="H247" s="853"/>
      <c r="I247" s="853"/>
      <c r="J247" s="853"/>
      <c r="K247" s="853"/>
      <c r="L247" s="853"/>
      <c r="M247" s="853"/>
      <c r="N247" s="853"/>
      <c r="O247" s="853"/>
      <c r="P247" s="853"/>
      <c r="Q247" s="853"/>
      <c r="R247" s="853"/>
      <c r="S247" s="854"/>
      <c r="T247" s="853"/>
      <c r="U247" s="853"/>
      <c r="V247" s="853"/>
      <c r="W247" s="853"/>
      <c r="X247" s="853"/>
      <c r="Y247" s="853"/>
      <c r="Z247" s="853"/>
      <c r="AA247" s="853"/>
      <c r="AB247" s="853"/>
      <c r="AC247" s="853"/>
      <c r="AD247" s="853"/>
      <c r="AE247" s="853"/>
      <c r="AF247" s="853"/>
      <c r="AG247" s="853"/>
      <c r="AH247" s="446"/>
      <c r="AI247" s="446"/>
      <c r="AJ247" s="446"/>
      <c r="AK247" s="446"/>
      <c r="AL247" s="446"/>
      <c r="AM247" s="446"/>
      <c r="AN247" s="446"/>
      <c r="AO247" s="446"/>
      <c r="AP247" s="446"/>
      <c r="AQ247" s="446"/>
      <c r="AR247" s="446"/>
      <c r="AS247" s="446"/>
      <c r="AT247" s="446"/>
      <c r="AU247" s="446"/>
      <c r="AV247" s="446"/>
      <c r="AW247" s="446"/>
      <c r="AX247" s="446"/>
      <c r="AY247" s="446"/>
      <c r="AZ247" s="446"/>
      <c r="BA247" s="446"/>
      <c r="BB247" s="446"/>
      <c r="BC247" s="446"/>
      <c r="BD247" s="446"/>
      <c r="BE247" s="446"/>
      <c r="BF247" s="446"/>
      <c r="BG247" s="446"/>
      <c r="BH247" s="446"/>
      <c r="BI247" s="446"/>
      <c r="BJ247" s="446"/>
      <c r="BK247" s="446"/>
      <c r="BL247" s="446"/>
      <c r="BM247" s="446"/>
      <c r="BN247" s="446"/>
      <c r="BO247" s="446"/>
      <c r="BP247" s="446"/>
      <c r="BQ247" s="446"/>
      <c r="BR247" s="446"/>
      <c r="BS247" s="446"/>
      <c r="BT247" s="446"/>
      <c r="BU247" s="562"/>
      <c r="BV247" s="446"/>
      <c r="BW247" s="446"/>
      <c r="BX247" s="446"/>
      <c r="BY247" s="446"/>
      <c r="BZ247" s="446"/>
      <c r="CA247" s="446"/>
      <c r="CB247" s="446"/>
      <c r="CC247" s="446"/>
      <c r="CD247" s="446"/>
      <c r="CE247" s="446"/>
      <c r="CF247" s="446"/>
      <c r="CG247" s="446"/>
      <c r="CH247" s="446"/>
      <c r="CI247" s="446"/>
      <c r="CJ247" s="446"/>
      <c r="CK247" s="446"/>
      <c r="CL247" s="446"/>
      <c r="CM247" s="446"/>
      <c r="CN247" s="446"/>
      <c r="CO247" s="446"/>
      <c r="CP247" s="446"/>
      <c r="CQ247" s="446"/>
      <c r="CR247" s="446"/>
      <c r="CS247" s="446"/>
      <c r="CT247" s="446"/>
      <c r="CU247" s="446"/>
      <c r="CV247" s="446"/>
      <c r="CW247" s="851"/>
      <c r="CX247" s="446"/>
      <c r="CY247" s="446"/>
      <c r="CZ247" s="446"/>
      <c r="DA247" s="446"/>
      <c r="DB247" s="446"/>
      <c r="DC247" s="446"/>
      <c r="DD247" s="446"/>
      <c r="DE247" s="446"/>
      <c r="DF247" s="446"/>
      <c r="DG247" s="446"/>
      <c r="DH247" s="446"/>
      <c r="DI247" s="446"/>
      <c r="DJ247" s="446"/>
      <c r="DK247" s="446"/>
      <c r="DL247" s="446"/>
      <c r="DM247" s="446"/>
      <c r="DN247" s="446"/>
      <c r="DO247" s="446"/>
      <c r="DP247" s="446"/>
      <c r="DQ247" s="446"/>
      <c r="DR247" s="446"/>
      <c r="DS247" s="446"/>
      <c r="DT247" s="446"/>
      <c r="DU247" s="446"/>
      <c r="DV247" s="446"/>
      <c r="DW247" s="446"/>
      <c r="DX247" s="446"/>
      <c r="DY247" s="446"/>
      <c r="DZ247" s="283"/>
    </row>
    <row r="248" spans="2:130" s="223" customFormat="1" ht="14.25" customHeight="1" x14ac:dyDescent="0.2">
      <c r="B248" s="851"/>
      <c r="C248" s="851"/>
      <c r="D248" s="851"/>
      <c r="E248" s="820"/>
      <c r="F248" s="820"/>
      <c r="G248" s="853"/>
      <c r="H248" s="853"/>
      <c r="I248" s="853"/>
      <c r="J248" s="853"/>
      <c r="K248" s="853"/>
      <c r="L248" s="853"/>
      <c r="M248" s="853"/>
      <c r="N248" s="853"/>
      <c r="O248" s="853"/>
      <c r="P248" s="853"/>
      <c r="Q248" s="853"/>
      <c r="R248" s="853"/>
      <c r="S248" s="854"/>
      <c r="T248" s="853"/>
      <c r="U248" s="853"/>
      <c r="V248" s="853"/>
      <c r="W248" s="853"/>
      <c r="X248" s="853"/>
      <c r="Y248" s="853"/>
      <c r="Z248" s="853"/>
      <c r="AA248" s="853"/>
      <c r="AB248" s="853"/>
      <c r="AC248" s="853"/>
      <c r="AD248" s="853"/>
      <c r="AE248" s="853"/>
      <c r="AF248" s="853"/>
      <c r="AG248" s="853"/>
      <c r="AH248" s="446"/>
      <c r="AI248" s="446"/>
      <c r="AJ248" s="446"/>
      <c r="AK248" s="446"/>
      <c r="AL248" s="446"/>
      <c r="AM248" s="446"/>
      <c r="AN248" s="446"/>
      <c r="AO248" s="446"/>
      <c r="AP248" s="446"/>
      <c r="AQ248" s="446"/>
      <c r="AR248" s="446"/>
      <c r="AS248" s="446"/>
      <c r="AT248" s="446"/>
      <c r="AU248" s="446"/>
      <c r="AV248" s="446"/>
      <c r="AW248" s="446"/>
      <c r="AX248" s="446"/>
      <c r="AY248" s="446"/>
      <c r="AZ248" s="446"/>
      <c r="BA248" s="446"/>
      <c r="BB248" s="446"/>
      <c r="BC248" s="446"/>
      <c r="BD248" s="446"/>
      <c r="BE248" s="446"/>
      <c r="BF248" s="446"/>
      <c r="BG248" s="446"/>
      <c r="BH248" s="446"/>
      <c r="BI248" s="446"/>
      <c r="BJ248" s="446"/>
      <c r="BK248" s="446"/>
      <c r="BL248" s="446"/>
      <c r="BM248" s="446"/>
      <c r="BN248" s="446"/>
      <c r="BO248" s="446"/>
      <c r="BP248" s="446"/>
      <c r="BQ248" s="446"/>
      <c r="BR248" s="446"/>
      <c r="BS248" s="446"/>
      <c r="BT248" s="446"/>
      <c r="BU248" s="562"/>
      <c r="BV248" s="446"/>
      <c r="BW248" s="446"/>
      <c r="BX248" s="446"/>
      <c r="BY248" s="446"/>
      <c r="BZ248" s="446"/>
      <c r="CA248" s="446"/>
      <c r="CB248" s="446"/>
      <c r="CC248" s="446"/>
      <c r="CD248" s="446"/>
      <c r="CE248" s="446"/>
      <c r="CF248" s="446"/>
      <c r="CG248" s="446"/>
      <c r="CH248" s="446"/>
      <c r="CI248" s="446"/>
      <c r="CJ248" s="446"/>
      <c r="CK248" s="446"/>
      <c r="CL248" s="446"/>
      <c r="CM248" s="446"/>
      <c r="CN248" s="446"/>
      <c r="CO248" s="446"/>
      <c r="CP248" s="446"/>
      <c r="CQ248" s="446"/>
      <c r="CR248" s="446"/>
      <c r="CS248" s="446"/>
      <c r="CT248" s="446"/>
      <c r="CU248" s="446"/>
      <c r="CV248" s="446"/>
      <c r="CW248" s="851"/>
      <c r="CX248" s="446"/>
      <c r="CY248" s="446"/>
      <c r="CZ248" s="446"/>
      <c r="DA248" s="446"/>
      <c r="DB248" s="446"/>
      <c r="DC248" s="446"/>
      <c r="DD248" s="446"/>
      <c r="DE248" s="446"/>
      <c r="DF248" s="446"/>
      <c r="DG248" s="446"/>
      <c r="DH248" s="446"/>
      <c r="DI248" s="446"/>
      <c r="DJ248" s="446"/>
      <c r="DK248" s="446"/>
      <c r="DL248" s="446"/>
      <c r="DM248" s="446"/>
      <c r="DN248" s="446"/>
      <c r="DO248" s="446"/>
      <c r="DP248" s="446"/>
      <c r="DQ248" s="446"/>
      <c r="DR248" s="446"/>
      <c r="DS248" s="446"/>
      <c r="DT248" s="446"/>
      <c r="DU248" s="446"/>
      <c r="DV248" s="446"/>
      <c r="DW248" s="446"/>
      <c r="DX248" s="446"/>
      <c r="DY248" s="446"/>
      <c r="DZ248" s="283"/>
    </row>
    <row r="249" spans="2:130" s="223" customFormat="1" ht="14.25" customHeight="1" x14ac:dyDescent="0.2">
      <c r="B249" s="851"/>
      <c r="C249" s="851"/>
      <c r="D249" s="851"/>
      <c r="E249" s="820"/>
      <c r="F249" s="820"/>
      <c r="G249" s="853"/>
      <c r="H249" s="853"/>
      <c r="I249" s="853"/>
      <c r="J249" s="853"/>
      <c r="K249" s="853"/>
      <c r="L249" s="853"/>
      <c r="M249" s="853"/>
      <c r="N249" s="853"/>
      <c r="O249" s="853"/>
      <c r="P249" s="853"/>
      <c r="Q249" s="853"/>
      <c r="R249" s="853"/>
      <c r="S249" s="854"/>
      <c r="T249" s="853"/>
      <c r="U249" s="853"/>
      <c r="V249" s="853"/>
      <c r="W249" s="853"/>
      <c r="X249" s="853"/>
      <c r="Y249" s="853"/>
      <c r="Z249" s="853"/>
      <c r="AA249" s="853"/>
      <c r="AB249" s="853"/>
      <c r="AC249" s="853"/>
      <c r="AD249" s="853"/>
      <c r="AE249" s="853"/>
      <c r="AF249" s="853"/>
      <c r="AG249" s="853"/>
      <c r="AH249" s="446"/>
      <c r="AI249" s="446"/>
      <c r="AJ249" s="446"/>
      <c r="AK249" s="446"/>
      <c r="AL249" s="446"/>
      <c r="AM249" s="446"/>
      <c r="AN249" s="446"/>
      <c r="AO249" s="446"/>
      <c r="AP249" s="446"/>
      <c r="AQ249" s="446"/>
      <c r="AR249" s="446"/>
      <c r="AS249" s="446"/>
      <c r="AT249" s="446"/>
      <c r="AU249" s="446"/>
      <c r="AV249" s="446"/>
      <c r="AW249" s="446"/>
      <c r="AX249" s="446"/>
      <c r="AY249" s="446"/>
      <c r="AZ249" s="446"/>
      <c r="BA249" s="446"/>
      <c r="BB249" s="446"/>
      <c r="BC249" s="446"/>
      <c r="BD249" s="446"/>
      <c r="BE249" s="446"/>
      <c r="BF249" s="446"/>
      <c r="BG249" s="446"/>
      <c r="BH249" s="446"/>
      <c r="BI249" s="446"/>
      <c r="BJ249" s="446"/>
      <c r="BK249" s="446"/>
      <c r="BL249" s="446"/>
      <c r="BM249" s="446"/>
      <c r="BN249" s="446"/>
      <c r="BO249" s="446"/>
      <c r="BP249" s="446"/>
      <c r="BQ249" s="446"/>
      <c r="BR249" s="446"/>
      <c r="BS249" s="446"/>
      <c r="BT249" s="446"/>
      <c r="BU249" s="562"/>
      <c r="BV249" s="446"/>
      <c r="BW249" s="446"/>
      <c r="BX249" s="446"/>
      <c r="BY249" s="446"/>
      <c r="BZ249" s="446"/>
      <c r="CA249" s="446"/>
      <c r="CB249" s="446"/>
      <c r="CC249" s="446"/>
      <c r="CD249" s="446"/>
      <c r="CE249" s="446"/>
      <c r="CF249" s="446"/>
      <c r="CG249" s="446"/>
      <c r="CH249" s="446"/>
      <c r="CI249" s="446"/>
      <c r="CJ249" s="446"/>
      <c r="CK249" s="446"/>
      <c r="CL249" s="446"/>
      <c r="CM249" s="446"/>
      <c r="CN249" s="446"/>
      <c r="CO249" s="446"/>
      <c r="CP249" s="446"/>
      <c r="CQ249" s="446"/>
      <c r="CR249" s="446"/>
      <c r="CS249" s="446"/>
      <c r="CT249" s="446"/>
      <c r="CU249" s="446"/>
      <c r="CV249" s="446"/>
      <c r="CW249" s="851"/>
      <c r="CX249" s="446"/>
      <c r="CY249" s="446"/>
      <c r="CZ249" s="446"/>
      <c r="DA249" s="446"/>
      <c r="DB249" s="446"/>
      <c r="DC249" s="446"/>
      <c r="DD249" s="446"/>
      <c r="DE249" s="446"/>
      <c r="DF249" s="446"/>
      <c r="DG249" s="446"/>
      <c r="DH249" s="446"/>
      <c r="DI249" s="446"/>
      <c r="DJ249" s="446"/>
      <c r="DK249" s="446"/>
      <c r="DL249" s="446"/>
      <c r="DM249" s="446"/>
      <c r="DN249" s="446"/>
      <c r="DO249" s="446"/>
      <c r="DP249" s="446"/>
      <c r="DQ249" s="446"/>
      <c r="DR249" s="446"/>
      <c r="DS249" s="446"/>
      <c r="DT249" s="446"/>
      <c r="DU249" s="446"/>
      <c r="DV249" s="446"/>
      <c r="DW249" s="446"/>
      <c r="DX249" s="446"/>
      <c r="DY249" s="446"/>
      <c r="DZ249" s="283"/>
    </row>
    <row r="250" spans="2:130" s="223" customFormat="1" ht="14.25" customHeight="1" x14ac:dyDescent="0.2">
      <c r="B250" s="851"/>
      <c r="C250" s="851"/>
      <c r="D250" s="851"/>
      <c r="E250" s="820"/>
      <c r="F250" s="820"/>
      <c r="G250" s="853"/>
      <c r="H250" s="853"/>
      <c r="I250" s="853"/>
      <c r="J250" s="853"/>
      <c r="K250" s="853"/>
      <c r="L250" s="853"/>
      <c r="M250" s="853"/>
      <c r="N250" s="853"/>
      <c r="O250" s="853"/>
      <c r="P250" s="853"/>
      <c r="Q250" s="853"/>
      <c r="R250" s="853"/>
      <c r="S250" s="854"/>
      <c r="T250" s="853"/>
      <c r="U250" s="853"/>
      <c r="V250" s="853"/>
      <c r="W250" s="853"/>
      <c r="X250" s="853"/>
      <c r="Y250" s="853"/>
      <c r="Z250" s="853"/>
      <c r="AA250" s="853"/>
      <c r="AB250" s="853"/>
      <c r="AC250" s="853"/>
      <c r="AD250" s="853"/>
      <c r="AE250" s="853"/>
      <c r="AF250" s="853"/>
      <c r="AG250" s="853"/>
      <c r="AH250" s="446"/>
      <c r="AI250" s="446"/>
      <c r="AJ250" s="446"/>
      <c r="AK250" s="446"/>
      <c r="AL250" s="446"/>
      <c r="AM250" s="446"/>
      <c r="AN250" s="446"/>
      <c r="AO250" s="446"/>
      <c r="AP250" s="446"/>
      <c r="AQ250" s="446"/>
      <c r="AR250" s="446"/>
      <c r="AS250" s="446"/>
      <c r="AT250" s="446"/>
      <c r="AU250" s="446"/>
      <c r="AV250" s="446"/>
      <c r="AW250" s="446"/>
      <c r="AX250" s="446"/>
      <c r="AY250" s="446"/>
      <c r="AZ250" s="446"/>
      <c r="BA250" s="446"/>
      <c r="BB250" s="446"/>
      <c r="BC250" s="446"/>
      <c r="BD250" s="446"/>
      <c r="BE250" s="446"/>
      <c r="BF250" s="446"/>
      <c r="BG250" s="446"/>
      <c r="BH250" s="446"/>
      <c r="BI250" s="446"/>
      <c r="BJ250" s="446"/>
      <c r="BK250" s="446"/>
      <c r="BL250" s="446"/>
      <c r="BM250" s="446"/>
      <c r="BN250" s="446"/>
      <c r="BO250" s="446"/>
      <c r="BP250" s="446"/>
      <c r="BQ250" s="446"/>
      <c r="BR250" s="446"/>
      <c r="BS250" s="446"/>
      <c r="BT250" s="446"/>
      <c r="BU250" s="562"/>
      <c r="BV250" s="446"/>
      <c r="BW250" s="446"/>
      <c r="BX250" s="446"/>
      <c r="BY250" s="446"/>
      <c r="BZ250" s="446"/>
      <c r="CA250" s="446"/>
      <c r="CB250" s="446"/>
      <c r="CC250" s="446"/>
      <c r="CD250" s="446"/>
      <c r="CE250" s="446"/>
      <c r="CF250" s="446"/>
      <c r="CG250" s="446"/>
      <c r="CH250" s="446"/>
      <c r="CI250" s="446"/>
      <c r="CJ250" s="446"/>
      <c r="CK250" s="446"/>
      <c r="CL250" s="446"/>
      <c r="CM250" s="446"/>
      <c r="CN250" s="446"/>
      <c r="CO250" s="446"/>
      <c r="CP250" s="446"/>
      <c r="CQ250" s="446"/>
      <c r="CR250" s="446"/>
      <c r="CS250" s="446"/>
      <c r="CT250" s="446"/>
      <c r="CU250" s="446"/>
      <c r="CV250" s="446"/>
      <c r="CW250" s="851"/>
      <c r="CX250" s="446"/>
      <c r="CY250" s="446"/>
      <c r="CZ250" s="446"/>
      <c r="DA250" s="446"/>
      <c r="DB250" s="446"/>
      <c r="DC250" s="446"/>
      <c r="DD250" s="446"/>
      <c r="DE250" s="446"/>
      <c r="DF250" s="446"/>
      <c r="DG250" s="446"/>
      <c r="DH250" s="446"/>
      <c r="DI250" s="446"/>
      <c r="DJ250" s="446"/>
      <c r="DK250" s="446"/>
      <c r="DL250" s="446"/>
      <c r="DM250" s="446"/>
      <c r="DN250" s="446"/>
      <c r="DO250" s="446"/>
      <c r="DP250" s="446"/>
      <c r="DQ250" s="446"/>
      <c r="DR250" s="446"/>
      <c r="DS250" s="446"/>
      <c r="DT250" s="446"/>
      <c r="DU250" s="446"/>
      <c r="DV250" s="446"/>
      <c r="DW250" s="446"/>
      <c r="DX250" s="446"/>
      <c r="DY250" s="446"/>
      <c r="DZ250" s="283"/>
    </row>
    <row r="251" spans="2:130" s="223" customFormat="1" ht="14.25" customHeight="1" x14ac:dyDescent="0.2">
      <c r="B251" s="851"/>
      <c r="C251" s="851"/>
      <c r="D251" s="851"/>
      <c r="E251" s="820"/>
      <c r="F251" s="820"/>
      <c r="G251" s="853"/>
      <c r="H251" s="853"/>
      <c r="I251" s="853"/>
      <c r="J251" s="853"/>
      <c r="K251" s="853"/>
      <c r="L251" s="853"/>
      <c r="M251" s="853"/>
      <c r="N251" s="853"/>
      <c r="O251" s="853"/>
      <c r="P251" s="853"/>
      <c r="Q251" s="853"/>
      <c r="R251" s="853"/>
      <c r="S251" s="854"/>
      <c r="T251" s="853"/>
      <c r="U251" s="853"/>
      <c r="V251" s="853"/>
      <c r="W251" s="853"/>
      <c r="X251" s="853"/>
      <c r="Y251" s="853"/>
      <c r="Z251" s="853"/>
      <c r="AA251" s="853"/>
      <c r="AB251" s="853"/>
      <c r="AC251" s="853"/>
      <c r="AD251" s="853"/>
      <c r="AE251" s="853"/>
      <c r="AF251" s="853"/>
      <c r="AG251" s="853"/>
      <c r="AH251" s="446"/>
      <c r="AI251" s="446"/>
      <c r="AJ251" s="446"/>
      <c r="AK251" s="446"/>
      <c r="AL251" s="446"/>
      <c r="AM251" s="446"/>
      <c r="AN251" s="446"/>
      <c r="AO251" s="446"/>
      <c r="AP251" s="446"/>
      <c r="AQ251" s="446"/>
      <c r="AR251" s="446"/>
      <c r="AS251" s="446"/>
      <c r="AT251" s="446"/>
      <c r="AU251" s="446"/>
      <c r="AV251" s="446"/>
      <c r="AW251" s="446"/>
      <c r="AX251" s="446"/>
      <c r="AY251" s="446"/>
      <c r="AZ251" s="446"/>
      <c r="BA251" s="446"/>
      <c r="BB251" s="446"/>
      <c r="BC251" s="446"/>
      <c r="BD251" s="446"/>
      <c r="BE251" s="446"/>
      <c r="BF251" s="446"/>
      <c r="BG251" s="446"/>
      <c r="BH251" s="446"/>
      <c r="BI251" s="446"/>
      <c r="BJ251" s="446"/>
      <c r="BK251" s="446"/>
      <c r="BL251" s="446"/>
      <c r="BM251" s="446"/>
      <c r="BN251" s="446"/>
      <c r="BO251" s="446"/>
      <c r="BP251" s="446"/>
      <c r="BQ251" s="446"/>
      <c r="BR251" s="446"/>
      <c r="BS251" s="446"/>
      <c r="BT251" s="446"/>
      <c r="BU251" s="562"/>
      <c r="BV251" s="446"/>
      <c r="BW251" s="446"/>
      <c r="BX251" s="446"/>
      <c r="BY251" s="446"/>
      <c r="BZ251" s="446"/>
      <c r="CA251" s="446"/>
      <c r="CB251" s="446"/>
      <c r="CC251" s="446"/>
      <c r="CD251" s="446"/>
      <c r="CE251" s="446"/>
      <c r="CF251" s="446"/>
      <c r="CG251" s="446"/>
      <c r="CH251" s="446"/>
      <c r="CI251" s="446"/>
      <c r="CJ251" s="446"/>
      <c r="CK251" s="446"/>
      <c r="CL251" s="446"/>
      <c r="CM251" s="446"/>
      <c r="CN251" s="446"/>
      <c r="CO251" s="446"/>
      <c r="CP251" s="446"/>
      <c r="CQ251" s="446"/>
      <c r="CR251" s="446"/>
      <c r="CS251" s="446"/>
      <c r="CT251" s="446"/>
      <c r="CU251" s="446"/>
      <c r="CV251" s="446"/>
      <c r="CW251" s="851"/>
      <c r="CX251" s="446"/>
      <c r="CY251" s="446"/>
      <c r="CZ251" s="446"/>
      <c r="DA251" s="446"/>
      <c r="DB251" s="446"/>
      <c r="DC251" s="446"/>
      <c r="DD251" s="446"/>
      <c r="DE251" s="446"/>
      <c r="DF251" s="446"/>
      <c r="DG251" s="446"/>
      <c r="DH251" s="446"/>
      <c r="DI251" s="446"/>
      <c r="DJ251" s="446"/>
      <c r="DK251" s="446"/>
      <c r="DL251" s="446"/>
      <c r="DM251" s="446"/>
      <c r="DN251" s="446"/>
      <c r="DO251" s="446"/>
      <c r="DP251" s="446"/>
      <c r="DQ251" s="446"/>
      <c r="DR251" s="446"/>
      <c r="DS251" s="446"/>
      <c r="DT251" s="446"/>
      <c r="DU251" s="446"/>
      <c r="DV251" s="446"/>
      <c r="DW251" s="446"/>
      <c r="DX251" s="446"/>
      <c r="DY251" s="446"/>
      <c r="DZ251" s="283"/>
    </row>
    <row r="252" spans="2:130" s="223" customFormat="1" ht="14.25" customHeight="1" x14ac:dyDescent="0.2">
      <c r="B252" s="851"/>
      <c r="C252" s="851"/>
      <c r="D252" s="851"/>
      <c r="E252" s="820"/>
      <c r="F252" s="820"/>
      <c r="G252" s="853"/>
      <c r="H252" s="853"/>
      <c r="I252" s="853"/>
      <c r="J252" s="853"/>
      <c r="K252" s="853"/>
      <c r="L252" s="853"/>
      <c r="M252" s="853"/>
      <c r="N252" s="853"/>
      <c r="O252" s="853"/>
      <c r="P252" s="853"/>
      <c r="Q252" s="853"/>
      <c r="R252" s="853"/>
      <c r="S252" s="854"/>
      <c r="T252" s="853"/>
      <c r="U252" s="853"/>
      <c r="V252" s="853"/>
      <c r="W252" s="853"/>
      <c r="X252" s="853"/>
      <c r="Y252" s="853"/>
      <c r="Z252" s="853"/>
      <c r="AA252" s="853"/>
      <c r="AB252" s="853"/>
      <c r="AC252" s="853"/>
      <c r="AD252" s="853"/>
      <c r="AE252" s="853"/>
      <c r="AF252" s="853"/>
      <c r="AG252" s="853"/>
      <c r="AH252" s="446"/>
      <c r="AI252" s="446"/>
      <c r="AJ252" s="446"/>
      <c r="AK252" s="446"/>
      <c r="AL252" s="446"/>
      <c r="AM252" s="446"/>
      <c r="AN252" s="446"/>
      <c r="AO252" s="446"/>
      <c r="AP252" s="446"/>
      <c r="AQ252" s="446"/>
      <c r="AR252" s="446"/>
      <c r="AS252" s="446"/>
      <c r="AT252" s="446"/>
      <c r="AU252" s="446"/>
      <c r="AV252" s="446"/>
      <c r="AW252" s="446"/>
      <c r="AX252" s="446"/>
      <c r="AY252" s="446"/>
      <c r="AZ252" s="446"/>
      <c r="BA252" s="446"/>
      <c r="BB252" s="446"/>
      <c r="BC252" s="446"/>
      <c r="BD252" s="446"/>
      <c r="BE252" s="446"/>
      <c r="BF252" s="446"/>
      <c r="BG252" s="446"/>
      <c r="BH252" s="446"/>
      <c r="BI252" s="446"/>
      <c r="BJ252" s="446"/>
      <c r="BK252" s="446"/>
      <c r="BL252" s="446"/>
      <c r="BM252" s="446"/>
      <c r="BN252" s="446"/>
      <c r="BO252" s="446"/>
      <c r="BP252" s="446"/>
      <c r="BQ252" s="446"/>
      <c r="BR252" s="446"/>
      <c r="BS252" s="446"/>
      <c r="BT252" s="446"/>
      <c r="BU252" s="562"/>
      <c r="BV252" s="446"/>
      <c r="BW252" s="446"/>
      <c r="BX252" s="446"/>
      <c r="BY252" s="446"/>
      <c r="BZ252" s="446"/>
      <c r="CA252" s="446"/>
      <c r="CB252" s="446"/>
      <c r="CC252" s="446"/>
      <c r="CD252" s="446"/>
      <c r="CE252" s="446"/>
      <c r="CF252" s="446"/>
      <c r="CG252" s="446"/>
      <c r="CH252" s="446"/>
      <c r="CI252" s="446"/>
      <c r="CJ252" s="446"/>
      <c r="CK252" s="446"/>
      <c r="CL252" s="446"/>
      <c r="CM252" s="446"/>
      <c r="CN252" s="446"/>
      <c r="CO252" s="446"/>
      <c r="CP252" s="446"/>
      <c r="CQ252" s="446"/>
      <c r="CR252" s="446"/>
      <c r="CS252" s="446"/>
      <c r="CT252" s="446"/>
      <c r="CU252" s="446"/>
      <c r="CV252" s="446"/>
      <c r="CW252" s="851"/>
      <c r="CX252" s="446"/>
      <c r="CY252" s="446"/>
      <c r="CZ252" s="446"/>
      <c r="DA252" s="446"/>
      <c r="DB252" s="446"/>
      <c r="DC252" s="446"/>
      <c r="DD252" s="446"/>
      <c r="DE252" s="446"/>
      <c r="DF252" s="446"/>
      <c r="DG252" s="446"/>
      <c r="DH252" s="446"/>
      <c r="DI252" s="446"/>
      <c r="DJ252" s="446"/>
      <c r="DK252" s="446"/>
      <c r="DL252" s="446"/>
      <c r="DM252" s="446"/>
      <c r="DN252" s="446"/>
      <c r="DO252" s="446"/>
      <c r="DP252" s="446"/>
      <c r="DQ252" s="446"/>
      <c r="DR252" s="446"/>
      <c r="DS252" s="446"/>
      <c r="DT252" s="446"/>
      <c r="DU252" s="446"/>
      <c r="DV252" s="446"/>
      <c r="DW252" s="446"/>
      <c r="DX252" s="446"/>
      <c r="DY252" s="446"/>
      <c r="DZ252" s="283"/>
    </row>
    <row r="253" spans="2:130" s="223" customFormat="1" ht="14.25" customHeight="1" x14ac:dyDescent="0.2">
      <c r="B253" s="851"/>
      <c r="C253" s="851"/>
      <c r="D253" s="851"/>
      <c r="E253" s="820"/>
      <c r="F253" s="820"/>
      <c r="G253" s="853"/>
      <c r="H253" s="853"/>
      <c r="I253" s="853"/>
      <c r="J253" s="853"/>
      <c r="K253" s="853"/>
      <c r="L253" s="853"/>
      <c r="M253" s="853"/>
      <c r="N253" s="853"/>
      <c r="O253" s="853"/>
      <c r="P253" s="853"/>
      <c r="Q253" s="853"/>
      <c r="R253" s="853"/>
      <c r="S253" s="854"/>
      <c r="T253" s="853"/>
      <c r="U253" s="853"/>
      <c r="V253" s="853"/>
      <c r="W253" s="853"/>
      <c r="X253" s="853"/>
      <c r="Y253" s="853"/>
      <c r="Z253" s="853"/>
      <c r="AA253" s="853"/>
      <c r="AB253" s="853"/>
      <c r="AC253" s="853"/>
      <c r="AD253" s="853"/>
      <c r="AE253" s="853"/>
      <c r="AF253" s="853"/>
      <c r="AG253" s="853"/>
      <c r="AH253" s="446"/>
      <c r="AI253" s="446"/>
      <c r="AJ253" s="446"/>
      <c r="AK253" s="446"/>
      <c r="AL253" s="446"/>
      <c r="AM253" s="446"/>
      <c r="AN253" s="446"/>
      <c r="AO253" s="446"/>
      <c r="AP253" s="446"/>
      <c r="AQ253" s="446"/>
      <c r="AR253" s="446"/>
      <c r="AS253" s="446"/>
      <c r="AT253" s="446"/>
      <c r="AU253" s="446"/>
      <c r="AV253" s="446"/>
      <c r="AW253" s="446"/>
      <c r="AX253" s="446"/>
      <c r="AY253" s="446"/>
      <c r="AZ253" s="446"/>
      <c r="BA253" s="446"/>
      <c r="BB253" s="446"/>
      <c r="BC253" s="446"/>
      <c r="BD253" s="446"/>
      <c r="BE253" s="446"/>
      <c r="BF253" s="446"/>
      <c r="BG253" s="446"/>
      <c r="BH253" s="446"/>
      <c r="BI253" s="446"/>
      <c r="BJ253" s="446"/>
      <c r="BK253" s="446"/>
      <c r="BL253" s="446"/>
      <c r="BM253" s="446"/>
      <c r="BN253" s="446"/>
      <c r="BO253" s="446"/>
      <c r="BP253" s="446"/>
      <c r="BQ253" s="446"/>
      <c r="BR253" s="446"/>
      <c r="BS253" s="446"/>
      <c r="BT253" s="446"/>
      <c r="BU253" s="562"/>
      <c r="BV253" s="446"/>
      <c r="BW253" s="446"/>
      <c r="BX253" s="446"/>
      <c r="BY253" s="446"/>
      <c r="BZ253" s="446"/>
      <c r="CA253" s="446"/>
      <c r="CB253" s="446"/>
      <c r="CC253" s="446"/>
      <c r="CD253" s="446"/>
      <c r="CE253" s="446"/>
      <c r="CF253" s="446"/>
      <c r="CG253" s="446"/>
      <c r="CH253" s="446"/>
      <c r="CI253" s="446"/>
      <c r="CJ253" s="446"/>
      <c r="CK253" s="446"/>
      <c r="CL253" s="446"/>
      <c r="CM253" s="446"/>
      <c r="CN253" s="446"/>
      <c r="CO253" s="446"/>
      <c r="CP253" s="446"/>
      <c r="CQ253" s="446"/>
      <c r="CR253" s="446"/>
      <c r="CS253" s="446"/>
      <c r="CT253" s="446"/>
      <c r="CU253" s="446"/>
      <c r="CV253" s="446"/>
      <c r="CW253" s="851"/>
      <c r="CX253" s="446"/>
      <c r="CY253" s="446"/>
      <c r="CZ253" s="446"/>
      <c r="DA253" s="446"/>
      <c r="DB253" s="446"/>
      <c r="DC253" s="446"/>
      <c r="DD253" s="446"/>
      <c r="DE253" s="446"/>
      <c r="DF253" s="446"/>
      <c r="DG253" s="446"/>
      <c r="DH253" s="446"/>
      <c r="DI253" s="446"/>
      <c r="DJ253" s="446"/>
      <c r="DK253" s="446"/>
      <c r="DL253" s="446"/>
      <c r="DM253" s="446"/>
      <c r="DN253" s="446"/>
      <c r="DO253" s="446"/>
      <c r="DP253" s="446"/>
      <c r="DQ253" s="446"/>
      <c r="DR253" s="446"/>
      <c r="DS253" s="446"/>
      <c r="DT253" s="446"/>
      <c r="DU253" s="446"/>
      <c r="DV253" s="446"/>
      <c r="DW253" s="446"/>
      <c r="DX253" s="446"/>
      <c r="DY253" s="446"/>
      <c r="DZ253" s="283"/>
    </row>
    <row r="254" spans="2:130" s="223" customFormat="1" ht="14.25" customHeight="1" x14ac:dyDescent="0.2">
      <c r="B254" s="851"/>
      <c r="C254" s="851"/>
      <c r="D254" s="851"/>
      <c r="E254" s="820"/>
      <c r="F254" s="820"/>
      <c r="G254" s="853"/>
      <c r="H254" s="853"/>
      <c r="I254" s="853"/>
      <c r="J254" s="853"/>
      <c r="K254" s="853"/>
      <c r="L254" s="853"/>
      <c r="M254" s="853"/>
      <c r="N254" s="853"/>
      <c r="O254" s="853"/>
      <c r="P254" s="853"/>
      <c r="Q254" s="853"/>
      <c r="R254" s="853"/>
      <c r="S254" s="854"/>
      <c r="T254" s="853"/>
      <c r="U254" s="853"/>
      <c r="V254" s="853"/>
      <c r="W254" s="853"/>
      <c r="X254" s="853"/>
      <c r="Y254" s="853"/>
      <c r="Z254" s="853"/>
      <c r="AA254" s="853"/>
      <c r="AB254" s="853"/>
      <c r="AC254" s="853"/>
      <c r="AD254" s="853"/>
      <c r="AE254" s="853"/>
      <c r="AF254" s="853"/>
      <c r="AG254" s="853"/>
      <c r="AH254" s="446"/>
      <c r="AI254" s="446"/>
      <c r="AJ254" s="446"/>
      <c r="AK254" s="446"/>
      <c r="AL254" s="446"/>
      <c r="AM254" s="446"/>
      <c r="AN254" s="446"/>
      <c r="AO254" s="446"/>
      <c r="AP254" s="446"/>
      <c r="AQ254" s="446"/>
      <c r="AR254" s="446"/>
      <c r="AS254" s="446"/>
      <c r="AT254" s="446"/>
      <c r="AU254" s="446"/>
      <c r="AV254" s="446"/>
      <c r="AW254" s="446"/>
      <c r="AX254" s="446"/>
      <c r="AY254" s="446"/>
      <c r="AZ254" s="446"/>
      <c r="BA254" s="446"/>
      <c r="BB254" s="446"/>
      <c r="BC254" s="446"/>
      <c r="BD254" s="446"/>
      <c r="BE254" s="446"/>
      <c r="BF254" s="446"/>
      <c r="BG254" s="446"/>
      <c r="BH254" s="446"/>
      <c r="BI254" s="446"/>
      <c r="BJ254" s="446"/>
      <c r="BK254" s="446"/>
      <c r="BL254" s="446"/>
      <c r="BM254" s="446"/>
      <c r="BN254" s="446"/>
      <c r="BO254" s="446"/>
      <c r="BP254" s="446"/>
      <c r="BQ254" s="446"/>
      <c r="BR254" s="446"/>
      <c r="BS254" s="446"/>
      <c r="BT254" s="446"/>
      <c r="BU254" s="562"/>
      <c r="BV254" s="446"/>
      <c r="BW254" s="446"/>
      <c r="BX254" s="446"/>
      <c r="BY254" s="446"/>
      <c r="BZ254" s="446"/>
      <c r="CA254" s="446"/>
      <c r="CB254" s="446"/>
      <c r="CC254" s="446"/>
      <c r="CD254" s="446"/>
      <c r="CE254" s="446"/>
      <c r="CF254" s="446"/>
      <c r="CG254" s="446"/>
      <c r="CH254" s="446"/>
      <c r="CI254" s="446"/>
      <c r="CJ254" s="446"/>
      <c r="CK254" s="446"/>
      <c r="CL254" s="446"/>
      <c r="CM254" s="446"/>
      <c r="CN254" s="446"/>
      <c r="CO254" s="446"/>
      <c r="CP254" s="446"/>
      <c r="CQ254" s="446"/>
      <c r="CR254" s="446"/>
      <c r="CS254" s="446"/>
      <c r="CT254" s="446"/>
      <c r="CU254" s="446"/>
      <c r="CV254" s="446"/>
      <c r="CW254" s="851"/>
      <c r="CX254" s="446"/>
      <c r="CY254" s="446"/>
      <c r="CZ254" s="446"/>
      <c r="DA254" s="446"/>
      <c r="DB254" s="446"/>
      <c r="DC254" s="446"/>
      <c r="DD254" s="446"/>
      <c r="DE254" s="446"/>
      <c r="DF254" s="446"/>
      <c r="DG254" s="446"/>
      <c r="DH254" s="446"/>
      <c r="DI254" s="446"/>
      <c r="DJ254" s="446"/>
      <c r="DK254" s="446"/>
      <c r="DL254" s="446"/>
      <c r="DM254" s="446"/>
      <c r="DN254" s="446"/>
      <c r="DO254" s="446"/>
      <c r="DP254" s="446"/>
      <c r="DQ254" s="446"/>
      <c r="DR254" s="446"/>
      <c r="DS254" s="446"/>
      <c r="DT254" s="446"/>
      <c r="DU254" s="446"/>
      <c r="DV254" s="446"/>
      <c r="DW254" s="446"/>
      <c r="DX254" s="446"/>
      <c r="DY254" s="446"/>
      <c r="DZ254" s="283"/>
    </row>
    <row r="255" spans="2:130" s="223" customFormat="1" ht="14.25" customHeight="1" x14ac:dyDescent="0.2">
      <c r="B255" s="851"/>
      <c r="C255" s="851"/>
      <c r="D255" s="851"/>
      <c r="E255" s="820"/>
      <c r="F255" s="820"/>
      <c r="G255" s="853"/>
      <c r="H255" s="853"/>
      <c r="I255" s="853"/>
      <c r="J255" s="853"/>
      <c r="K255" s="853"/>
      <c r="L255" s="853"/>
      <c r="M255" s="853"/>
      <c r="N255" s="853"/>
      <c r="O255" s="853"/>
      <c r="P255" s="853"/>
      <c r="Q255" s="853"/>
      <c r="R255" s="853"/>
      <c r="S255" s="854"/>
      <c r="T255" s="853"/>
      <c r="U255" s="853"/>
      <c r="V255" s="853"/>
      <c r="W255" s="853"/>
      <c r="X255" s="853"/>
      <c r="Y255" s="853"/>
      <c r="Z255" s="853"/>
      <c r="AA255" s="853"/>
      <c r="AB255" s="853"/>
      <c r="AC255" s="853"/>
      <c r="AD255" s="853"/>
      <c r="AE255" s="853"/>
      <c r="AF255" s="853"/>
      <c r="AG255" s="853"/>
      <c r="AH255" s="446"/>
      <c r="AI255" s="446"/>
      <c r="AJ255" s="446"/>
      <c r="AK255" s="446"/>
      <c r="AL255" s="446"/>
      <c r="AM255" s="446"/>
      <c r="AN255" s="446"/>
      <c r="AO255" s="446"/>
      <c r="AP255" s="446"/>
      <c r="AQ255" s="446"/>
      <c r="AR255" s="446"/>
      <c r="AS255" s="446"/>
      <c r="AT255" s="446"/>
      <c r="AU255" s="446"/>
      <c r="AV255" s="446"/>
      <c r="AW255" s="446"/>
      <c r="AX255" s="446"/>
      <c r="AY255" s="446"/>
      <c r="AZ255" s="446"/>
      <c r="BA255" s="446"/>
      <c r="BB255" s="446"/>
      <c r="BC255" s="446"/>
      <c r="BD255" s="446"/>
      <c r="BE255" s="446"/>
      <c r="BF255" s="446"/>
      <c r="BG255" s="446"/>
      <c r="BH255" s="446"/>
      <c r="BI255" s="446"/>
      <c r="BJ255" s="446"/>
      <c r="BK255" s="446"/>
      <c r="BL255" s="446"/>
      <c r="BM255" s="446"/>
      <c r="BN255" s="446"/>
      <c r="BO255" s="446"/>
      <c r="BP255" s="446"/>
      <c r="BQ255" s="446"/>
      <c r="BR255" s="446"/>
      <c r="BS255" s="446"/>
      <c r="BT255" s="446"/>
      <c r="BU255" s="562"/>
      <c r="BV255" s="446"/>
      <c r="BW255" s="446"/>
      <c r="BX255" s="446"/>
      <c r="BY255" s="446"/>
      <c r="BZ255" s="446"/>
      <c r="CA255" s="446"/>
      <c r="CB255" s="446"/>
      <c r="CC255" s="446"/>
      <c r="CD255" s="446"/>
      <c r="CE255" s="446"/>
      <c r="CF255" s="446"/>
      <c r="CG255" s="446"/>
      <c r="CH255" s="446"/>
      <c r="CI255" s="446"/>
      <c r="CJ255" s="446"/>
      <c r="CK255" s="446"/>
      <c r="CL255" s="446"/>
      <c r="CM255" s="446"/>
      <c r="CN255" s="446"/>
      <c r="CO255" s="446"/>
      <c r="CP255" s="446"/>
      <c r="CQ255" s="446"/>
      <c r="CR255" s="446"/>
      <c r="CS255" s="446"/>
      <c r="CT255" s="446"/>
      <c r="CU255" s="446"/>
      <c r="CV255" s="446"/>
      <c r="CW255" s="851"/>
      <c r="CX255" s="446"/>
      <c r="CY255" s="446"/>
      <c r="CZ255" s="446"/>
      <c r="DA255" s="446"/>
      <c r="DB255" s="446"/>
      <c r="DC255" s="446"/>
      <c r="DD255" s="446"/>
      <c r="DE255" s="446"/>
      <c r="DF255" s="446"/>
      <c r="DG255" s="446"/>
      <c r="DH255" s="446"/>
      <c r="DI255" s="446"/>
      <c r="DJ255" s="446"/>
      <c r="DK255" s="446"/>
      <c r="DL255" s="446"/>
      <c r="DM255" s="446"/>
      <c r="DN255" s="446"/>
      <c r="DO255" s="446"/>
      <c r="DP255" s="446"/>
      <c r="DQ255" s="446"/>
      <c r="DR255" s="446"/>
      <c r="DS255" s="446"/>
      <c r="DT255" s="446"/>
      <c r="DU255" s="446"/>
      <c r="DV255" s="446"/>
      <c r="DW255" s="446"/>
      <c r="DX255" s="446"/>
      <c r="DY255" s="446"/>
      <c r="DZ255" s="283"/>
    </row>
    <row r="256" spans="2:130" s="223" customFormat="1" ht="14.25" customHeight="1" x14ac:dyDescent="0.2">
      <c r="B256" s="851"/>
      <c r="C256" s="851"/>
      <c r="D256" s="851"/>
      <c r="E256" s="820"/>
      <c r="F256" s="820"/>
      <c r="G256" s="853"/>
      <c r="H256" s="853"/>
      <c r="I256" s="853"/>
      <c r="J256" s="853"/>
      <c r="K256" s="853"/>
      <c r="L256" s="853"/>
      <c r="M256" s="853"/>
      <c r="N256" s="853"/>
      <c r="O256" s="853"/>
      <c r="P256" s="853"/>
      <c r="Q256" s="853"/>
      <c r="R256" s="853"/>
      <c r="S256" s="854"/>
      <c r="T256" s="853"/>
      <c r="U256" s="853"/>
      <c r="V256" s="853"/>
      <c r="W256" s="853"/>
      <c r="X256" s="853"/>
      <c r="Y256" s="853"/>
      <c r="Z256" s="853"/>
      <c r="AA256" s="853"/>
      <c r="AB256" s="853"/>
      <c r="AC256" s="853"/>
      <c r="AD256" s="853"/>
      <c r="AE256" s="853"/>
      <c r="AF256" s="853"/>
      <c r="AG256" s="853"/>
      <c r="AH256" s="446"/>
      <c r="AI256" s="446"/>
      <c r="AJ256" s="446"/>
      <c r="AK256" s="446"/>
      <c r="AL256" s="446"/>
      <c r="AM256" s="446"/>
      <c r="AN256" s="446"/>
      <c r="AO256" s="446"/>
      <c r="AP256" s="446"/>
      <c r="AQ256" s="446"/>
      <c r="AR256" s="446"/>
      <c r="AS256" s="446"/>
      <c r="AT256" s="446"/>
      <c r="AU256" s="446"/>
      <c r="AV256" s="446"/>
      <c r="AW256" s="446"/>
      <c r="AX256" s="446"/>
      <c r="AY256" s="446"/>
      <c r="AZ256" s="446"/>
      <c r="BA256" s="446"/>
      <c r="BB256" s="446"/>
      <c r="BC256" s="446"/>
      <c r="BD256" s="446"/>
      <c r="BE256" s="446"/>
      <c r="BF256" s="446"/>
      <c r="BG256" s="446"/>
      <c r="BH256" s="446"/>
      <c r="BI256" s="446"/>
      <c r="BJ256" s="446"/>
      <c r="BK256" s="446"/>
      <c r="BL256" s="446"/>
      <c r="BM256" s="446"/>
      <c r="BN256" s="446"/>
      <c r="BO256" s="446"/>
      <c r="BP256" s="446"/>
      <c r="BQ256" s="446"/>
      <c r="BR256" s="446"/>
      <c r="BS256" s="446"/>
      <c r="BT256" s="446"/>
      <c r="BU256" s="562"/>
      <c r="BV256" s="446"/>
      <c r="BW256" s="446"/>
      <c r="BX256" s="446"/>
      <c r="BY256" s="446"/>
      <c r="BZ256" s="446"/>
      <c r="CA256" s="446"/>
      <c r="CB256" s="446"/>
      <c r="CC256" s="446"/>
      <c r="CD256" s="446"/>
      <c r="CE256" s="446"/>
      <c r="CF256" s="446"/>
      <c r="CG256" s="446"/>
      <c r="CH256" s="446"/>
      <c r="CI256" s="446"/>
      <c r="CJ256" s="446"/>
      <c r="CK256" s="446"/>
      <c r="CL256" s="446"/>
      <c r="CM256" s="446"/>
      <c r="CN256" s="446"/>
      <c r="CO256" s="446"/>
      <c r="CP256" s="446"/>
      <c r="CQ256" s="446"/>
      <c r="CR256" s="446"/>
      <c r="CS256" s="446"/>
      <c r="CT256" s="446"/>
      <c r="CU256" s="446"/>
      <c r="CV256" s="446"/>
      <c r="CW256" s="851"/>
      <c r="CX256" s="446"/>
      <c r="CY256" s="446"/>
      <c r="CZ256" s="446"/>
      <c r="DA256" s="446"/>
      <c r="DB256" s="446"/>
      <c r="DC256" s="446"/>
      <c r="DD256" s="446"/>
      <c r="DE256" s="446"/>
      <c r="DF256" s="446"/>
      <c r="DG256" s="446"/>
      <c r="DH256" s="446"/>
      <c r="DI256" s="446"/>
      <c r="DJ256" s="446"/>
      <c r="DK256" s="446"/>
      <c r="DL256" s="446"/>
      <c r="DM256" s="446"/>
      <c r="DN256" s="446"/>
      <c r="DO256" s="446"/>
      <c r="DP256" s="446"/>
      <c r="DQ256" s="446"/>
      <c r="DR256" s="446"/>
      <c r="DS256" s="446"/>
      <c r="DT256" s="446"/>
      <c r="DU256" s="446"/>
      <c r="DV256" s="446"/>
      <c r="DW256" s="446"/>
      <c r="DX256" s="446"/>
      <c r="DY256" s="446"/>
      <c r="DZ256" s="283"/>
    </row>
    <row r="257" spans="2:130" s="223" customFormat="1" ht="14.25" customHeight="1" x14ac:dyDescent="0.2">
      <c r="B257" s="851"/>
      <c r="C257" s="851"/>
      <c r="D257" s="851"/>
      <c r="E257" s="820"/>
      <c r="F257" s="820"/>
      <c r="G257" s="853"/>
      <c r="H257" s="853"/>
      <c r="I257" s="853"/>
      <c r="J257" s="853"/>
      <c r="K257" s="853"/>
      <c r="L257" s="853"/>
      <c r="M257" s="853"/>
      <c r="N257" s="853"/>
      <c r="O257" s="853"/>
      <c r="P257" s="853"/>
      <c r="Q257" s="853"/>
      <c r="R257" s="853"/>
      <c r="S257" s="854"/>
      <c r="T257" s="853"/>
      <c r="U257" s="853"/>
      <c r="V257" s="853"/>
      <c r="W257" s="853"/>
      <c r="X257" s="853"/>
      <c r="Y257" s="853"/>
      <c r="Z257" s="853"/>
      <c r="AA257" s="853"/>
      <c r="AB257" s="853"/>
      <c r="AC257" s="853"/>
      <c r="AD257" s="853"/>
      <c r="AE257" s="853"/>
      <c r="AF257" s="853"/>
      <c r="AG257" s="853"/>
      <c r="AH257" s="446"/>
      <c r="AI257" s="446"/>
      <c r="AJ257" s="446"/>
      <c r="AK257" s="446"/>
      <c r="AL257" s="446"/>
      <c r="AM257" s="446"/>
      <c r="AN257" s="446"/>
      <c r="AO257" s="446"/>
      <c r="AP257" s="446"/>
      <c r="AQ257" s="446"/>
      <c r="AR257" s="446"/>
      <c r="AS257" s="446"/>
      <c r="AT257" s="446"/>
      <c r="AU257" s="446"/>
      <c r="AV257" s="446"/>
      <c r="AW257" s="446"/>
      <c r="AX257" s="446"/>
      <c r="AY257" s="446"/>
      <c r="AZ257" s="446"/>
      <c r="BA257" s="446"/>
      <c r="BB257" s="446"/>
      <c r="BC257" s="446"/>
      <c r="BD257" s="446"/>
      <c r="BE257" s="446"/>
      <c r="BF257" s="446"/>
      <c r="BG257" s="446"/>
      <c r="BH257" s="446"/>
      <c r="BI257" s="446"/>
      <c r="BJ257" s="446"/>
      <c r="BK257" s="446"/>
      <c r="BL257" s="446"/>
      <c r="BM257" s="446"/>
      <c r="BN257" s="446"/>
      <c r="BO257" s="446"/>
      <c r="BP257" s="446"/>
      <c r="BQ257" s="446"/>
      <c r="BR257" s="446"/>
      <c r="BS257" s="446"/>
      <c r="BT257" s="446"/>
      <c r="BU257" s="562"/>
      <c r="BV257" s="446"/>
      <c r="BW257" s="446"/>
      <c r="BX257" s="446"/>
      <c r="BY257" s="446"/>
      <c r="BZ257" s="446"/>
      <c r="CA257" s="446"/>
      <c r="CB257" s="446"/>
      <c r="CC257" s="446"/>
      <c r="CD257" s="446"/>
      <c r="CE257" s="446"/>
      <c r="CF257" s="446"/>
      <c r="CG257" s="446"/>
      <c r="CH257" s="446"/>
      <c r="CI257" s="446"/>
      <c r="CJ257" s="446"/>
      <c r="CK257" s="446"/>
      <c r="CL257" s="446"/>
      <c r="CM257" s="446"/>
      <c r="CN257" s="446"/>
      <c r="CO257" s="446"/>
      <c r="CP257" s="446"/>
      <c r="CQ257" s="446"/>
      <c r="CR257" s="446"/>
      <c r="CS257" s="446"/>
      <c r="CT257" s="446"/>
      <c r="CU257" s="446"/>
      <c r="CV257" s="446"/>
      <c r="CW257" s="851"/>
      <c r="CX257" s="446"/>
      <c r="CY257" s="446"/>
      <c r="CZ257" s="446"/>
      <c r="DA257" s="446"/>
      <c r="DB257" s="446"/>
      <c r="DC257" s="446"/>
      <c r="DD257" s="446"/>
      <c r="DE257" s="446"/>
      <c r="DF257" s="446"/>
      <c r="DG257" s="446"/>
      <c r="DH257" s="446"/>
      <c r="DI257" s="446"/>
      <c r="DJ257" s="446"/>
      <c r="DK257" s="446"/>
      <c r="DL257" s="446"/>
      <c r="DM257" s="446"/>
      <c r="DN257" s="446"/>
      <c r="DO257" s="446"/>
      <c r="DP257" s="446"/>
      <c r="DQ257" s="446"/>
      <c r="DR257" s="446"/>
      <c r="DS257" s="446"/>
      <c r="DT257" s="446"/>
      <c r="DU257" s="446"/>
      <c r="DV257" s="446"/>
      <c r="DW257" s="446"/>
      <c r="DX257" s="446"/>
      <c r="DY257" s="446"/>
      <c r="DZ257" s="283"/>
    </row>
    <row r="258" spans="2:130" s="223" customFormat="1" ht="14.25" customHeight="1" x14ac:dyDescent="0.2">
      <c r="B258" s="851"/>
      <c r="C258" s="851"/>
      <c r="D258" s="851"/>
      <c r="E258" s="820"/>
      <c r="F258" s="820"/>
      <c r="G258" s="853"/>
      <c r="H258" s="853"/>
      <c r="I258" s="853"/>
      <c r="J258" s="853"/>
      <c r="K258" s="853"/>
      <c r="L258" s="853"/>
      <c r="M258" s="853"/>
      <c r="N258" s="853"/>
      <c r="O258" s="853"/>
      <c r="P258" s="853"/>
      <c r="Q258" s="853"/>
      <c r="R258" s="853"/>
      <c r="S258" s="854"/>
      <c r="T258" s="853"/>
      <c r="U258" s="853"/>
      <c r="V258" s="853"/>
      <c r="W258" s="853"/>
      <c r="X258" s="853"/>
      <c r="Y258" s="853"/>
      <c r="Z258" s="853"/>
      <c r="AA258" s="853"/>
      <c r="AB258" s="853"/>
      <c r="AC258" s="853"/>
      <c r="AD258" s="853"/>
      <c r="AE258" s="853"/>
      <c r="AF258" s="853"/>
      <c r="AG258" s="853"/>
      <c r="AH258" s="446"/>
      <c r="AI258" s="446"/>
      <c r="AJ258" s="446"/>
      <c r="AK258" s="446"/>
      <c r="AL258" s="446"/>
      <c r="AM258" s="446"/>
      <c r="AN258" s="446"/>
      <c r="AO258" s="446"/>
      <c r="AP258" s="446"/>
      <c r="AQ258" s="446"/>
      <c r="AR258" s="446"/>
      <c r="AS258" s="446"/>
      <c r="AT258" s="446"/>
      <c r="AU258" s="446"/>
      <c r="AV258" s="446"/>
      <c r="AW258" s="446"/>
      <c r="AX258" s="446"/>
      <c r="AY258" s="446"/>
      <c r="AZ258" s="446"/>
      <c r="BA258" s="446"/>
      <c r="BB258" s="446"/>
      <c r="BC258" s="446"/>
      <c r="BD258" s="446"/>
      <c r="BE258" s="446"/>
      <c r="BF258" s="446"/>
      <c r="BG258" s="446"/>
      <c r="BH258" s="446"/>
      <c r="BI258" s="446"/>
      <c r="BJ258" s="446"/>
      <c r="BK258" s="446"/>
      <c r="BL258" s="446"/>
      <c r="BM258" s="446"/>
      <c r="BN258" s="446"/>
      <c r="BO258" s="446"/>
      <c r="BP258" s="446"/>
      <c r="BQ258" s="446"/>
      <c r="BR258" s="446"/>
      <c r="BS258" s="446"/>
      <c r="BT258" s="446"/>
      <c r="BU258" s="562"/>
      <c r="BV258" s="446"/>
      <c r="BW258" s="446"/>
      <c r="BX258" s="446"/>
      <c r="BY258" s="446"/>
      <c r="BZ258" s="446"/>
      <c r="CA258" s="446"/>
      <c r="CB258" s="446"/>
      <c r="CC258" s="446"/>
      <c r="CD258" s="446"/>
      <c r="CE258" s="446"/>
      <c r="CF258" s="446"/>
      <c r="CG258" s="446"/>
      <c r="CH258" s="446"/>
      <c r="CI258" s="446"/>
      <c r="CJ258" s="446"/>
      <c r="CK258" s="446"/>
      <c r="CL258" s="446"/>
      <c r="CM258" s="446"/>
      <c r="CN258" s="446"/>
      <c r="CO258" s="446"/>
      <c r="CP258" s="446"/>
      <c r="CQ258" s="446"/>
      <c r="CR258" s="446"/>
      <c r="CS258" s="446"/>
      <c r="CT258" s="446"/>
      <c r="CU258" s="446"/>
      <c r="CV258" s="446"/>
      <c r="CW258" s="851"/>
      <c r="CX258" s="446"/>
      <c r="CY258" s="446"/>
      <c r="CZ258" s="446"/>
      <c r="DA258" s="446"/>
      <c r="DB258" s="446"/>
      <c r="DC258" s="446"/>
      <c r="DD258" s="446"/>
      <c r="DE258" s="446"/>
      <c r="DF258" s="446"/>
      <c r="DG258" s="446"/>
      <c r="DH258" s="446"/>
      <c r="DI258" s="446"/>
      <c r="DJ258" s="446"/>
      <c r="DK258" s="446"/>
      <c r="DL258" s="446"/>
      <c r="DM258" s="446"/>
      <c r="DN258" s="446"/>
      <c r="DO258" s="446"/>
      <c r="DP258" s="446"/>
      <c r="DQ258" s="446"/>
      <c r="DR258" s="446"/>
      <c r="DS258" s="446"/>
      <c r="DT258" s="446"/>
      <c r="DU258" s="446"/>
      <c r="DV258" s="446"/>
      <c r="DW258" s="446"/>
      <c r="DX258" s="446"/>
      <c r="DY258" s="446"/>
      <c r="DZ258" s="283"/>
    </row>
    <row r="259" spans="2:130" s="223" customFormat="1" ht="14.25" customHeight="1" x14ac:dyDescent="0.2">
      <c r="B259" s="851"/>
      <c r="C259" s="851"/>
      <c r="D259" s="851"/>
      <c r="E259" s="820"/>
      <c r="F259" s="820"/>
      <c r="G259" s="853"/>
      <c r="H259" s="853"/>
      <c r="I259" s="853"/>
      <c r="J259" s="853"/>
      <c r="K259" s="853"/>
      <c r="L259" s="853"/>
      <c r="M259" s="853"/>
      <c r="N259" s="853"/>
      <c r="O259" s="853"/>
      <c r="P259" s="853"/>
      <c r="Q259" s="853"/>
      <c r="R259" s="853"/>
      <c r="S259" s="854"/>
      <c r="T259" s="853"/>
      <c r="U259" s="853"/>
      <c r="V259" s="853"/>
      <c r="W259" s="853"/>
      <c r="X259" s="853"/>
      <c r="Y259" s="853"/>
      <c r="Z259" s="853"/>
      <c r="AA259" s="853"/>
      <c r="AB259" s="853"/>
      <c r="AC259" s="853"/>
      <c r="AD259" s="853"/>
      <c r="AE259" s="853"/>
      <c r="AF259" s="853"/>
      <c r="AG259" s="853"/>
      <c r="AH259" s="446"/>
      <c r="AI259" s="446"/>
      <c r="AJ259" s="446"/>
      <c r="AK259" s="446"/>
      <c r="AL259" s="446"/>
      <c r="AM259" s="446"/>
      <c r="AN259" s="446"/>
      <c r="AO259" s="446"/>
      <c r="AP259" s="446"/>
      <c r="AQ259" s="446"/>
      <c r="AR259" s="446"/>
      <c r="AS259" s="446"/>
      <c r="AT259" s="446"/>
      <c r="AU259" s="446"/>
      <c r="AV259" s="446"/>
      <c r="AW259" s="446"/>
      <c r="AX259" s="446"/>
      <c r="AY259" s="446"/>
      <c r="AZ259" s="446"/>
      <c r="BA259" s="446"/>
      <c r="BB259" s="446"/>
      <c r="BC259" s="446"/>
      <c r="BD259" s="446"/>
      <c r="BE259" s="446"/>
      <c r="BF259" s="446"/>
      <c r="BG259" s="446"/>
      <c r="BH259" s="446"/>
      <c r="BI259" s="446"/>
      <c r="BJ259" s="446"/>
      <c r="BK259" s="446"/>
      <c r="BL259" s="446"/>
      <c r="BM259" s="446"/>
      <c r="BN259" s="446"/>
      <c r="BO259" s="446"/>
      <c r="BP259" s="446"/>
      <c r="BQ259" s="446"/>
      <c r="BR259" s="446"/>
      <c r="BS259" s="446"/>
      <c r="BT259" s="446"/>
      <c r="BU259" s="562"/>
      <c r="BV259" s="446"/>
      <c r="BW259" s="446"/>
      <c r="BX259" s="446"/>
      <c r="BY259" s="446"/>
      <c r="BZ259" s="446"/>
      <c r="CA259" s="446"/>
      <c r="CB259" s="446"/>
      <c r="CC259" s="446"/>
      <c r="CD259" s="446"/>
      <c r="CE259" s="446"/>
      <c r="CF259" s="446"/>
      <c r="CG259" s="446"/>
      <c r="CH259" s="446"/>
      <c r="CI259" s="446"/>
      <c r="CJ259" s="446"/>
      <c r="CK259" s="446"/>
      <c r="CL259" s="446"/>
      <c r="CM259" s="446"/>
      <c r="CN259" s="446"/>
      <c r="CO259" s="446"/>
      <c r="CP259" s="446"/>
      <c r="CQ259" s="446"/>
      <c r="CR259" s="446"/>
      <c r="CS259" s="446"/>
      <c r="CT259" s="446"/>
      <c r="CU259" s="446"/>
      <c r="CV259" s="446"/>
      <c r="CW259" s="851"/>
      <c r="CX259" s="446"/>
      <c r="CY259" s="446"/>
      <c r="CZ259" s="446"/>
      <c r="DA259" s="446"/>
      <c r="DB259" s="446"/>
      <c r="DC259" s="446"/>
      <c r="DD259" s="446"/>
      <c r="DE259" s="446"/>
      <c r="DF259" s="446"/>
      <c r="DG259" s="446"/>
      <c r="DH259" s="446"/>
      <c r="DI259" s="446"/>
      <c r="DJ259" s="446"/>
      <c r="DK259" s="446"/>
      <c r="DL259" s="446"/>
      <c r="DM259" s="446"/>
      <c r="DN259" s="446"/>
      <c r="DO259" s="446"/>
      <c r="DP259" s="446"/>
      <c r="DQ259" s="446"/>
      <c r="DR259" s="446"/>
      <c r="DS259" s="446"/>
      <c r="DT259" s="446"/>
      <c r="DU259" s="446"/>
      <c r="DV259" s="446"/>
      <c r="DW259" s="446"/>
      <c r="DX259" s="446"/>
      <c r="DY259" s="446"/>
      <c r="DZ259" s="283"/>
    </row>
    <row r="260" spans="2:130" s="223" customFormat="1" ht="14.25" customHeight="1" x14ac:dyDescent="0.2">
      <c r="B260" s="851"/>
      <c r="C260" s="851"/>
      <c r="D260" s="851"/>
      <c r="E260" s="820"/>
      <c r="F260" s="820"/>
      <c r="G260" s="853"/>
      <c r="H260" s="853"/>
      <c r="I260" s="853"/>
      <c r="J260" s="853"/>
      <c r="K260" s="853"/>
      <c r="L260" s="853"/>
      <c r="M260" s="853"/>
      <c r="N260" s="853"/>
      <c r="O260" s="853"/>
      <c r="P260" s="853"/>
      <c r="Q260" s="853"/>
      <c r="R260" s="853"/>
      <c r="S260" s="854"/>
      <c r="T260" s="853"/>
      <c r="U260" s="853"/>
      <c r="V260" s="853"/>
      <c r="W260" s="853"/>
      <c r="X260" s="853"/>
      <c r="Y260" s="853"/>
      <c r="Z260" s="853"/>
      <c r="AA260" s="853"/>
      <c r="AB260" s="853"/>
      <c r="AC260" s="853"/>
      <c r="AD260" s="853"/>
      <c r="AE260" s="853"/>
      <c r="AF260" s="853"/>
      <c r="AG260" s="853"/>
      <c r="AH260" s="446"/>
      <c r="AI260" s="446"/>
      <c r="AJ260" s="446"/>
      <c r="AK260" s="446"/>
      <c r="AL260" s="446"/>
      <c r="AM260" s="446"/>
      <c r="AN260" s="446"/>
      <c r="AO260" s="446"/>
      <c r="AP260" s="446"/>
      <c r="AQ260" s="446"/>
      <c r="AR260" s="446"/>
      <c r="AS260" s="446"/>
      <c r="AT260" s="446"/>
      <c r="AU260" s="446"/>
      <c r="AV260" s="446"/>
      <c r="AW260" s="446"/>
      <c r="AX260" s="446"/>
      <c r="AY260" s="446"/>
      <c r="AZ260" s="446"/>
      <c r="BA260" s="446"/>
      <c r="BB260" s="446"/>
      <c r="BC260" s="446"/>
      <c r="BD260" s="446"/>
      <c r="BE260" s="446"/>
      <c r="BF260" s="446"/>
      <c r="BG260" s="446"/>
      <c r="BH260" s="446"/>
      <c r="BI260" s="446"/>
      <c r="BJ260" s="446"/>
      <c r="BK260" s="446"/>
      <c r="BL260" s="446"/>
      <c r="BM260" s="446"/>
      <c r="BN260" s="446"/>
      <c r="BO260" s="446"/>
      <c r="BP260" s="446"/>
      <c r="BQ260" s="446"/>
      <c r="BR260" s="446"/>
      <c r="BS260" s="446"/>
      <c r="BT260" s="446"/>
      <c r="BU260" s="562"/>
      <c r="BV260" s="446"/>
      <c r="BW260" s="446"/>
      <c r="BX260" s="446"/>
      <c r="BY260" s="446"/>
      <c r="BZ260" s="446"/>
      <c r="CA260" s="446"/>
      <c r="CB260" s="446"/>
      <c r="CC260" s="446"/>
      <c r="CD260" s="446"/>
      <c r="CE260" s="446"/>
      <c r="CF260" s="446"/>
      <c r="CG260" s="446"/>
      <c r="CH260" s="446"/>
      <c r="CI260" s="446"/>
      <c r="CJ260" s="446"/>
      <c r="CK260" s="446"/>
      <c r="CL260" s="446"/>
      <c r="CM260" s="446"/>
      <c r="CN260" s="446"/>
      <c r="CO260" s="446"/>
      <c r="CP260" s="446"/>
      <c r="CQ260" s="446"/>
      <c r="CR260" s="446"/>
      <c r="CS260" s="446"/>
      <c r="CT260" s="446"/>
      <c r="CU260" s="446"/>
      <c r="CV260" s="446"/>
      <c r="CW260" s="851"/>
      <c r="CX260" s="446"/>
      <c r="CY260" s="446"/>
      <c r="CZ260" s="446"/>
      <c r="DA260" s="446"/>
      <c r="DB260" s="446"/>
      <c r="DC260" s="446"/>
      <c r="DD260" s="446"/>
      <c r="DE260" s="446"/>
      <c r="DF260" s="446"/>
      <c r="DG260" s="446"/>
      <c r="DH260" s="446"/>
      <c r="DI260" s="446"/>
      <c r="DJ260" s="446"/>
      <c r="DK260" s="446"/>
      <c r="DL260" s="446"/>
      <c r="DM260" s="446"/>
      <c r="DN260" s="446"/>
      <c r="DO260" s="446"/>
      <c r="DP260" s="446"/>
      <c r="DQ260" s="446"/>
      <c r="DR260" s="446"/>
      <c r="DS260" s="446"/>
      <c r="DT260" s="446"/>
      <c r="DU260" s="446"/>
      <c r="DV260" s="446"/>
      <c r="DW260" s="446"/>
      <c r="DX260" s="446"/>
      <c r="DY260" s="446"/>
      <c r="DZ260" s="283"/>
    </row>
    <row r="261" spans="2:130" s="223" customFormat="1" ht="14.25" customHeight="1" x14ac:dyDescent="0.2">
      <c r="B261" s="851"/>
      <c r="C261" s="851"/>
      <c r="D261" s="851"/>
      <c r="E261" s="820"/>
      <c r="F261" s="820"/>
      <c r="G261" s="853"/>
      <c r="H261" s="853"/>
      <c r="I261" s="853"/>
      <c r="J261" s="853"/>
      <c r="K261" s="853"/>
      <c r="L261" s="853"/>
      <c r="M261" s="853"/>
      <c r="N261" s="853"/>
      <c r="O261" s="853"/>
      <c r="P261" s="853"/>
      <c r="Q261" s="853"/>
      <c r="R261" s="853"/>
      <c r="S261" s="854"/>
      <c r="T261" s="853"/>
      <c r="U261" s="853"/>
      <c r="V261" s="853"/>
      <c r="W261" s="853"/>
      <c r="X261" s="853"/>
      <c r="Y261" s="853"/>
      <c r="Z261" s="853"/>
      <c r="AA261" s="853"/>
      <c r="AB261" s="853"/>
      <c r="AC261" s="853"/>
      <c r="AD261" s="853"/>
      <c r="AE261" s="853"/>
      <c r="AF261" s="853"/>
      <c r="AG261" s="853"/>
      <c r="AH261" s="446"/>
      <c r="AI261" s="446"/>
      <c r="AJ261" s="446"/>
      <c r="AK261" s="446"/>
      <c r="AL261" s="446"/>
      <c r="AM261" s="446"/>
      <c r="AN261" s="446"/>
      <c r="AO261" s="446"/>
      <c r="AP261" s="446"/>
      <c r="AQ261" s="446"/>
      <c r="AR261" s="446"/>
      <c r="AS261" s="446"/>
      <c r="AT261" s="446"/>
      <c r="AU261" s="446"/>
      <c r="AV261" s="446"/>
      <c r="AW261" s="446"/>
      <c r="AX261" s="446"/>
      <c r="AY261" s="446"/>
      <c r="AZ261" s="446"/>
      <c r="BA261" s="446"/>
      <c r="BB261" s="446"/>
      <c r="BC261" s="446"/>
      <c r="BD261" s="446"/>
      <c r="BE261" s="446"/>
      <c r="BF261" s="446"/>
      <c r="BG261" s="446"/>
      <c r="BH261" s="446"/>
      <c r="BI261" s="446"/>
      <c r="BJ261" s="446"/>
      <c r="BK261" s="446"/>
      <c r="BL261" s="446"/>
      <c r="BM261" s="446"/>
      <c r="BN261" s="446"/>
      <c r="BO261" s="446"/>
      <c r="BP261" s="446"/>
      <c r="BQ261" s="446"/>
      <c r="BR261" s="446"/>
      <c r="BS261" s="446"/>
      <c r="BT261" s="446"/>
      <c r="BU261" s="562"/>
      <c r="BV261" s="446"/>
      <c r="BW261" s="446"/>
      <c r="BX261" s="446"/>
      <c r="BY261" s="446"/>
      <c r="BZ261" s="446"/>
      <c r="CA261" s="446"/>
      <c r="CB261" s="446"/>
      <c r="CC261" s="446"/>
      <c r="CD261" s="446"/>
      <c r="CE261" s="446"/>
      <c r="CF261" s="446"/>
      <c r="CG261" s="446"/>
      <c r="CH261" s="446"/>
      <c r="CI261" s="446"/>
      <c r="CJ261" s="446"/>
      <c r="CK261" s="446"/>
      <c r="CL261" s="446"/>
      <c r="CM261" s="446"/>
      <c r="CN261" s="446"/>
      <c r="CO261" s="446"/>
      <c r="CP261" s="446"/>
      <c r="CQ261" s="446"/>
      <c r="CR261" s="446"/>
      <c r="CS261" s="446"/>
      <c r="CT261" s="446"/>
      <c r="CU261" s="446"/>
      <c r="CV261" s="446"/>
      <c r="CW261" s="851"/>
      <c r="CX261" s="446"/>
      <c r="CY261" s="446"/>
      <c r="CZ261" s="446"/>
      <c r="DA261" s="446"/>
      <c r="DB261" s="446"/>
      <c r="DC261" s="446"/>
      <c r="DD261" s="446"/>
      <c r="DE261" s="446"/>
      <c r="DF261" s="446"/>
      <c r="DG261" s="446"/>
      <c r="DH261" s="446"/>
      <c r="DI261" s="446"/>
      <c r="DJ261" s="446"/>
      <c r="DK261" s="446"/>
      <c r="DL261" s="446"/>
      <c r="DM261" s="446"/>
      <c r="DN261" s="446"/>
      <c r="DO261" s="446"/>
      <c r="DP261" s="446"/>
      <c r="DQ261" s="446"/>
      <c r="DR261" s="446"/>
      <c r="DS261" s="446"/>
      <c r="DT261" s="446"/>
      <c r="DU261" s="446"/>
      <c r="DV261" s="446"/>
      <c r="DW261" s="446"/>
      <c r="DX261" s="446"/>
      <c r="DY261" s="446"/>
      <c r="DZ261" s="283"/>
    </row>
    <row r="262" spans="2:130" s="223" customFormat="1" ht="14.25" customHeight="1" x14ac:dyDescent="0.2">
      <c r="B262" s="851"/>
      <c r="C262" s="851"/>
      <c r="D262" s="851"/>
      <c r="E262" s="820"/>
      <c r="F262" s="820"/>
      <c r="G262" s="853"/>
      <c r="H262" s="853"/>
      <c r="I262" s="853"/>
      <c r="J262" s="853"/>
      <c r="K262" s="853"/>
      <c r="L262" s="853"/>
      <c r="M262" s="853"/>
      <c r="N262" s="853"/>
      <c r="O262" s="853"/>
      <c r="P262" s="853"/>
      <c r="Q262" s="853"/>
      <c r="R262" s="853"/>
      <c r="S262" s="854"/>
      <c r="T262" s="853"/>
      <c r="U262" s="853"/>
      <c r="V262" s="853"/>
      <c r="W262" s="853"/>
      <c r="X262" s="853"/>
      <c r="Y262" s="853"/>
      <c r="Z262" s="853"/>
      <c r="AA262" s="853"/>
      <c r="AB262" s="853"/>
      <c r="AC262" s="853"/>
      <c r="AD262" s="853"/>
      <c r="AE262" s="853"/>
      <c r="AF262" s="853"/>
      <c r="AG262" s="853"/>
      <c r="AH262" s="446"/>
      <c r="AI262" s="446"/>
      <c r="AJ262" s="446"/>
      <c r="AK262" s="446"/>
      <c r="AL262" s="446"/>
      <c r="AM262" s="446"/>
      <c r="AN262" s="446"/>
      <c r="AO262" s="446"/>
      <c r="AP262" s="446"/>
      <c r="AQ262" s="446"/>
      <c r="AR262" s="446"/>
      <c r="AS262" s="446"/>
      <c r="AT262" s="446"/>
      <c r="AU262" s="446"/>
      <c r="AV262" s="446"/>
      <c r="AW262" s="446"/>
      <c r="AX262" s="446"/>
      <c r="AY262" s="446"/>
      <c r="AZ262" s="446"/>
      <c r="BA262" s="446"/>
      <c r="BB262" s="446"/>
      <c r="BC262" s="446"/>
      <c r="BD262" s="446"/>
      <c r="BE262" s="446"/>
      <c r="BF262" s="446"/>
      <c r="BG262" s="446"/>
      <c r="BH262" s="446"/>
      <c r="BI262" s="446"/>
      <c r="BJ262" s="446"/>
      <c r="BK262" s="446"/>
      <c r="BL262" s="446"/>
      <c r="BM262" s="446"/>
      <c r="BN262" s="446"/>
      <c r="BO262" s="446"/>
      <c r="BP262" s="446"/>
      <c r="BQ262" s="446"/>
      <c r="BR262" s="446"/>
      <c r="BS262" s="446"/>
      <c r="BT262" s="446"/>
      <c r="BU262" s="562"/>
      <c r="BV262" s="446"/>
      <c r="BW262" s="446"/>
      <c r="BX262" s="446"/>
      <c r="BY262" s="446"/>
      <c r="BZ262" s="446"/>
      <c r="CA262" s="446"/>
      <c r="CB262" s="446"/>
      <c r="CC262" s="446"/>
      <c r="CD262" s="446"/>
      <c r="CE262" s="446"/>
      <c r="CF262" s="446"/>
      <c r="CG262" s="446"/>
      <c r="CH262" s="446"/>
      <c r="CI262" s="446"/>
      <c r="CJ262" s="446"/>
      <c r="CK262" s="446"/>
      <c r="CL262" s="446"/>
      <c r="CM262" s="446"/>
      <c r="CN262" s="446"/>
      <c r="CO262" s="446"/>
      <c r="CP262" s="446"/>
      <c r="CQ262" s="446"/>
      <c r="CR262" s="446"/>
      <c r="CS262" s="446"/>
      <c r="CT262" s="446"/>
      <c r="CU262" s="446"/>
      <c r="CV262" s="446"/>
      <c r="CW262" s="851"/>
      <c r="CX262" s="446"/>
      <c r="CY262" s="446"/>
      <c r="CZ262" s="446"/>
      <c r="DA262" s="446"/>
      <c r="DB262" s="446"/>
      <c r="DC262" s="446"/>
      <c r="DD262" s="446"/>
      <c r="DE262" s="446"/>
      <c r="DF262" s="446"/>
      <c r="DG262" s="446"/>
      <c r="DH262" s="446"/>
      <c r="DI262" s="446"/>
      <c r="DJ262" s="446"/>
      <c r="DK262" s="446"/>
      <c r="DL262" s="446"/>
      <c r="DM262" s="446"/>
      <c r="DN262" s="446"/>
      <c r="DO262" s="446"/>
      <c r="DP262" s="446"/>
      <c r="DQ262" s="446"/>
      <c r="DR262" s="446"/>
      <c r="DS262" s="446"/>
      <c r="DT262" s="446"/>
      <c r="DU262" s="446"/>
      <c r="DV262" s="446"/>
      <c r="DW262" s="446"/>
      <c r="DX262" s="446"/>
      <c r="DY262" s="446"/>
      <c r="DZ262" s="283"/>
    </row>
    <row r="263" spans="2:130" s="223" customFormat="1" ht="14.25" customHeight="1" x14ac:dyDescent="0.2">
      <c r="B263" s="851"/>
      <c r="C263" s="851"/>
      <c r="D263" s="851"/>
      <c r="E263" s="820"/>
      <c r="F263" s="820"/>
      <c r="G263" s="853"/>
      <c r="H263" s="853"/>
      <c r="I263" s="853"/>
      <c r="J263" s="853"/>
      <c r="K263" s="853"/>
      <c r="L263" s="853"/>
      <c r="M263" s="853"/>
      <c r="N263" s="853"/>
      <c r="O263" s="853"/>
      <c r="P263" s="853"/>
      <c r="Q263" s="853"/>
      <c r="R263" s="853"/>
      <c r="S263" s="854"/>
      <c r="T263" s="853"/>
      <c r="U263" s="853"/>
      <c r="V263" s="853"/>
      <c r="W263" s="853"/>
      <c r="X263" s="853"/>
      <c r="Y263" s="853"/>
      <c r="Z263" s="853"/>
      <c r="AA263" s="853"/>
      <c r="AB263" s="853"/>
      <c r="AC263" s="853"/>
      <c r="AD263" s="853"/>
      <c r="AE263" s="853"/>
      <c r="AF263" s="853"/>
      <c r="AG263" s="853"/>
      <c r="AH263" s="446"/>
      <c r="AI263" s="446"/>
      <c r="AJ263" s="446"/>
      <c r="AK263" s="446"/>
      <c r="AL263" s="446"/>
      <c r="AM263" s="446"/>
      <c r="AN263" s="446"/>
      <c r="AO263" s="446"/>
      <c r="AP263" s="446"/>
      <c r="AQ263" s="446"/>
      <c r="AR263" s="446"/>
      <c r="AS263" s="446"/>
      <c r="AT263" s="446"/>
      <c r="AU263" s="446"/>
      <c r="AV263" s="446"/>
      <c r="AW263" s="446"/>
      <c r="AX263" s="446"/>
      <c r="AY263" s="446"/>
      <c r="AZ263" s="446"/>
      <c r="BA263" s="446"/>
      <c r="BB263" s="446"/>
      <c r="BC263" s="446"/>
      <c r="BD263" s="446"/>
      <c r="BE263" s="446"/>
      <c r="BF263" s="446"/>
      <c r="BG263" s="446"/>
      <c r="BH263" s="446"/>
      <c r="BI263" s="446"/>
      <c r="BJ263" s="446"/>
      <c r="BK263" s="446"/>
      <c r="BL263" s="446"/>
      <c r="BM263" s="446"/>
      <c r="BN263" s="446"/>
      <c r="BO263" s="446"/>
      <c r="BP263" s="446"/>
      <c r="BQ263" s="446"/>
      <c r="BR263" s="446"/>
      <c r="BS263" s="446"/>
      <c r="BT263" s="446"/>
      <c r="BU263" s="562"/>
      <c r="BV263" s="446"/>
      <c r="BW263" s="446"/>
      <c r="BX263" s="446"/>
      <c r="BY263" s="446"/>
      <c r="BZ263" s="446"/>
      <c r="CA263" s="446"/>
      <c r="CB263" s="446"/>
      <c r="CC263" s="446"/>
      <c r="CD263" s="446"/>
      <c r="CE263" s="446"/>
      <c r="CF263" s="446"/>
      <c r="CG263" s="446"/>
      <c r="CH263" s="446"/>
      <c r="CI263" s="446"/>
      <c r="CJ263" s="446"/>
      <c r="CK263" s="446"/>
      <c r="CL263" s="446"/>
      <c r="CM263" s="446"/>
      <c r="CN263" s="446"/>
      <c r="CO263" s="446"/>
      <c r="CP263" s="446"/>
      <c r="CQ263" s="446"/>
      <c r="CR263" s="446"/>
      <c r="CS263" s="446"/>
      <c r="CT263" s="446"/>
      <c r="CU263" s="446"/>
      <c r="CV263" s="446"/>
      <c r="CW263" s="851"/>
      <c r="CX263" s="446"/>
      <c r="CY263" s="446"/>
      <c r="CZ263" s="446"/>
      <c r="DA263" s="446"/>
      <c r="DB263" s="446"/>
      <c r="DC263" s="446"/>
      <c r="DD263" s="446"/>
      <c r="DE263" s="446"/>
      <c r="DF263" s="446"/>
      <c r="DG263" s="446"/>
      <c r="DH263" s="446"/>
      <c r="DI263" s="446"/>
      <c r="DJ263" s="446"/>
      <c r="DK263" s="446"/>
      <c r="DL263" s="446"/>
      <c r="DM263" s="446"/>
      <c r="DN263" s="446"/>
      <c r="DO263" s="446"/>
      <c r="DP263" s="446"/>
      <c r="DQ263" s="446"/>
      <c r="DR263" s="446"/>
      <c r="DS263" s="446"/>
      <c r="DT263" s="446"/>
      <c r="DU263" s="446"/>
      <c r="DV263" s="446"/>
      <c r="DW263" s="446"/>
      <c r="DX263" s="446"/>
      <c r="DY263" s="446"/>
      <c r="DZ263" s="283"/>
    </row>
    <row r="264" spans="2:130" s="223" customFormat="1" ht="14.25" customHeight="1" x14ac:dyDescent="0.2">
      <c r="B264" s="851"/>
      <c r="C264" s="851"/>
      <c r="D264" s="851"/>
      <c r="E264" s="820"/>
      <c r="F264" s="820"/>
      <c r="G264" s="853"/>
      <c r="H264" s="853"/>
      <c r="I264" s="853"/>
      <c r="J264" s="853"/>
      <c r="K264" s="853"/>
      <c r="L264" s="853"/>
      <c r="M264" s="853"/>
      <c r="N264" s="853"/>
      <c r="O264" s="853"/>
      <c r="P264" s="853"/>
      <c r="Q264" s="853"/>
      <c r="R264" s="853"/>
      <c r="S264" s="854"/>
      <c r="T264" s="853"/>
      <c r="U264" s="853"/>
      <c r="V264" s="853"/>
      <c r="W264" s="853"/>
      <c r="X264" s="853"/>
      <c r="Y264" s="853"/>
      <c r="Z264" s="853"/>
      <c r="AA264" s="853"/>
      <c r="AB264" s="853"/>
      <c r="AC264" s="853"/>
      <c r="AD264" s="853"/>
      <c r="AE264" s="853"/>
      <c r="AF264" s="853"/>
      <c r="AG264" s="853"/>
      <c r="AH264" s="446"/>
      <c r="AI264" s="446"/>
      <c r="AJ264" s="446"/>
      <c r="AK264" s="446"/>
      <c r="AL264" s="446"/>
      <c r="AM264" s="446"/>
      <c r="AN264" s="446"/>
      <c r="AO264" s="446"/>
      <c r="AP264" s="446"/>
      <c r="AQ264" s="446"/>
      <c r="AR264" s="446"/>
      <c r="AS264" s="446"/>
      <c r="AT264" s="446"/>
      <c r="AU264" s="446"/>
      <c r="AV264" s="446"/>
      <c r="AW264" s="446"/>
      <c r="AX264" s="446"/>
      <c r="AY264" s="446"/>
      <c r="AZ264" s="446"/>
      <c r="BA264" s="446"/>
      <c r="BB264" s="446"/>
      <c r="BC264" s="446"/>
      <c r="BD264" s="446"/>
      <c r="BE264" s="446"/>
      <c r="BF264" s="446"/>
      <c r="BG264" s="446"/>
      <c r="BH264" s="446"/>
      <c r="BI264" s="446"/>
      <c r="BJ264" s="446"/>
      <c r="BK264" s="446"/>
      <c r="BL264" s="446"/>
      <c r="BM264" s="446"/>
      <c r="BN264" s="446"/>
      <c r="BO264" s="446"/>
      <c r="BP264" s="446"/>
      <c r="BQ264" s="446"/>
      <c r="BR264" s="446"/>
      <c r="BS264" s="446"/>
      <c r="BT264" s="446"/>
      <c r="BU264" s="562"/>
      <c r="BV264" s="446"/>
      <c r="BW264" s="446"/>
      <c r="BX264" s="446"/>
      <c r="BY264" s="446"/>
      <c r="BZ264" s="446"/>
      <c r="CA264" s="446"/>
      <c r="CB264" s="446"/>
      <c r="CC264" s="446"/>
      <c r="CD264" s="446"/>
      <c r="CE264" s="446"/>
      <c r="CF264" s="446"/>
      <c r="CG264" s="446"/>
      <c r="CH264" s="446"/>
      <c r="CI264" s="446"/>
      <c r="CJ264" s="446"/>
      <c r="CK264" s="446"/>
      <c r="CL264" s="446"/>
      <c r="CM264" s="446"/>
      <c r="CN264" s="446"/>
      <c r="CO264" s="446"/>
      <c r="CP264" s="446"/>
      <c r="CQ264" s="446"/>
      <c r="CR264" s="446"/>
      <c r="CS264" s="446"/>
      <c r="CT264" s="446"/>
      <c r="CU264" s="446"/>
      <c r="CV264" s="446"/>
      <c r="CW264" s="851"/>
      <c r="CX264" s="446"/>
      <c r="CY264" s="446"/>
      <c r="CZ264" s="446"/>
      <c r="DA264" s="446"/>
      <c r="DB264" s="446"/>
      <c r="DC264" s="446"/>
      <c r="DD264" s="446"/>
      <c r="DE264" s="446"/>
      <c r="DF264" s="446"/>
      <c r="DG264" s="446"/>
      <c r="DH264" s="446"/>
      <c r="DI264" s="446"/>
      <c r="DJ264" s="446"/>
      <c r="DK264" s="446"/>
      <c r="DL264" s="446"/>
      <c r="DM264" s="446"/>
      <c r="DN264" s="446"/>
      <c r="DO264" s="446"/>
      <c r="DP264" s="446"/>
      <c r="DQ264" s="446"/>
      <c r="DR264" s="446"/>
      <c r="DS264" s="446"/>
      <c r="DT264" s="446"/>
      <c r="DU264" s="446"/>
      <c r="DV264" s="446"/>
      <c r="DW264" s="446"/>
      <c r="DX264" s="446"/>
      <c r="DY264" s="446"/>
      <c r="DZ264" s="283"/>
    </row>
    <row r="265" spans="2:130" s="223" customFormat="1" ht="14.25" customHeight="1" x14ac:dyDescent="0.2">
      <c r="B265" s="851"/>
      <c r="C265" s="851"/>
      <c r="D265" s="851"/>
      <c r="E265" s="820"/>
      <c r="F265" s="820"/>
      <c r="G265" s="853"/>
      <c r="H265" s="853"/>
      <c r="I265" s="853"/>
      <c r="J265" s="853"/>
      <c r="K265" s="853"/>
      <c r="L265" s="853"/>
      <c r="M265" s="853"/>
      <c r="N265" s="853"/>
      <c r="O265" s="853"/>
      <c r="P265" s="853"/>
      <c r="Q265" s="853"/>
      <c r="R265" s="853"/>
      <c r="S265" s="854"/>
      <c r="T265" s="853"/>
      <c r="U265" s="853"/>
      <c r="V265" s="853"/>
      <c r="W265" s="853"/>
      <c r="X265" s="853"/>
      <c r="Y265" s="853"/>
      <c r="Z265" s="853"/>
      <c r="AA265" s="853"/>
      <c r="AB265" s="853"/>
      <c r="AC265" s="853"/>
      <c r="AD265" s="853"/>
      <c r="AE265" s="853"/>
      <c r="AF265" s="853"/>
      <c r="AG265" s="853"/>
      <c r="AH265" s="446"/>
      <c r="AI265" s="446"/>
      <c r="AJ265" s="446"/>
      <c r="AK265" s="446"/>
      <c r="AL265" s="446"/>
      <c r="AM265" s="446"/>
      <c r="AN265" s="446"/>
      <c r="AO265" s="446"/>
      <c r="AP265" s="446"/>
      <c r="AQ265" s="446"/>
      <c r="AR265" s="446"/>
      <c r="AS265" s="446"/>
      <c r="AT265" s="446"/>
      <c r="AU265" s="446"/>
      <c r="AV265" s="446"/>
      <c r="AW265" s="446"/>
      <c r="AX265" s="446"/>
      <c r="AY265" s="446"/>
      <c r="AZ265" s="446"/>
      <c r="BA265" s="446"/>
      <c r="BB265" s="446"/>
      <c r="BC265" s="446"/>
      <c r="BD265" s="446"/>
      <c r="BE265" s="446"/>
      <c r="BF265" s="446"/>
      <c r="BG265" s="446"/>
      <c r="BH265" s="446"/>
      <c r="BI265" s="446"/>
      <c r="BJ265" s="446"/>
      <c r="BK265" s="446"/>
      <c r="BL265" s="446"/>
      <c r="BM265" s="446"/>
      <c r="BN265" s="446"/>
      <c r="BO265" s="446"/>
      <c r="BP265" s="446"/>
      <c r="BQ265" s="446"/>
      <c r="BR265" s="446"/>
      <c r="BS265" s="446"/>
      <c r="BT265" s="446"/>
      <c r="BU265" s="562"/>
      <c r="BV265" s="446"/>
      <c r="BW265" s="446"/>
      <c r="BX265" s="446"/>
      <c r="BY265" s="446"/>
      <c r="BZ265" s="446"/>
      <c r="CA265" s="446"/>
      <c r="CB265" s="446"/>
      <c r="CC265" s="446"/>
      <c r="CD265" s="446"/>
      <c r="CE265" s="446"/>
      <c r="CF265" s="446"/>
      <c r="CG265" s="446"/>
      <c r="CH265" s="446"/>
      <c r="CI265" s="446"/>
      <c r="CJ265" s="446"/>
      <c r="CK265" s="446"/>
      <c r="CL265" s="446"/>
      <c r="CM265" s="446"/>
      <c r="CN265" s="446"/>
      <c r="CO265" s="446"/>
      <c r="CP265" s="446"/>
      <c r="CQ265" s="446"/>
      <c r="CR265" s="446"/>
      <c r="CS265" s="446"/>
      <c r="CT265" s="446"/>
      <c r="CU265" s="446"/>
      <c r="CV265" s="446"/>
      <c r="CW265" s="851"/>
      <c r="CX265" s="446"/>
      <c r="CY265" s="446"/>
      <c r="CZ265" s="446"/>
      <c r="DA265" s="446"/>
      <c r="DB265" s="446"/>
      <c r="DC265" s="446"/>
      <c r="DD265" s="446"/>
      <c r="DE265" s="446"/>
      <c r="DF265" s="446"/>
      <c r="DG265" s="446"/>
      <c r="DH265" s="446"/>
      <c r="DI265" s="446"/>
      <c r="DJ265" s="446"/>
      <c r="DK265" s="446"/>
      <c r="DL265" s="446"/>
      <c r="DM265" s="446"/>
      <c r="DN265" s="446"/>
      <c r="DO265" s="446"/>
      <c r="DP265" s="446"/>
      <c r="DQ265" s="446"/>
      <c r="DR265" s="446"/>
      <c r="DS265" s="446"/>
      <c r="DT265" s="446"/>
      <c r="DU265" s="446"/>
      <c r="DV265" s="446"/>
      <c r="DW265" s="446"/>
      <c r="DX265" s="446"/>
      <c r="DY265" s="446"/>
      <c r="DZ265" s="283"/>
    </row>
    <row r="266" spans="2:130" s="223" customFormat="1" ht="14.25" customHeight="1" x14ac:dyDescent="0.2">
      <c r="B266" s="855"/>
      <c r="C266" s="851"/>
      <c r="D266" s="851"/>
      <c r="E266" s="820"/>
      <c r="F266" s="820"/>
      <c r="G266" s="853"/>
      <c r="H266" s="853"/>
      <c r="I266" s="853"/>
      <c r="J266" s="853"/>
      <c r="K266" s="853"/>
      <c r="L266" s="853"/>
      <c r="M266" s="853"/>
      <c r="N266" s="853"/>
      <c r="O266" s="853"/>
      <c r="P266" s="853"/>
      <c r="Q266" s="853"/>
      <c r="R266" s="853"/>
      <c r="S266" s="854"/>
      <c r="T266" s="853"/>
      <c r="U266" s="853"/>
      <c r="V266" s="853"/>
      <c r="W266" s="853"/>
      <c r="X266" s="853"/>
      <c r="Y266" s="853"/>
      <c r="Z266" s="853"/>
      <c r="AA266" s="853"/>
      <c r="AB266" s="853"/>
      <c r="AC266" s="853"/>
      <c r="AD266" s="853"/>
      <c r="AE266" s="853"/>
      <c r="AF266" s="853"/>
      <c r="AG266" s="853"/>
      <c r="AH266" s="446"/>
      <c r="AI266" s="446"/>
      <c r="AJ266" s="446"/>
      <c r="AK266" s="446"/>
      <c r="AL266" s="446"/>
      <c r="AM266" s="446"/>
      <c r="AN266" s="446"/>
      <c r="AO266" s="446"/>
      <c r="AP266" s="446"/>
      <c r="AQ266" s="446"/>
      <c r="AR266" s="446"/>
      <c r="AS266" s="446"/>
      <c r="AT266" s="446"/>
      <c r="AU266" s="446"/>
      <c r="AV266" s="446"/>
      <c r="AW266" s="446"/>
      <c r="AX266" s="446"/>
      <c r="AY266" s="446"/>
      <c r="AZ266" s="446"/>
      <c r="BA266" s="446"/>
      <c r="BB266" s="446"/>
      <c r="BC266" s="446"/>
      <c r="BD266" s="446"/>
      <c r="BE266" s="446"/>
      <c r="BF266" s="446"/>
      <c r="BG266" s="446"/>
      <c r="BH266" s="446"/>
      <c r="BI266" s="446"/>
      <c r="BJ266" s="446"/>
      <c r="BK266" s="446"/>
      <c r="BL266" s="446"/>
      <c r="BM266" s="446"/>
      <c r="BN266" s="446"/>
      <c r="BO266" s="446"/>
      <c r="BP266" s="446"/>
      <c r="BQ266" s="446"/>
      <c r="BR266" s="446"/>
      <c r="BS266" s="446"/>
      <c r="BT266" s="446"/>
      <c r="BU266" s="562"/>
      <c r="BV266" s="446"/>
      <c r="BW266" s="446"/>
      <c r="BX266" s="446"/>
      <c r="BY266" s="446"/>
      <c r="BZ266" s="446"/>
      <c r="CA266" s="446"/>
      <c r="CB266" s="446"/>
      <c r="CC266" s="446"/>
      <c r="CD266" s="446"/>
      <c r="CE266" s="446"/>
      <c r="CF266" s="446"/>
      <c r="CG266" s="446"/>
      <c r="CH266" s="446"/>
      <c r="CI266" s="446"/>
      <c r="CJ266" s="446"/>
      <c r="CK266" s="446"/>
      <c r="CL266" s="446"/>
      <c r="CM266" s="446"/>
      <c r="CN266" s="446"/>
      <c r="CO266" s="446"/>
      <c r="CP266" s="446"/>
      <c r="CQ266" s="446"/>
      <c r="CR266" s="446"/>
      <c r="CS266" s="446"/>
      <c r="CT266" s="446"/>
      <c r="CU266" s="446"/>
      <c r="CV266" s="446"/>
      <c r="CW266" s="851"/>
      <c r="CX266" s="446"/>
      <c r="CY266" s="446"/>
      <c r="CZ266" s="446"/>
      <c r="DA266" s="446"/>
      <c r="DB266" s="446"/>
      <c r="DC266" s="446"/>
      <c r="DD266" s="446"/>
      <c r="DE266" s="446"/>
      <c r="DF266" s="446"/>
      <c r="DG266" s="446"/>
      <c r="DH266" s="446"/>
      <c r="DI266" s="446"/>
      <c r="DJ266" s="446"/>
      <c r="DK266" s="446"/>
      <c r="DL266" s="446"/>
      <c r="DM266" s="446"/>
      <c r="DN266" s="446"/>
      <c r="DO266" s="446"/>
      <c r="DP266" s="446"/>
      <c r="DQ266" s="446"/>
      <c r="DR266" s="446"/>
      <c r="DS266" s="446"/>
      <c r="DT266" s="446"/>
      <c r="DU266" s="446"/>
      <c r="DV266" s="446"/>
      <c r="DW266" s="446"/>
      <c r="DX266" s="446"/>
      <c r="DY266" s="446"/>
      <c r="DZ266" s="283"/>
    </row>
    <row r="267" spans="2:130" s="223" customFormat="1" ht="14.25" customHeight="1" x14ac:dyDescent="0.2">
      <c r="B267" s="851"/>
      <c r="C267" s="851"/>
      <c r="D267" s="851"/>
      <c r="E267" s="820"/>
      <c r="F267" s="820"/>
      <c r="G267" s="853"/>
      <c r="H267" s="853"/>
      <c r="I267" s="853"/>
      <c r="J267" s="853"/>
      <c r="K267" s="853"/>
      <c r="L267" s="853"/>
      <c r="M267" s="853"/>
      <c r="N267" s="853"/>
      <c r="O267" s="853"/>
      <c r="P267" s="853"/>
      <c r="Q267" s="853"/>
      <c r="R267" s="853"/>
      <c r="S267" s="854"/>
      <c r="T267" s="853"/>
      <c r="U267" s="853"/>
      <c r="V267" s="853"/>
      <c r="W267" s="853"/>
      <c r="X267" s="853"/>
      <c r="Y267" s="853"/>
      <c r="Z267" s="853"/>
      <c r="AA267" s="853"/>
      <c r="AB267" s="853"/>
      <c r="AC267" s="853"/>
      <c r="AD267" s="853"/>
      <c r="AE267" s="853"/>
      <c r="AF267" s="853"/>
      <c r="AG267" s="853"/>
      <c r="AH267" s="446"/>
      <c r="AI267" s="446"/>
      <c r="AJ267" s="446"/>
      <c r="AK267" s="446"/>
      <c r="AL267" s="446"/>
      <c r="AM267" s="446"/>
      <c r="AN267" s="446"/>
      <c r="AO267" s="446"/>
      <c r="AP267" s="446"/>
      <c r="AQ267" s="446"/>
      <c r="AR267" s="446"/>
      <c r="AS267" s="446"/>
      <c r="AT267" s="446"/>
      <c r="AU267" s="446"/>
      <c r="AV267" s="446"/>
      <c r="AW267" s="446"/>
      <c r="AX267" s="446"/>
      <c r="AY267" s="446"/>
      <c r="AZ267" s="446"/>
      <c r="BA267" s="446"/>
      <c r="BB267" s="446"/>
      <c r="BC267" s="446"/>
      <c r="BD267" s="446"/>
      <c r="BE267" s="446"/>
      <c r="BF267" s="446"/>
      <c r="BG267" s="446"/>
      <c r="BH267" s="446"/>
      <c r="BI267" s="446"/>
      <c r="BJ267" s="446"/>
      <c r="BK267" s="446"/>
      <c r="BL267" s="446"/>
      <c r="BM267" s="446"/>
      <c r="BN267" s="446"/>
      <c r="BO267" s="446"/>
      <c r="BP267" s="446"/>
      <c r="BQ267" s="446"/>
      <c r="BR267" s="446"/>
      <c r="BS267" s="446"/>
      <c r="BT267" s="446"/>
      <c r="BU267" s="562"/>
      <c r="BV267" s="446"/>
      <c r="BW267" s="446"/>
      <c r="BX267" s="446"/>
      <c r="BY267" s="446"/>
      <c r="BZ267" s="446"/>
      <c r="CA267" s="446"/>
      <c r="CB267" s="446"/>
      <c r="CC267" s="446"/>
      <c r="CD267" s="446"/>
      <c r="CE267" s="446"/>
      <c r="CF267" s="446"/>
      <c r="CG267" s="446"/>
      <c r="CH267" s="446"/>
      <c r="CI267" s="446"/>
      <c r="CJ267" s="446"/>
      <c r="CK267" s="446"/>
      <c r="CL267" s="446"/>
      <c r="CM267" s="446"/>
      <c r="CN267" s="446"/>
      <c r="CO267" s="446"/>
      <c r="CP267" s="446"/>
      <c r="CQ267" s="446"/>
      <c r="CR267" s="446"/>
      <c r="CS267" s="446"/>
      <c r="CT267" s="446"/>
      <c r="CU267" s="446"/>
      <c r="CV267" s="446"/>
      <c r="CW267" s="851"/>
      <c r="CX267" s="446"/>
      <c r="CY267" s="446"/>
      <c r="CZ267" s="446"/>
      <c r="DA267" s="446"/>
      <c r="DB267" s="446"/>
      <c r="DC267" s="446"/>
      <c r="DD267" s="446"/>
      <c r="DE267" s="446"/>
      <c r="DF267" s="446"/>
      <c r="DG267" s="446"/>
      <c r="DH267" s="446"/>
      <c r="DI267" s="446"/>
      <c r="DJ267" s="446"/>
      <c r="DK267" s="446"/>
      <c r="DL267" s="446"/>
      <c r="DM267" s="446"/>
      <c r="DN267" s="446"/>
      <c r="DO267" s="446"/>
      <c r="DP267" s="446"/>
      <c r="DQ267" s="446"/>
      <c r="DR267" s="446"/>
      <c r="DS267" s="446"/>
      <c r="DT267" s="446"/>
      <c r="DU267" s="446"/>
      <c r="DV267" s="446"/>
      <c r="DW267" s="446"/>
      <c r="DX267" s="446"/>
      <c r="DY267" s="446"/>
      <c r="DZ267" s="283"/>
    </row>
    <row r="268" spans="2:130" s="223" customFormat="1" ht="14.25" customHeight="1" x14ac:dyDescent="0.2">
      <c r="B268" s="851"/>
      <c r="C268" s="851"/>
      <c r="D268" s="851"/>
      <c r="E268" s="820"/>
      <c r="F268" s="820"/>
      <c r="G268" s="853"/>
      <c r="H268" s="853"/>
      <c r="I268" s="853"/>
      <c r="J268" s="853"/>
      <c r="K268" s="853"/>
      <c r="L268" s="853"/>
      <c r="M268" s="853"/>
      <c r="N268" s="853"/>
      <c r="O268" s="853"/>
      <c r="P268" s="853"/>
      <c r="Q268" s="853"/>
      <c r="R268" s="853"/>
      <c r="S268" s="854"/>
      <c r="T268" s="853"/>
      <c r="U268" s="853"/>
      <c r="V268" s="853"/>
      <c r="W268" s="853"/>
      <c r="X268" s="853"/>
      <c r="Y268" s="853"/>
      <c r="Z268" s="853"/>
      <c r="AA268" s="853"/>
      <c r="AB268" s="853"/>
      <c r="AC268" s="853"/>
      <c r="AD268" s="853"/>
      <c r="AE268" s="853"/>
      <c r="AF268" s="853"/>
      <c r="AG268" s="853"/>
      <c r="AH268" s="446"/>
      <c r="AI268" s="446"/>
      <c r="AJ268" s="446"/>
      <c r="AK268" s="446"/>
      <c r="AL268" s="446"/>
      <c r="AM268" s="446"/>
      <c r="AN268" s="446"/>
      <c r="AO268" s="446"/>
      <c r="AP268" s="446"/>
      <c r="AQ268" s="446"/>
      <c r="AR268" s="446"/>
      <c r="AS268" s="446"/>
      <c r="AT268" s="446"/>
      <c r="AU268" s="446"/>
      <c r="AV268" s="446"/>
      <c r="AW268" s="446"/>
      <c r="AX268" s="446"/>
      <c r="AY268" s="446"/>
      <c r="AZ268" s="446"/>
      <c r="BA268" s="446"/>
      <c r="BB268" s="446"/>
      <c r="BC268" s="446"/>
      <c r="BD268" s="446"/>
      <c r="BE268" s="446"/>
      <c r="BF268" s="446"/>
      <c r="BG268" s="446"/>
      <c r="BH268" s="446"/>
      <c r="BI268" s="446"/>
      <c r="BJ268" s="446"/>
      <c r="BK268" s="446"/>
      <c r="BL268" s="446"/>
      <c r="BM268" s="446"/>
      <c r="BN268" s="446"/>
      <c r="BO268" s="446"/>
      <c r="BP268" s="446"/>
      <c r="BQ268" s="446"/>
      <c r="BR268" s="446"/>
      <c r="BS268" s="446"/>
      <c r="BT268" s="446"/>
      <c r="BU268" s="562"/>
      <c r="BV268" s="446"/>
      <c r="BW268" s="446"/>
      <c r="BX268" s="446"/>
      <c r="BY268" s="446"/>
      <c r="BZ268" s="446"/>
      <c r="CA268" s="446"/>
      <c r="CB268" s="446"/>
      <c r="CC268" s="446"/>
      <c r="CD268" s="446"/>
      <c r="CE268" s="446"/>
      <c r="CF268" s="446"/>
      <c r="CG268" s="446"/>
      <c r="CH268" s="446"/>
      <c r="CI268" s="446"/>
      <c r="CJ268" s="446"/>
      <c r="CK268" s="446"/>
      <c r="CL268" s="446"/>
      <c r="CM268" s="446"/>
      <c r="CN268" s="446"/>
      <c r="CO268" s="446"/>
      <c r="CP268" s="446"/>
      <c r="CQ268" s="446"/>
      <c r="CR268" s="446"/>
      <c r="CS268" s="446"/>
      <c r="CT268" s="446"/>
      <c r="CU268" s="446"/>
      <c r="CV268" s="446"/>
      <c r="CW268" s="851"/>
      <c r="CX268" s="446"/>
      <c r="CY268" s="446"/>
      <c r="CZ268" s="446"/>
      <c r="DA268" s="446"/>
      <c r="DB268" s="446"/>
      <c r="DC268" s="446"/>
      <c r="DD268" s="446"/>
      <c r="DE268" s="446"/>
      <c r="DF268" s="446"/>
      <c r="DG268" s="446"/>
      <c r="DH268" s="446"/>
      <c r="DI268" s="446"/>
      <c r="DJ268" s="446"/>
      <c r="DK268" s="446"/>
      <c r="DL268" s="446"/>
      <c r="DM268" s="446"/>
      <c r="DN268" s="446"/>
      <c r="DO268" s="446"/>
      <c r="DP268" s="446"/>
      <c r="DQ268" s="446"/>
      <c r="DR268" s="446"/>
      <c r="DS268" s="446"/>
      <c r="DT268" s="446"/>
      <c r="DU268" s="446"/>
      <c r="DV268" s="446"/>
      <c r="DW268" s="446"/>
      <c r="DX268" s="446"/>
      <c r="DY268" s="446"/>
      <c r="DZ268" s="283"/>
    </row>
    <row r="269" spans="2:130" s="223" customFormat="1" ht="14.25" customHeight="1" x14ac:dyDescent="0.2">
      <c r="B269" s="851"/>
      <c r="C269" s="851"/>
      <c r="D269" s="851"/>
      <c r="E269" s="820"/>
      <c r="F269" s="820"/>
      <c r="G269" s="853"/>
      <c r="H269" s="853"/>
      <c r="I269" s="853"/>
      <c r="J269" s="853"/>
      <c r="K269" s="853"/>
      <c r="L269" s="853"/>
      <c r="M269" s="853"/>
      <c r="N269" s="853"/>
      <c r="O269" s="853"/>
      <c r="P269" s="853"/>
      <c r="Q269" s="853"/>
      <c r="R269" s="853"/>
      <c r="S269" s="854"/>
      <c r="T269" s="853"/>
      <c r="U269" s="853"/>
      <c r="V269" s="853"/>
      <c r="W269" s="853"/>
      <c r="X269" s="853"/>
      <c r="Y269" s="853"/>
      <c r="Z269" s="853"/>
      <c r="AA269" s="853"/>
      <c r="AB269" s="853"/>
      <c r="AC269" s="853"/>
      <c r="AD269" s="853"/>
      <c r="AE269" s="853"/>
      <c r="AF269" s="853"/>
      <c r="AG269" s="853"/>
      <c r="AH269" s="446"/>
      <c r="AI269" s="446"/>
      <c r="AJ269" s="446"/>
      <c r="AK269" s="446"/>
      <c r="AL269" s="446"/>
      <c r="AM269" s="446"/>
      <c r="AN269" s="446"/>
      <c r="AO269" s="446"/>
      <c r="AP269" s="446"/>
      <c r="AQ269" s="446"/>
      <c r="AR269" s="446"/>
      <c r="AS269" s="446"/>
      <c r="AT269" s="446"/>
      <c r="AU269" s="446"/>
      <c r="AV269" s="446"/>
      <c r="AW269" s="446"/>
      <c r="AX269" s="446"/>
      <c r="AY269" s="446"/>
      <c r="AZ269" s="446"/>
      <c r="BA269" s="446"/>
      <c r="BB269" s="446"/>
      <c r="BC269" s="446"/>
      <c r="BD269" s="446"/>
      <c r="BE269" s="446"/>
      <c r="BF269" s="446"/>
      <c r="BG269" s="446"/>
      <c r="BH269" s="446"/>
      <c r="BI269" s="446"/>
      <c r="BJ269" s="446"/>
      <c r="BK269" s="446"/>
      <c r="BL269" s="446"/>
      <c r="BM269" s="446"/>
      <c r="BN269" s="446"/>
      <c r="BO269" s="446"/>
      <c r="BP269" s="446"/>
      <c r="BQ269" s="446"/>
      <c r="BR269" s="446"/>
      <c r="BS269" s="446"/>
      <c r="BT269" s="446"/>
      <c r="BU269" s="562"/>
      <c r="BV269" s="446"/>
      <c r="BW269" s="446"/>
      <c r="BX269" s="446"/>
      <c r="BY269" s="446"/>
      <c r="BZ269" s="446"/>
      <c r="CA269" s="446"/>
      <c r="CB269" s="446"/>
      <c r="CC269" s="446"/>
      <c r="CD269" s="446"/>
      <c r="CE269" s="446"/>
      <c r="CF269" s="446"/>
      <c r="CG269" s="446"/>
      <c r="CH269" s="446"/>
      <c r="CI269" s="446"/>
      <c r="CJ269" s="446"/>
      <c r="CK269" s="446"/>
      <c r="CL269" s="446"/>
      <c r="CM269" s="446"/>
      <c r="CN269" s="446"/>
      <c r="CO269" s="446"/>
      <c r="CP269" s="446"/>
      <c r="CQ269" s="446"/>
      <c r="CR269" s="446"/>
      <c r="CS269" s="446"/>
      <c r="CT269" s="446"/>
      <c r="CU269" s="446"/>
      <c r="CV269" s="446"/>
      <c r="CW269" s="851"/>
      <c r="CX269" s="446"/>
      <c r="CY269" s="446"/>
      <c r="CZ269" s="446"/>
      <c r="DA269" s="446"/>
      <c r="DB269" s="446"/>
      <c r="DC269" s="446"/>
      <c r="DD269" s="446"/>
      <c r="DE269" s="446"/>
      <c r="DF269" s="446"/>
      <c r="DG269" s="446"/>
      <c r="DH269" s="446"/>
      <c r="DI269" s="446"/>
      <c r="DJ269" s="446"/>
      <c r="DK269" s="446"/>
      <c r="DL269" s="446"/>
      <c r="DM269" s="446"/>
      <c r="DN269" s="446"/>
      <c r="DO269" s="446"/>
      <c r="DP269" s="446"/>
      <c r="DQ269" s="446"/>
      <c r="DR269" s="446"/>
      <c r="DS269" s="446"/>
      <c r="DT269" s="446"/>
      <c r="DU269" s="446"/>
      <c r="DV269" s="446"/>
      <c r="DW269" s="446"/>
      <c r="DX269" s="446"/>
      <c r="DY269" s="446"/>
      <c r="DZ269" s="283"/>
    </row>
    <row r="270" spans="2:130" s="223" customFormat="1" ht="14.25" customHeight="1" x14ac:dyDescent="0.2">
      <c r="B270" s="851"/>
      <c r="C270" s="851"/>
      <c r="D270" s="851"/>
      <c r="E270" s="820"/>
      <c r="F270" s="820"/>
      <c r="G270" s="853"/>
      <c r="H270" s="853"/>
      <c r="I270" s="853"/>
      <c r="J270" s="853"/>
      <c r="K270" s="853"/>
      <c r="L270" s="853"/>
      <c r="M270" s="853"/>
      <c r="N270" s="853"/>
      <c r="O270" s="853"/>
      <c r="P270" s="853"/>
      <c r="Q270" s="853"/>
      <c r="R270" s="853"/>
      <c r="S270" s="854"/>
      <c r="T270" s="853"/>
      <c r="U270" s="853"/>
      <c r="V270" s="853"/>
      <c r="W270" s="853"/>
      <c r="X270" s="853"/>
      <c r="Y270" s="853"/>
      <c r="Z270" s="853"/>
      <c r="AA270" s="853"/>
      <c r="AB270" s="853"/>
      <c r="AC270" s="853"/>
      <c r="AD270" s="853"/>
      <c r="AE270" s="853"/>
      <c r="AF270" s="853"/>
      <c r="AG270" s="853"/>
      <c r="AH270" s="446"/>
      <c r="AI270" s="446"/>
      <c r="AJ270" s="446"/>
      <c r="AK270" s="446"/>
      <c r="AL270" s="446"/>
      <c r="AM270" s="446"/>
      <c r="AN270" s="446"/>
      <c r="AO270" s="446"/>
      <c r="AP270" s="446"/>
      <c r="AQ270" s="446"/>
      <c r="AR270" s="446"/>
      <c r="AS270" s="446"/>
      <c r="AT270" s="446"/>
      <c r="AU270" s="446"/>
      <c r="AV270" s="446"/>
      <c r="AW270" s="446"/>
      <c r="AX270" s="446"/>
      <c r="AY270" s="446"/>
      <c r="AZ270" s="446"/>
      <c r="BA270" s="446"/>
      <c r="BB270" s="446"/>
      <c r="BC270" s="446"/>
      <c r="BD270" s="446"/>
      <c r="BE270" s="446"/>
      <c r="BF270" s="446"/>
      <c r="BG270" s="446"/>
      <c r="BH270" s="446"/>
      <c r="BI270" s="446"/>
      <c r="BJ270" s="446"/>
      <c r="BK270" s="446"/>
      <c r="BL270" s="446"/>
      <c r="BM270" s="446"/>
      <c r="BN270" s="446"/>
      <c r="BO270" s="446"/>
      <c r="BP270" s="446"/>
      <c r="BQ270" s="446"/>
      <c r="BR270" s="446"/>
      <c r="BS270" s="446"/>
      <c r="BT270" s="446"/>
      <c r="BU270" s="562"/>
      <c r="BV270" s="446"/>
      <c r="BW270" s="446"/>
      <c r="BX270" s="446"/>
      <c r="BY270" s="446"/>
      <c r="BZ270" s="446"/>
      <c r="CA270" s="446"/>
      <c r="CB270" s="446"/>
      <c r="CC270" s="446"/>
      <c r="CD270" s="446"/>
      <c r="CE270" s="446"/>
      <c r="CF270" s="446"/>
      <c r="CG270" s="446"/>
      <c r="CH270" s="446"/>
      <c r="CI270" s="446"/>
      <c r="CJ270" s="446"/>
      <c r="CK270" s="446"/>
      <c r="CL270" s="446"/>
      <c r="CM270" s="446"/>
      <c r="CN270" s="446"/>
      <c r="CO270" s="446"/>
      <c r="CP270" s="446"/>
      <c r="CQ270" s="446"/>
      <c r="CR270" s="446"/>
      <c r="CS270" s="446"/>
      <c r="CT270" s="446"/>
      <c r="CU270" s="446"/>
      <c r="CV270" s="446"/>
      <c r="CW270" s="851"/>
      <c r="CX270" s="446"/>
      <c r="CY270" s="446"/>
      <c r="CZ270" s="446"/>
      <c r="DA270" s="446"/>
      <c r="DB270" s="446"/>
      <c r="DC270" s="446"/>
      <c r="DD270" s="446"/>
      <c r="DE270" s="446"/>
      <c r="DF270" s="446"/>
      <c r="DG270" s="446"/>
      <c r="DH270" s="446"/>
      <c r="DI270" s="446"/>
      <c r="DJ270" s="446"/>
      <c r="DK270" s="446"/>
      <c r="DL270" s="446"/>
      <c r="DM270" s="446"/>
      <c r="DN270" s="446"/>
      <c r="DO270" s="446"/>
      <c r="DP270" s="446"/>
      <c r="DQ270" s="446"/>
      <c r="DR270" s="446"/>
      <c r="DS270" s="446"/>
      <c r="DT270" s="446"/>
      <c r="DU270" s="446"/>
      <c r="DV270" s="446"/>
      <c r="DW270" s="446"/>
      <c r="DX270" s="446"/>
      <c r="DY270" s="446"/>
      <c r="DZ270" s="283"/>
    </row>
    <row r="271" spans="2:130" s="223" customFormat="1" ht="14.25" customHeight="1" x14ac:dyDescent="0.2">
      <c r="B271" s="851"/>
      <c r="C271" s="851"/>
      <c r="D271" s="851"/>
      <c r="E271" s="820"/>
      <c r="F271" s="820"/>
      <c r="G271" s="853"/>
      <c r="H271" s="853"/>
      <c r="I271" s="853"/>
      <c r="J271" s="853"/>
      <c r="K271" s="853"/>
      <c r="L271" s="853"/>
      <c r="M271" s="853"/>
      <c r="N271" s="853"/>
      <c r="O271" s="853"/>
      <c r="P271" s="853"/>
      <c r="Q271" s="853"/>
      <c r="R271" s="853"/>
      <c r="S271" s="854"/>
      <c r="T271" s="853"/>
      <c r="U271" s="853"/>
      <c r="V271" s="853"/>
      <c r="W271" s="853"/>
      <c r="X271" s="853"/>
      <c r="Y271" s="853"/>
      <c r="Z271" s="853"/>
      <c r="AA271" s="853"/>
      <c r="AB271" s="853"/>
      <c r="AC271" s="853"/>
      <c r="AD271" s="853"/>
      <c r="AE271" s="853"/>
      <c r="AF271" s="853"/>
      <c r="AG271" s="853"/>
      <c r="AH271" s="446"/>
      <c r="AI271" s="446"/>
      <c r="AJ271" s="446"/>
      <c r="AK271" s="446"/>
      <c r="AL271" s="446"/>
      <c r="AM271" s="446"/>
      <c r="AN271" s="446"/>
      <c r="AO271" s="446"/>
      <c r="AP271" s="446"/>
      <c r="AQ271" s="446"/>
      <c r="AR271" s="446"/>
      <c r="AS271" s="446"/>
      <c r="AT271" s="446"/>
      <c r="AU271" s="446"/>
      <c r="AV271" s="446"/>
      <c r="AW271" s="446"/>
      <c r="AX271" s="446"/>
      <c r="AY271" s="446"/>
      <c r="AZ271" s="446"/>
      <c r="BA271" s="446"/>
      <c r="BB271" s="446"/>
      <c r="BC271" s="446"/>
      <c r="BD271" s="446"/>
      <c r="BE271" s="446"/>
      <c r="BF271" s="446"/>
      <c r="BG271" s="446"/>
      <c r="BH271" s="446"/>
      <c r="BI271" s="446"/>
      <c r="BJ271" s="446"/>
      <c r="BK271" s="446"/>
      <c r="BL271" s="446"/>
      <c r="BM271" s="446"/>
      <c r="BN271" s="446"/>
      <c r="BO271" s="446"/>
      <c r="BP271" s="446"/>
      <c r="BQ271" s="446"/>
      <c r="BR271" s="446"/>
      <c r="BS271" s="446"/>
      <c r="BT271" s="446"/>
      <c r="BU271" s="562"/>
      <c r="BV271" s="446"/>
      <c r="BW271" s="446"/>
      <c r="BX271" s="446"/>
      <c r="BY271" s="446"/>
      <c r="BZ271" s="446"/>
      <c r="CA271" s="446"/>
      <c r="CB271" s="446"/>
      <c r="CC271" s="446"/>
      <c r="CD271" s="446"/>
      <c r="CE271" s="446"/>
      <c r="CF271" s="446"/>
      <c r="CG271" s="446"/>
      <c r="CH271" s="446"/>
      <c r="CI271" s="446"/>
      <c r="CJ271" s="446"/>
      <c r="CK271" s="446"/>
      <c r="CL271" s="446"/>
      <c r="CM271" s="446"/>
      <c r="CN271" s="446"/>
      <c r="CO271" s="446"/>
      <c r="CP271" s="446"/>
      <c r="CQ271" s="446"/>
      <c r="CR271" s="446"/>
      <c r="CS271" s="446"/>
      <c r="CT271" s="446"/>
      <c r="CU271" s="446"/>
      <c r="CV271" s="446"/>
      <c r="CW271" s="851"/>
      <c r="CX271" s="446"/>
      <c r="CY271" s="446"/>
      <c r="CZ271" s="446"/>
      <c r="DA271" s="446"/>
      <c r="DB271" s="446"/>
      <c r="DC271" s="446"/>
      <c r="DD271" s="446"/>
      <c r="DE271" s="446"/>
      <c r="DF271" s="446"/>
      <c r="DG271" s="446"/>
      <c r="DH271" s="446"/>
      <c r="DI271" s="446"/>
      <c r="DJ271" s="446"/>
      <c r="DK271" s="446"/>
      <c r="DL271" s="446"/>
      <c r="DM271" s="446"/>
      <c r="DN271" s="446"/>
      <c r="DO271" s="446"/>
      <c r="DP271" s="446"/>
      <c r="DQ271" s="446"/>
      <c r="DR271" s="446"/>
      <c r="DS271" s="446"/>
      <c r="DT271" s="446"/>
      <c r="DU271" s="446"/>
      <c r="DV271" s="446"/>
      <c r="DW271" s="446"/>
      <c r="DX271" s="446"/>
      <c r="DY271" s="446"/>
      <c r="DZ271" s="283"/>
    </row>
    <row r="272" spans="2:130" s="223" customFormat="1" ht="14.25" customHeight="1" x14ac:dyDescent="0.2">
      <c r="B272" s="851"/>
      <c r="C272" s="851"/>
      <c r="D272" s="851"/>
      <c r="E272" s="820"/>
      <c r="F272" s="820"/>
      <c r="G272" s="853"/>
      <c r="H272" s="853"/>
      <c r="I272" s="853"/>
      <c r="J272" s="853"/>
      <c r="K272" s="853"/>
      <c r="L272" s="853"/>
      <c r="M272" s="853"/>
      <c r="N272" s="853"/>
      <c r="O272" s="853"/>
      <c r="P272" s="853"/>
      <c r="Q272" s="853"/>
      <c r="R272" s="853"/>
      <c r="S272" s="854"/>
      <c r="T272" s="853"/>
      <c r="U272" s="853"/>
      <c r="V272" s="853"/>
      <c r="W272" s="853"/>
      <c r="X272" s="853"/>
      <c r="Y272" s="853"/>
      <c r="Z272" s="853"/>
      <c r="AA272" s="853"/>
      <c r="AB272" s="853"/>
      <c r="AC272" s="853"/>
      <c r="AD272" s="853"/>
      <c r="AE272" s="853"/>
      <c r="AF272" s="853"/>
      <c r="AG272" s="853"/>
      <c r="AH272" s="446"/>
      <c r="AI272" s="446"/>
      <c r="AJ272" s="446"/>
      <c r="AK272" s="446"/>
      <c r="AL272" s="446"/>
      <c r="AM272" s="446"/>
      <c r="AN272" s="446"/>
      <c r="AO272" s="446"/>
      <c r="AP272" s="446"/>
      <c r="AQ272" s="446"/>
      <c r="AR272" s="446"/>
      <c r="AS272" s="446"/>
      <c r="AT272" s="446"/>
      <c r="AU272" s="446"/>
      <c r="AV272" s="446"/>
      <c r="AW272" s="446"/>
      <c r="AX272" s="446"/>
      <c r="AY272" s="446"/>
      <c r="AZ272" s="446"/>
      <c r="BA272" s="446"/>
      <c r="BB272" s="446"/>
      <c r="BC272" s="446"/>
      <c r="BD272" s="446"/>
      <c r="BE272" s="446"/>
      <c r="BF272" s="446"/>
      <c r="BG272" s="446"/>
      <c r="BH272" s="446"/>
      <c r="BI272" s="446"/>
      <c r="BJ272" s="446"/>
      <c r="BK272" s="446"/>
      <c r="BL272" s="446"/>
      <c r="BM272" s="446"/>
      <c r="BN272" s="446"/>
      <c r="BO272" s="446"/>
      <c r="BP272" s="446"/>
      <c r="BQ272" s="446"/>
      <c r="BR272" s="446"/>
      <c r="BS272" s="446"/>
      <c r="BT272" s="446"/>
      <c r="BU272" s="562"/>
      <c r="BV272" s="446"/>
      <c r="BW272" s="446"/>
      <c r="BX272" s="446"/>
      <c r="BY272" s="446"/>
      <c r="BZ272" s="446"/>
      <c r="CA272" s="446"/>
      <c r="CB272" s="446"/>
      <c r="CC272" s="446"/>
      <c r="CD272" s="446"/>
      <c r="CE272" s="446"/>
      <c r="CF272" s="446"/>
      <c r="CG272" s="446"/>
      <c r="CH272" s="446"/>
      <c r="CI272" s="446"/>
      <c r="CJ272" s="446"/>
      <c r="CK272" s="446"/>
      <c r="CL272" s="446"/>
      <c r="CM272" s="446"/>
      <c r="CN272" s="446"/>
      <c r="CO272" s="446"/>
      <c r="CP272" s="446"/>
      <c r="CQ272" s="446"/>
      <c r="CR272" s="446"/>
      <c r="CS272" s="446"/>
      <c r="CT272" s="446"/>
      <c r="CU272" s="446"/>
      <c r="CV272" s="446"/>
      <c r="CW272" s="851"/>
      <c r="CX272" s="446"/>
      <c r="CY272" s="446"/>
      <c r="CZ272" s="446"/>
      <c r="DA272" s="446"/>
      <c r="DB272" s="446"/>
      <c r="DC272" s="446"/>
      <c r="DD272" s="446"/>
      <c r="DE272" s="446"/>
      <c r="DF272" s="446"/>
      <c r="DG272" s="446"/>
      <c r="DH272" s="446"/>
      <c r="DI272" s="446"/>
      <c r="DJ272" s="446"/>
      <c r="DK272" s="446"/>
      <c r="DL272" s="446"/>
      <c r="DM272" s="446"/>
      <c r="DN272" s="446"/>
      <c r="DO272" s="446"/>
      <c r="DP272" s="446"/>
      <c r="DQ272" s="446"/>
      <c r="DR272" s="446"/>
      <c r="DS272" s="446"/>
      <c r="DT272" s="446"/>
      <c r="DU272" s="446"/>
      <c r="DV272" s="446"/>
      <c r="DW272" s="446"/>
      <c r="DX272" s="446"/>
      <c r="DY272" s="446"/>
      <c r="DZ272" s="283"/>
    </row>
    <row r="273" spans="2:130" s="223" customFormat="1" ht="14.25" customHeight="1" x14ac:dyDescent="0.2">
      <c r="B273" s="851"/>
      <c r="C273" s="851"/>
      <c r="D273" s="851"/>
      <c r="E273" s="820"/>
      <c r="F273" s="820"/>
      <c r="G273" s="853"/>
      <c r="H273" s="853"/>
      <c r="I273" s="853"/>
      <c r="J273" s="853"/>
      <c r="K273" s="853"/>
      <c r="L273" s="853"/>
      <c r="M273" s="853"/>
      <c r="N273" s="853"/>
      <c r="O273" s="853"/>
      <c r="P273" s="853"/>
      <c r="Q273" s="853"/>
      <c r="R273" s="853"/>
      <c r="S273" s="854"/>
      <c r="T273" s="853"/>
      <c r="U273" s="853"/>
      <c r="V273" s="853"/>
      <c r="W273" s="853"/>
      <c r="X273" s="853"/>
      <c r="Y273" s="853"/>
      <c r="Z273" s="853"/>
      <c r="AA273" s="853"/>
      <c r="AB273" s="853"/>
      <c r="AC273" s="853"/>
      <c r="AD273" s="853"/>
      <c r="AE273" s="853"/>
      <c r="AF273" s="853"/>
      <c r="AG273" s="853"/>
      <c r="AH273" s="446"/>
      <c r="AI273" s="446"/>
      <c r="AJ273" s="446"/>
      <c r="AK273" s="446"/>
      <c r="AL273" s="446"/>
      <c r="AM273" s="446"/>
      <c r="AN273" s="446"/>
      <c r="AO273" s="446"/>
      <c r="AP273" s="446"/>
      <c r="AQ273" s="446"/>
      <c r="AR273" s="446"/>
      <c r="AS273" s="446"/>
      <c r="AT273" s="446"/>
      <c r="AU273" s="446"/>
      <c r="AV273" s="446"/>
      <c r="AW273" s="446"/>
      <c r="AX273" s="446"/>
      <c r="AY273" s="446"/>
      <c r="AZ273" s="446"/>
      <c r="BA273" s="446"/>
      <c r="BB273" s="446"/>
      <c r="BC273" s="446"/>
      <c r="BD273" s="446"/>
      <c r="BE273" s="446"/>
      <c r="BF273" s="446"/>
      <c r="BG273" s="446"/>
      <c r="BH273" s="446"/>
      <c r="BI273" s="446"/>
      <c r="BJ273" s="446"/>
      <c r="BK273" s="446"/>
      <c r="BL273" s="446"/>
      <c r="BM273" s="446"/>
      <c r="BN273" s="446"/>
      <c r="BO273" s="446"/>
      <c r="BP273" s="446"/>
      <c r="BQ273" s="446"/>
      <c r="BR273" s="446"/>
      <c r="BS273" s="446"/>
      <c r="BT273" s="446"/>
      <c r="BU273" s="562"/>
      <c r="BV273" s="446"/>
      <c r="BW273" s="446"/>
      <c r="BX273" s="446"/>
      <c r="BY273" s="446"/>
      <c r="BZ273" s="446"/>
      <c r="CA273" s="446"/>
      <c r="CB273" s="446"/>
      <c r="CC273" s="446"/>
      <c r="CD273" s="446"/>
      <c r="CE273" s="446"/>
      <c r="CF273" s="446"/>
      <c r="CG273" s="446"/>
      <c r="CH273" s="446"/>
      <c r="CI273" s="446"/>
      <c r="CJ273" s="446"/>
      <c r="CK273" s="446"/>
      <c r="CL273" s="446"/>
      <c r="CM273" s="446"/>
      <c r="CN273" s="446"/>
      <c r="CO273" s="446"/>
      <c r="CP273" s="446"/>
      <c r="CQ273" s="446"/>
      <c r="CR273" s="446"/>
      <c r="CS273" s="446"/>
      <c r="CT273" s="446"/>
      <c r="CU273" s="446"/>
      <c r="CV273" s="446"/>
      <c r="CW273" s="851"/>
      <c r="CX273" s="446"/>
      <c r="CY273" s="446"/>
      <c r="CZ273" s="446"/>
      <c r="DA273" s="446"/>
      <c r="DB273" s="446"/>
      <c r="DC273" s="446"/>
      <c r="DD273" s="446"/>
      <c r="DE273" s="446"/>
      <c r="DF273" s="446"/>
      <c r="DG273" s="446"/>
      <c r="DH273" s="446"/>
      <c r="DI273" s="446"/>
      <c r="DJ273" s="446"/>
      <c r="DK273" s="446"/>
      <c r="DL273" s="446"/>
      <c r="DM273" s="446"/>
      <c r="DN273" s="446"/>
      <c r="DO273" s="446"/>
      <c r="DP273" s="446"/>
      <c r="DQ273" s="446"/>
      <c r="DR273" s="446"/>
      <c r="DS273" s="446"/>
      <c r="DT273" s="446"/>
      <c r="DU273" s="446"/>
      <c r="DV273" s="446"/>
      <c r="DW273" s="446"/>
      <c r="DX273" s="446"/>
      <c r="DY273" s="446"/>
      <c r="DZ273" s="283"/>
    </row>
    <row r="274" spans="2:130" s="223" customFormat="1" ht="14.25" customHeight="1" x14ac:dyDescent="0.2">
      <c r="B274" s="851"/>
      <c r="C274" s="851"/>
      <c r="D274" s="851"/>
      <c r="E274" s="820"/>
      <c r="F274" s="820"/>
      <c r="G274" s="853"/>
      <c r="H274" s="853"/>
      <c r="I274" s="853"/>
      <c r="J274" s="853"/>
      <c r="K274" s="853"/>
      <c r="L274" s="853"/>
      <c r="M274" s="853"/>
      <c r="N274" s="853"/>
      <c r="O274" s="853"/>
      <c r="P274" s="853"/>
      <c r="Q274" s="853"/>
      <c r="R274" s="853"/>
      <c r="S274" s="854"/>
      <c r="T274" s="853"/>
      <c r="U274" s="853"/>
      <c r="V274" s="853"/>
      <c r="W274" s="853"/>
      <c r="X274" s="853"/>
      <c r="Y274" s="853"/>
      <c r="Z274" s="853"/>
      <c r="AA274" s="853"/>
      <c r="AB274" s="853"/>
      <c r="AC274" s="853"/>
      <c r="AD274" s="853"/>
      <c r="AE274" s="853"/>
      <c r="AF274" s="853"/>
      <c r="AG274" s="853"/>
      <c r="AH274" s="446"/>
      <c r="AI274" s="446"/>
      <c r="AJ274" s="446"/>
      <c r="AK274" s="446"/>
      <c r="AL274" s="446"/>
      <c r="AM274" s="446"/>
      <c r="AN274" s="446"/>
      <c r="AO274" s="446"/>
      <c r="AP274" s="446"/>
      <c r="AQ274" s="446"/>
      <c r="AR274" s="446"/>
      <c r="AS274" s="446"/>
      <c r="AT274" s="446"/>
      <c r="AU274" s="446"/>
      <c r="AV274" s="446"/>
      <c r="AW274" s="446"/>
      <c r="AX274" s="446"/>
      <c r="AY274" s="446"/>
      <c r="AZ274" s="446"/>
      <c r="BA274" s="446"/>
      <c r="BB274" s="446"/>
      <c r="BC274" s="446"/>
      <c r="BD274" s="446"/>
      <c r="BE274" s="446"/>
      <c r="BF274" s="446"/>
      <c r="BG274" s="446"/>
      <c r="BH274" s="446"/>
      <c r="BI274" s="446"/>
      <c r="BJ274" s="446"/>
      <c r="BK274" s="446"/>
      <c r="BL274" s="446"/>
      <c r="BM274" s="446"/>
      <c r="BN274" s="446"/>
      <c r="BO274" s="446"/>
      <c r="BP274" s="446"/>
      <c r="BQ274" s="446"/>
      <c r="BR274" s="446"/>
      <c r="BS274" s="446"/>
      <c r="BT274" s="446"/>
      <c r="BU274" s="562"/>
      <c r="BV274" s="446"/>
      <c r="BW274" s="446"/>
      <c r="BX274" s="446"/>
      <c r="BY274" s="446"/>
      <c r="BZ274" s="446"/>
      <c r="CA274" s="446"/>
      <c r="CB274" s="446"/>
      <c r="CC274" s="446"/>
      <c r="CD274" s="446"/>
      <c r="CE274" s="446"/>
      <c r="CF274" s="446"/>
      <c r="CG274" s="446"/>
      <c r="CH274" s="446"/>
      <c r="CI274" s="446"/>
      <c r="CJ274" s="446"/>
      <c r="CK274" s="446"/>
      <c r="CL274" s="446"/>
      <c r="CM274" s="446"/>
      <c r="CN274" s="446"/>
      <c r="CO274" s="446"/>
      <c r="CP274" s="446"/>
      <c r="CQ274" s="446"/>
      <c r="CR274" s="446"/>
      <c r="CS274" s="446"/>
      <c r="CT274" s="446"/>
      <c r="CU274" s="446"/>
      <c r="CV274" s="446"/>
      <c r="CW274" s="851"/>
      <c r="CX274" s="446"/>
      <c r="CY274" s="446"/>
      <c r="CZ274" s="446"/>
      <c r="DA274" s="446"/>
      <c r="DB274" s="446"/>
      <c r="DC274" s="446"/>
      <c r="DD274" s="446"/>
      <c r="DE274" s="446"/>
      <c r="DF274" s="446"/>
      <c r="DG274" s="446"/>
      <c r="DH274" s="446"/>
      <c r="DI274" s="446"/>
      <c r="DJ274" s="446"/>
      <c r="DK274" s="446"/>
      <c r="DL274" s="446"/>
      <c r="DM274" s="446"/>
      <c r="DN274" s="446"/>
      <c r="DO274" s="446"/>
      <c r="DP274" s="446"/>
      <c r="DQ274" s="446"/>
      <c r="DR274" s="446"/>
      <c r="DS274" s="446"/>
      <c r="DT274" s="446"/>
      <c r="DU274" s="446"/>
      <c r="DV274" s="446"/>
      <c r="DW274" s="446"/>
      <c r="DX274" s="446"/>
      <c r="DY274" s="446"/>
      <c r="DZ274" s="283"/>
    </row>
    <row r="275" spans="2:130" s="223" customFormat="1" ht="14.25" customHeight="1" x14ac:dyDescent="0.2">
      <c r="B275" s="851"/>
      <c r="C275" s="851"/>
      <c r="D275" s="851"/>
      <c r="E275" s="820"/>
      <c r="F275" s="820"/>
      <c r="G275" s="853"/>
      <c r="H275" s="853"/>
      <c r="I275" s="853"/>
      <c r="J275" s="853"/>
      <c r="K275" s="853"/>
      <c r="L275" s="853"/>
      <c r="M275" s="853"/>
      <c r="N275" s="853"/>
      <c r="O275" s="853"/>
      <c r="P275" s="853"/>
      <c r="Q275" s="853"/>
      <c r="R275" s="853"/>
      <c r="S275" s="854"/>
      <c r="T275" s="853"/>
      <c r="U275" s="853"/>
      <c r="V275" s="853"/>
      <c r="W275" s="853"/>
      <c r="X275" s="853"/>
      <c r="Y275" s="853"/>
      <c r="Z275" s="853"/>
      <c r="AA275" s="853"/>
      <c r="AB275" s="853"/>
      <c r="AC275" s="853"/>
      <c r="AD275" s="853"/>
      <c r="AE275" s="853"/>
      <c r="AF275" s="853"/>
      <c r="AG275" s="853"/>
      <c r="AH275" s="446"/>
      <c r="AI275" s="446"/>
      <c r="AJ275" s="446"/>
      <c r="AK275" s="446"/>
      <c r="AL275" s="446"/>
      <c r="AM275" s="446"/>
      <c r="AN275" s="446"/>
      <c r="AO275" s="446"/>
      <c r="AP275" s="446"/>
      <c r="AQ275" s="446"/>
      <c r="AR275" s="446"/>
      <c r="AS275" s="446"/>
      <c r="AT275" s="446"/>
      <c r="AU275" s="446"/>
      <c r="AV275" s="446"/>
      <c r="AW275" s="446"/>
      <c r="AX275" s="446"/>
      <c r="AY275" s="446"/>
      <c r="AZ275" s="446"/>
      <c r="BA275" s="446"/>
      <c r="BB275" s="446"/>
      <c r="BC275" s="446"/>
      <c r="BD275" s="446"/>
      <c r="BE275" s="446"/>
      <c r="BF275" s="446"/>
      <c r="BG275" s="446"/>
      <c r="BH275" s="446"/>
      <c r="BI275" s="446"/>
      <c r="BJ275" s="446"/>
      <c r="BK275" s="446"/>
      <c r="BL275" s="446"/>
      <c r="BM275" s="446"/>
      <c r="BN275" s="446"/>
      <c r="BO275" s="446"/>
      <c r="BP275" s="446"/>
      <c r="BQ275" s="446"/>
      <c r="BR275" s="446"/>
      <c r="BS275" s="446"/>
      <c r="BT275" s="446"/>
      <c r="BU275" s="562"/>
      <c r="BV275" s="446"/>
      <c r="BW275" s="446"/>
      <c r="BX275" s="446"/>
      <c r="BY275" s="446"/>
      <c r="BZ275" s="446"/>
      <c r="CA275" s="446"/>
      <c r="CB275" s="446"/>
      <c r="CC275" s="446"/>
      <c r="CD275" s="446"/>
      <c r="CE275" s="446"/>
      <c r="CF275" s="446"/>
      <c r="CG275" s="446"/>
      <c r="CH275" s="446"/>
      <c r="CI275" s="446"/>
      <c r="CJ275" s="446"/>
      <c r="CK275" s="446"/>
      <c r="CL275" s="446"/>
      <c r="CM275" s="446"/>
      <c r="CN275" s="446"/>
      <c r="CO275" s="446"/>
      <c r="CP275" s="446"/>
      <c r="CQ275" s="446"/>
      <c r="CR275" s="446"/>
      <c r="CS275" s="446"/>
      <c r="CT275" s="446"/>
      <c r="CU275" s="446"/>
      <c r="CV275" s="446"/>
      <c r="CW275" s="851"/>
      <c r="CX275" s="446"/>
      <c r="CY275" s="446"/>
      <c r="CZ275" s="446"/>
      <c r="DA275" s="446"/>
      <c r="DB275" s="446"/>
      <c r="DC275" s="446"/>
      <c r="DD275" s="446"/>
      <c r="DE275" s="446"/>
      <c r="DF275" s="446"/>
      <c r="DG275" s="446"/>
      <c r="DH275" s="446"/>
      <c r="DI275" s="446"/>
      <c r="DJ275" s="446"/>
      <c r="DK275" s="446"/>
      <c r="DL275" s="446"/>
      <c r="DM275" s="446"/>
      <c r="DN275" s="446"/>
      <c r="DO275" s="446"/>
      <c r="DP275" s="446"/>
      <c r="DQ275" s="446"/>
      <c r="DR275" s="446"/>
      <c r="DS275" s="446"/>
      <c r="DT275" s="446"/>
      <c r="DU275" s="446"/>
      <c r="DV275" s="446"/>
      <c r="DW275" s="446"/>
      <c r="DX275" s="446"/>
      <c r="DY275" s="446"/>
      <c r="DZ275" s="283"/>
    </row>
    <row r="276" spans="2:130" s="223" customFormat="1" ht="14.25" customHeight="1" x14ac:dyDescent="0.2">
      <c r="B276" s="851"/>
      <c r="C276" s="851"/>
      <c r="D276" s="851"/>
      <c r="E276" s="820"/>
      <c r="F276" s="820"/>
      <c r="G276" s="853"/>
      <c r="H276" s="853"/>
      <c r="I276" s="853"/>
      <c r="J276" s="853"/>
      <c r="K276" s="853"/>
      <c r="L276" s="853"/>
      <c r="M276" s="853"/>
      <c r="N276" s="853"/>
      <c r="O276" s="853"/>
      <c r="P276" s="853"/>
      <c r="Q276" s="853"/>
      <c r="R276" s="853"/>
      <c r="S276" s="854"/>
      <c r="T276" s="853"/>
      <c r="U276" s="853"/>
      <c r="V276" s="853"/>
      <c r="W276" s="853"/>
      <c r="X276" s="853"/>
      <c r="Y276" s="853"/>
      <c r="Z276" s="853"/>
      <c r="AA276" s="853"/>
      <c r="AB276" s="853"/>
      <c r="AC276" s="853"/>
      <c r="AD276" s="853"/>
      <c r="AE276" s="853"/>
      <c r="AF276" s="853"/>
      <c r="AG276" s="853"/>
      <c r="AH276" s="446"/>
      <c r="AI276" s="446"/>
      <c r="AJ276" s="446"/>
      <c r="AK276" s="446"/>
      <c r="AL276" s="446"/>
      <c r="AM276" s="446"/>
      <c r="AN276" s="446"/>
      <c r="AO276" s="446"/>
      <c r="AP276" s="446"/>
      <c r="AQ276" s="446"/>
      <c r="AR276" s="446"/>
      <c r="AS276" s="446"/>
      <c r="AT276" s="446"/>
      <c r="AU276" s="446"/>
      <c r="AV276" s="446"/>
      <c r="AW276" s="446"/>
      <c r="AX276" s="446"/>
      <c r="AY276" s="446"/>
      <c r="AZ276" s="446"/>
      <c r="BA276" s="446"/>
      <c r="BB276" s="446"/>
      <c r="BC276" s="446"/>
      <c r="BD276" s="446"/>
      <c r="BE276" s="446"/>
      <c r="BF276" s="446"/>
      <c r="BG276" s="446"/>
      <c r="BH276" s="446"/>
      <c r="BI276" s="446"/>
      <c r="BJ276" s="446"/>
      <c r="BK276" s="446"/>
      <c r="BL276" s="446"/>
      <c r="BM276" s="446"/>
      <c r="BN276" s="446"/>
      <c r="BO276" s="446"/>
      <c r="BP276" s="446"/>
      <c r="BQ276" s="446"/>
      <c r="BR276" s="446"/>
      <c r="BS276" s="446"/>
      <c r="BT276" s="446"/>
      <c r="BU276" s="562"/>
      <c r="BV276" s="446"/>
      <c r="BW276" s="446"/>
      <c r="BX276" s="446"/>
      <c r="BY276" s="446"/>
      <c r="BZ276" s="446"/>
      <c r="CA276" s="446"/>
      <c r="CB276" s="446"/>
      <c r="CC276" s="446"/>
      <c r="CD276" s="446"/>
      <c r="CE276" s="446"/>
      <c r="CF276" s="446"/>
      <c r="CG276" s="446"/>
      <c r="CH276" s="446"/>
      <c r="CI276" s="446"/>
      <c r="CJ276" s="446"/>
      <c r="CK276" s="446"/>
      <c r="CL276" s="446"/>
      <c r="CM276" s="446"/>
      <c r="CN276" s="446"/>
      <c r="CO276" s="446"/>
      <c r="CP276" s="446"/>
      <c r="CQ276" s="446"/>
      <c r="CR276" s="446"/>
      <c r="CS276" s="446"/>
      <c r="CT276" s="446"/>
      <c r="CU276" s="446"/>
      <c r="CV276" s="446"/>
      <c r="CW276" s="851"/>
      <c r="CX276" s="446"/>
      <c r="CY276" s="446"/>
      <c r="CZ276" s="446"/>
      <c r="DA276" s="446"/>
      <c r="DB276" s="446"/>
      <c r="DC276" s="446"/>
      <c r="DD276" s="446"/>
      <c r="DE276" s="446"/>
      <c r="DF276" s="446"/>
      <c r="DG276" s="446"/>
      <c r="DH276" s="446"/>
      <c r="DI276" s="446"/>
      <c r="DJ276" s="446"/>
      <c r="DK276" s="446"/>
      <c r="DL276" s="446"/>
      <c r="DM276" s="446"/>
      <c r="DN276" s="446"/>
      <c r="DO276" s="446"/>
      <c r="DP276" s="446"/>
      <c r="DQ276" s="446"/>
      <c r="DR276" s="446"/>
      <c r="DS276" s="446"/>
      <c r="DT276" s="446"/>
      <c r="DU276" s="446"/>
      <c r="DV276" s="446"/>
      <c r="DW276" s="446"/>
      <c r="DX276" s="446"/>
      <c r="DY276" s="446"/>
      <c r="DZ276" s="283"/>
    </row>
    <row r="277" spans="2:130" s="223" customFormat="1" ht="14.25" customHeight="1" x14ac:dyDescent="0.2">
      <c r="B277" s="851"/>
      <c r="C277" s="851"/>
      <c r="D277" s="851"/>
      <c r="E277" s="820"/>
      <c r="F277" s="820"/>
      <c r="G277" s="853"/>
      <c r="H277" s="853"/>
      <c r="I277" s="853"/>
      <c r="J277" s="853"/>
      <c r="K277" s="853"/>
      <c r="L277" s="853"/>
      <c r="M277" s="853"/>
      <c r="N277" s="853"/>
      <c r="O277" s="853"/>
      <c r="P277" s="853"/>
      <c r="Q277" s="853"/>
      <c r="R277" s="853"/>
      <c r="S277" s="854"/>
      <c r="T277" s="853"/>
      <c r="U277" s="853"/>
      <c r="V277" s="853"/>
      <c r="W277" s="853"/>
      <c r="X277" s="853"/>
      <c r="Y277" s="853"/>
      <c r="Z277" s="853"/>
      <c r="AA277" s="853"/>
      <c r="AB277" s="853"/>
      <c r="AC277" s="853"/>
      <c r="AD277" s="853"/>
      <c r="AE277" s="853"/>
      <c r="AF277" s="853"/>
      <c r="AG277" s="853"/>
      <c r="AH277" s="446"/>
      <c r="AI277" s="446"/>
      <c r="AJ277" s="446"/>
      <c r="AK277" s="446"/>
      <c r="AL277" s="446"/>
      <c r="AM277" s="446"/>
      <c r="AN277" s="446"/>
      <c r="AO277" s="446"/>
      <c r="AP277" s="446"/>
      <c r="AQ277" s="446"/>
      <c r="AR277" s="446"/>
      <c r="AS277" s="446"/>
      <c r="AT277" s="446"/>
      <c r="AU277" s="446"/>
      <c r="AV277" s="446"/>
      <c r="AW277" s="446"/>
      <c r="AX277" s="446"/>
      <c r="AY277" s="446"/>
      <c r="AZ277" s="446"/>
      <c r="BA277" s="446"/>
      <c r="BB277" s="446"/>
      <c r="BC277" s="446"/>
      <c r="BD277" s="446"/>
      <c r="BE277" s="446"/>
      <c r="BF277" s="446"/>
      <c r="BG277" s="446"/>
      <c r="BH277" s="446"/>
      <c r="BI277" s="446"/>
      <c r="BJ277" s="446"/>
      <c r="BK277" s="446"/>
      <c r="BL277" s="446"/>
      <c r="BM277" s="446"/>
      <c r="BN277" s="446"/>
      <c r="BO277" s="446"/>
      <c r="BP277" s="446"/>
      <c r="BQ277" s="446"/>
      <c r="BR277" s="446"/>
      <c r="BS277" s="446"/>
      <c r="BT277" s="446"/>
      <c r="BU277" s="562"/>
      <c r="BV277" s="446"/>
      <c r="BW277" s="446"/>
      <c r="BX277" s="446"/>
      <c r="BY277" s="446"/>
      <c r="BZ277" s="446"/>
      <c r="CA277" s="446"/>
      <c r="CB277" s="446"/>
      <c r="CC277" s="446"/>
      <c r="CD277" s="446"/>
      <c r="CE277" s="446"/>
      <c r="CF277" s="446"/>
      <c r="CG277" s="446"/>
      <c r="CH277" s="446"/>
      <c r="CI277" s="446"/>
      <c r="CJ277" s="446"/>
      <c r="CK277" s="446"/>
      <c r="CL277" s="446"/>
      <c r="CM277" s="446"/>
      <c r="CN277" s="446"/>
      <c r="CO277" s="446"/>
      <c r="CP277" s="446"/>
      <c r="CQ277" s="446"/>
      <c r="CR277" s="446"/>
      <c r="CS277" s="446"/>
      <c r="CT277" s="446"/>
      <c r="CU277" s="446"/>
      <c r="CV277" s="446"/>
      <c r="CW277" s="851"/>
      <c r="CX277" s="446"/>
      <c r="CY277" s="446"/>
      <c r="CZ277" s="446"/>
      <c r="DA277" s="446"/>
      <c r="DB277" s="446"/>
      <c r="DC277" s="446"/>
      <c r="DD277" s="446"/>
      <c r="DE277" s="446"/>
      <c r="DF277" s="446"/>
      <c r="DG277" s="446"/>
      <c r="DH277" s="446"/>
      <c r="DI277" s="446"/>
      <c r="DJ277" s="446"/>
      <c r="DK277" s="446"/>
      <c r="DL277" s="446"/>
      <c r="DM277" s="446"/>
      <c r="DN277" s="446"/>
      <c r="DO277" s="446"/>
      <c r="DP277" s="446"/>
      <c r="DQ277" s="446"/>
      <c r="DR277" s="446"/>
      <c r="DS277" s="446"/>
      <c r="DT277" s="446"/>
      <c r="DU277" s="446"/>
      <c r="DV277" s="446"/>
      <c r="DW277" s="446"/>
      <c r="DX277" s="446"/>
      <c r="DY277" s="446"/>
      <c r="DZ277" s="283"/>
    </row>
    <row r="278" spans="2:130" s="223" customFormat="1" ht="14.25" customHeight="1" x14ac:dyDescent="0.2">
      <c r="D278" s="856"/>
      <c r="E278" s="856"/>
      <c r="F278" s="856"/>
      <c r="G278" s="856"/>
      <c r="H278" s="856"/>
      <c r="I278" s="856"/>
      <c r="J278" s="856"/>
      <c r="K278" s="856"/>
      <c r="L278" s="856"/>
      <c r="M278" s="856"/>
      <c r="N278" s="857"/>
      <c r="O278" s="856"/>
      <c r="P278" s="856"/>
      <c r="Q278" s="858"/>
      <c r="R278" s="858"/>
      <c r="S278" s="859"/>
      <c r="T278" s="856"/>
      <c r="U278" s="856"/>
      <c r="V278" s="856"/>
      <c r="W278" s="856"/>
      <c r="X278" s="856"/>
      <c r="Y278" s="355"/>
      <c r="AB278" s="446"/>
      <c r="AC278" s="446"/>
      <c r="AD278" s="562"/>
      <c r="AE278" s="446"/>
      <c r="AF278" s="446"/>
      <c r="AG278" s="446"/>
      <c r="AH278" s="446"/>
      <c r="AI278" s="446"/>
      <c r="AJ278" s="446"/>
      <c r="AK278" s="446"/>
      <c r="AL278" s="446"/>
      <c r="AM278" s="446"/>
      <c r="AN278" s="446"/>
      <c r="AO278" s="446"/>
      <c r="AP278" s="446"/>
      <c r="AQ278" s="446"/>
      <c r="AR278" s="446"/>
      <c r="AS278" s="446"/>
      <c r="AT278" s="446"/>
      <c r="AU278" s="446"/>
      <c r="AV278" s="446"/>
      <c r="AW278" s="446"/>
      <c r="AX278" s="446"/>
      <c r="AY278" s="446"/>
      <c r="AZ278" s="446"/>
      <c r="BA278" s="446"/>
      <c r="BB278" s="446"/>
      <c r="BC278" s="446"/>
      <c r="BD278" s="446"/>
      <c r="BE278" s="446"/>
      <c r="BF278" s="446"/>
      <c r="BG278" s="446"/>
      <c r="BH278" s="446"/>
      <c r="BI278" s="446"/>
      <c r="BJ278" s="446"/>
      <c r="BK278" s="446"/>
      <c r="BL278" s="446"/>
      <c r="BM278" s="446"/>
      <c r="BN278" s="446"/>
      <c r="BO278" s="446"/>
      <c r="BP278" s="446"/>
      <c r="BQ278" s="446"/>
      <c r="BR278" s="446"/>
      <c r="BS278" s="446"/>
      <c r="BT278" s="446"/>
      <c r="BU278" s="562"/>
      <c r="BV278" s="446"/>
      <c r="BW278" s="446"/>
      <c r="BX278" s="446"/>
      <c r="BY278" s="446"/>
      <c r="BZ278" s="446"/>
      <c r="CA278" s="446"/>
      <c r="CB278" s="446"/>
      <c r="CC278" s="446"/>
      <c r="CD278" s="446"/>
      <c r="CE278" s="446"/>
      <c r="CF278" s="446"/>
      <c r="CG278" s="446"/>
      <c r="CH278" s="446"/>
      <c r="CI278" s="446"/>
      <c r="CJ278" s="446"/>
      <c r="CK278" s="446"/>
      <c r="CL278" s="446"/>
      <c r="CM278" s="446"/>
      <c r="CN278" s="446"/>
      <c r="CO278" s="446"/>
      <c r="CP278" s="446"/>
      <c r="CQ278" s="446"/>
      <c r="CR278" s="446"/>
      <c r="CS278" s="446"/>
      <c r="CT278" s="446"/>
      <c r="CU278" s="446"/>
      <c r="CV278" s="446"/>
      <c r="CW278" s="233"/>
      <c r="CX278" s="446"/>
      <c r="CY278" s="446"/>
      <c r="CZ278" s="446"/>
      <c r="DA278" s="446"/>
      <c r="DB278" s="446"/>
      <c r="DC278" s="446"/>
      <c r="DD278" s="446"/>
      <c r="DE278" s="446"/>
      <c r="DF278" s="446"/>
      <c r="DG278" s="446"/>
      <c r="DH278" s="446"/>
      <c r="DI278" s="446"/>
      <c r="DJ278" s="446"/>
      <c r="DK278" s="446"/>
      <c r="DL278" s="446"/>
      <c r="DM278" s="446"/>
      <c r="DN278" s="446"/>
      <c r="DO278" s="446"/>
      <c r="DP278" s="446"/>
      <c r="DQ278" s="446"/>
      <c r="DR278" s="446"/>
      <c r="DS278" s="446"/>
      <c r="DT278" s="446"/>
      <c r="DU278" s="446"/>
      <c r="DV278" s="446"/>
      <c r="DW278" s="446"/>
      <c r="DX278" s="446"/>
      <c r="DY278" s="446"/>
      <c r="DZ278" s="283"/>
    </row>
    <row r="279" spans="2:130" s="223" customFormat="1" ht="14.25" customHeight="1" x14ac:dyDescent="0.2">
      <c r="D279" s="856"/>
      <c r="E279" s="856"/>
      <c r="F279" s="856"/>
      <c r="G279" s="856"/>
      <c r="H279" s="856"/>
      <c r="I279" s="856"/>
      <c r="J279" s="856"/>
      <c r="K279" s="856"/>
      <c r="L279" s="856"/>
      <c r="M279" s="856"/>
      <c r="N279" s="857"/>
      <c r="O279" s="856"/>
      <c r="P279" s="856"/>
      <c r="Q279" s="858"/>
      <c r="R279" s="858"/>
      <c r="S279" s="859"/>
      <c r="T279" s="856"/>
      <c r="U279" s="856"/>
      <c r="V279" s="856"/>
      <c r="W279" s="856"/>
      <c r="X279" s="856"/>
      <c r="Y279" s="355"/>
      <c r="AB279" s="446"/>
      <c r="AC279" s="446"/>
      <c r="AD279" s="562"/>
      <c r="AE279" s="446"/>
      <c r="AF279" s="446"/>
      <c r="AG279" s="446"/>
      <c r="AH279" s="446"/>
      <c r="AI279" s="446"/>
      <c r="AJ279" s="446"/>
      <c r="AK279" s="446"/>
      <c r="AL279" s="446"/>
      <c r="AM279" s="446"/>
      <c r="AN279" s="446"/>
      <c r="AO279" s="446"/>
      <c r="AP279" s="446"/>
      <c r="AQ279" s="446"/>
      <c r="AR279" s="446"/>
      <c r="AS279" s="446"/>
      <c r="AT279" s="446"/>
      <c r="AU279" s="446"/>
      <c r="AV279" s="446"/>
      <c r="AW279" s="446"/>
      <c r="AX279" s="446"/>
      <c r="AY279" s="446"/>
      <c r="AZ279" s="446"/>
      <c r="BA279" s="446"/>
      <c r="BB279" s="446"/>
      <c r="BC279" s="446"/>
      <c r="BD279" s="446"/>
      <c r="BE279" s="446"/>
      <c r="BF279" s="446"/>
      <c r="BG279" s="446"/>
      <c r="BH279" s="446"/>
      <c r="BI279" s="446"/>
      <c r="BJ279" s="446"/>
      <c r="BK279" s="446"/>
      <c r="BL279" s="446"/>
      <c r="BM279" s="446"/>
      <c r="BN279" s="446"/>
      <c r="BO279" s="446"/>
      <c r="BP279" s="446"/>
      <c r="BQ279" s="446"/>
      <c r="BR279" s="446"/>
      <c r="BS279" s="446"/>
      <c r="BT279" s="446"/>
      <c r="BU279" s="562"/>
      <c r="BV279" s="446"/>
      <c r="BW279" s="446"/>
      <c r="BX279" s="446"/>
      <c r="BY279" s="446"/>
      <c r="BZ279" s="446"/>
      <c r="CA279" s="446"/>
      <c r="CB279" s="446"/>
      <c r="CC279" s="446"/>
      <c r="CD279" s="446"/>
      <c r="CE279" s="446"/>
      <c r="CF279" s="446"/>
      <c r="CG279" s="446"/>
      <c r="CH279" s="446"/>
      <c r="CI279" s="446"/>
      <c r="CJ279" s="446"/>
      <c r="CK279" s="446"/>
      <c r="CL279" s="446"/>
      <c r="CM279" s="446"/>
      <c r="CN279" s="446"/>
      <c r="CO279" s="446"/>
      <c r="CP279" s="446"/>
      <c r="CQ279" s="446"/>
      <c r="CR279" s="446"/>
      <c r="CS279" s="446"/>
      <c r="CT279" s="446"/>
      <c r="CU279" s="446"/>
      <c r="CV279" s="446"/>
      <c r="CW279" s="233"/>
      <c r="CX279" s="446"/>
      <c r="CY279" s="446"/>
      <c r="CZ279" s="446"/>
      <c r="DA279" s="446"/>
      <c r="DB279" s="446"/>
      <c r="DC279" s="446"/>
      <c r="DD279" s="446"/>
      <c r="DE279" s="446"/>
      <c r="DF279" s="446"/>
      <c r="DG279" s="446"/>
      <c r="DH279" s="446"/>
      <c r="DI279" s="446"/>
      <c r="DJ279" s="446"/>
      <c r="DK279" s="446"/>
      <c r="DL279" s="446"/>
      <c r="DM279" s="446"/>
      <c r="DN279" s="446"/>
      <c r="DO279" s="446"/>
      <c r="DP279" s="446"/>
      <c r="DQ279" s="446"/>
      <c r="DR279" s="446"/>
      <c r="DS279" s="446"/>
      <c r="DT279" s="446"/>
      <c r="DU279" s="446"/>
      <c r="DV279" s="446"/>
      <c r="DW279" s="446"/>
      <c r="DX279" s="446"/>
      <c r="DY279" s="446"/>
      <c r="DZ279" s="283"/>
    </row>
    <row r="280" spans="2:130" s="223" customFormat="1" ht="14.25" customHeight="1" x14ac:dyDescent="0.2">
      <c r="D280" s="856"/>
      <c r="E280" s="856"/>
      <c r="F280" s="856"/>
      <c r="G280" s="856"/>
      <c r="H280" s="856"/>
      <c r="I280" s="856"/>
      <c r="J280" s="856"/>
      <c r="K280" s="856"/>
      <c r="L280" s="856"/>
      <c r="M280" s="856"/>
      <c r="N280" s="857"/>
      <c r="O280" s="856"/>
      <c r="P280" s="856"/>
      <c r="Q280" s="858"/>
      <c r="R280" s="858"/>
      <c r="S280" s="859"/>
      <c r="T280" s="856"/>
      <c r="U280" s="856"/>
      <c r="V280" s="856"/>
      <c r="W280" s="856"/>
      <c r="X280" s="856"/>
      <c r="Y280" s="355"/>
      <c r="AB280" s="446"/>
      <c r="AC280" s="446"/>
      <c r="AD280" s="562"/>
      <c r="AE280" s="446"/>
      <c r="AF280" s="446"/>
      <c r="AG280" s="446"/>
      <c r="AH280" s="446"/>
      <c r="AI280" s="446"/>
      <c r="AJ280" s="446"/>
      <c r="AK280" s="446"/>
      <c r="AL280" s="446"/>
      <c r="AM280" s="446"/>
      <c r="AN280" s="446"/>
      <c r="AO280" s="446"/>
      <c r="AP280" s="446"/>
      <c r="AQ280" s="446"/>
      <c r="AR280" s="446"/>
      <c r="AS280" s="446"/>
      <c r="AT280" s="446"/>
      <c r="AU280" s="446"/>
      <c r="AV280" s="446"/>
      <c r="AW280" s="446"/>
      <c r="AX280" s="446"/>
      <c r="AY280" s="446"/>
      <c r="AZ280" s="446"/>
      <c r="BA280" s="446"/>
      <c r="BB280" s="446"/>
      <c r="BC280" s="446"/>
      <c r="BD280" s="446"/>
      <c r="BE280" s="446"/>
      <c r="BF280" s="446"/>
      <c r="BG280" s="446"/>
      <c r="BH280" s="446"/>
      <c r="BI280" s="446"/>
      <c r="BJ280" s="446"/>
      <c r="BK280" s="446"/>
      <c r="BL280" s="446"/>
      <c r="BM280" s="446"/>
      <c r="BN280" s="446"/>
      <c r="BO280" s="446"/>
      <c r="BP280" s="446"/>
      <c r="BQ280" s="446"/>
      <c r="BR280" s="446"/>
      <c r="BS280" s="446"/>
      <c r="BT280" s="446"/>
      <c r="BU280" s="562"/>
      <c r="BV280" s="446"/>
      <c r="BW280" s="446"/>
      <c r="BX280" s="446"/>
      <c r="BY280" s="446"/>
      <c r="BZ280" s="446"/>
      <c r="CA280" s="446"/>
      <c r="CB280" s="446"/>
      <c r="CC280" s="446"/>
      <c r="CD280" s="446"/>
      <c r="CE280" s="446"/>
      <c r="CF280" s="446"/>
      <c r="CG280" s="446"/>
      <c r="CH280" s="446"/>
      <c r="CI280" s="446"/>
      <c r="CJ280" s="446"/>
      <c r="CK280" s="446"/>
      <c r="CL280" s="446"/>
      <c r="CM280" s="446"/>
      <c r="CN280" s="446"/>
      <c r="CO280" s="446"/>
      <c r="CP280" s="446"/>
      <c r="CQ280" s="446"/>
      <c r="CR280" s="446"/>
      <c r="CS280" s="446"/>
      <c r="CT280" s="446"/>
      <c r="CU280" s="446"/>
      <c r="CV280" s="446"/>
      <c r="CW280" s="233"/>
      <c r="CX280" s="446"/>
      <c r="CY280" s="446"/>
      <c r="CZ280" s="446"/>
      <c r="DA280" s="446"/>
      <c r="DB280" s="446"/>
      <c r="DC280" s="446"/>
      <c r="DD280" s="446"/>
      <c r="DE280" s="446"/>
      <c r="DF280" s="446"/>
      <c r="DG280" s="446"/>
      <c r="DH280" s="446"/>
      <c r="DI280" s="446"/>
      <c r="DJ280" s="446"/>
      <c r="DK280" s="446"/>
      <c r="DL280" s="446"/>
      <c r="DM280" s="446"/>
      <c r="DN280" s="446"/>
      <c r="DO280" s="446"/>
      <c r="DP280" s="446"/>
      <c r="DQ280" s="446"/>
      <c r="DR280" s="446"/>
      <c r="DS280" s="446"/>
      <c r="DT280" s="446"/>
      <c r="DU280" s="446"/>
      <c r="DV280" s="446"/>
      <c r="DW280" s="446"/>
      <c r="DX280" s="446"/>
      <c r="DY280" s="446"/>
      <c r="DZ280" s="283"/>
    </row>
    <row r="281" spans="2:130" s="223" customFormat="1" ht="14.25" customHeight="1" x14ac:dyDescent="0.2">
      <c r="D281" s="856"/>
      <c r="E281" s="856"/>
      <c r="F281" s="856"/>
      <c r="G281" s="856"/>
      <c r="H281" s="856"/>
      <c r="I281" s="856"/>
      <c r="J281" s="856"/>
      <c r="K281" s="856"/>
      <c r="L281" s="856"/>
      <c r="M281" s="856"/>
      <c r="N281" s="857"/>
      <c r="O281" s="856"/>
      <c r="P281" s="856"/>
      <c r="Q281" s="858"/>
      <c r="R281" s="858"/>
      <c r="S281" s="859"/>
      <c r="T281" s="856"/>
      <c r="U281" s="856"/>
      <c r="V281" s="856"/>
      <c r="W281" s="856"/>
      <c r="X281" s="856"/>
      <c r="Y281" s="355"/>
      <c r="AB281" s="446"/>
      <c r="AC281" s="446"/>
      <c r="AD281" s="562"/>
      <c r="AE281" s="446"/>
      <c r="AF281" s="446"/>
      <c r="AG281" s="446"/>
      <c r="AH281" s="446"/>
      <c r="AI281" s="446"/>
      <c r="AJ281" s="446"/>
      <c r="AK281" s="446"/>
      <c r="AL281" s="446"/>
      <c r="AM281" s="446"/>
      <c r="AN281" s="446"/>
      <c r="AO281" s="446"/>
      <c r="AP281" s="446"/>
      <c r="AQ281" s="446"/>
      <c r="AR281" s="446"/>
      <c r="AS281" s="446"/>
      <c r="AT281" s="446"/>
      <c r="AU281" s="446"/>
      <c r="AV281" s="446"/>
      <c r="AW281" s="446"/>
      <c r="AX281" s="446"/>
      <c r="AY281" s="446"/>
      <c r="AZ281" s="446"/>
      <c r="BA281" s="446"/>
      <c r="BB281" s="446"/>
      <c r="BC281" s="446"/>
      <c r="BD281" s="446"/>
      <c r="BE281" s="446"/>
      <c r="BF281" s="446"/>
      <c r="BG281" s="446"/>
      <c r="BH281" s="446"/>
      <c r="BI281" s="446"/>
      <c r="BJ281" s="446"/>
      <c r="BK281" s="446"/>
      <c r="BL281" s="446"/>
      <c r="BM281" s="446"/>
      <c r="BN281" s="446"/>
      <c r="BO281" s="446"/>
      <c r="BP281" s="446"/>
      <c r="BQ281" s="446"/>
      <c r="BR281" s="446"/>
      <c r="BS281" s="446"/>
      <c r="BT281" s="446"/>
      <c r="BU281" s="562"/>
      <c r="BV281" s="446"/>
      <c r="BW281" s="446"/>
      <c r="BX281" s="446"/>
      <c r="BY281" s="446"/>
      <c r="BZ281" s="446"/>
      <c r="CA281" s="446"/>
      <c r="CB281" s="446"/>
      <c r="CC281" s="446"/>
      <c r="CD281" s="446"/>
      <c r="CE281" s="446"/>
      <c r="CF281" s="446"/>
      <c r="CG281" s="446"/>
      <c r="CH281" s="446"/>
      <c r="CI281" s="446"/>
      <c r="CJ281" s="446"/>
      <c r="CK281" s="446"/>
      <c r="CL281" s="446"/>
      <c r="CM281" s="446"/>
      <c r="CN281" s="446"/>
      <c r="CO281" s="446"/>
      <c r="CP281" s="446"/>
      <c r="CQ281" s="446"/>
      <c r="CR281" s="446"/>
      <c r="CS281" s="446"/>
      <c r="CT281" s="446"/>
      <c r="CU281" s="446"/>
      <c r="CV281" s="446"/>
      <c r="CW281" s="233"/>
      <c r="CX281" s="446"/>
      <c r="CY281" s="446"/>
      <c r="CZ281" s="446"/>
      <c r="DA281" s="446"/>
      <c r="DB281" s="446"/>
      <c r="DC281" s="446"/>
      <c r="DD281" s="446"/>
      <c r="DE281" s="446"/>
      <c r="DF281" s="446"/>
      <c r="DG281" s="446"/>
      <c r="DH281" s="446"/>
      <c r="DI281" s="446"/>
      <c r="DJ281" s="446"/>
      <c r="DK281" s="446"/>
      <c r="DL281" s="446"/>
      <c r="DM281" s="446"/>
      <c r="DN281" s="446"/>
      <c r="DO281" s="446"/>
      <c r="DP281" s="446"/>
      <c r="DQ281" s="446"/>
      <c r="DR281" s="446"/>
      <c r="DS281" s="446"/>
      <c r="DT281" s="446"/>
      <c r="DU281" s="446"/>
      <c r="DV281" s="446"/>
      <c r="DW281" s="446"/>
      <c r="DX281" s="446"/>
      <c r="DY281" s="446"/>
      <c r="DZ281" s="283"/>
    </row>
    <row r="282" spans="2:130" s="223" customFormat="1" ht="14.25" customHeight="1" x14ac:dyDescent="0.2">
      <c r="D282" s="856"/>
      <c r="E282" s="856"/>
      <c r="F282" s="856"/>
      <c r="G282" s="856"/>
      <c r="H282" s="856"/>
      <c r="I282" s="856"/>
      <c r="J282" s="856"/>
      <c r="K282" s="856"/>
      <c r="L282" s="856"/>
      <c r="M282" s="856"/>
      <c r="N282" s="857"/>
      <c r="O282" s="856"/>
      <c r="P282" s="856"/>
      <c r="Q282" s="858"/>
      <c r="R282" s="858"/>
      <c r="S282" s="859"/>
      <c r="T282" s="856"/>
      <c r="U282" s="856"/>
      <c r="V282" s="856"/>
      <c r="W282" s="856"/>
      <c r="X282" s="856"/>
      <c r="Y282" s="355"/>
      <c r="AB282" s="446"/>
      <c r="AC282" s="446"/>
      <c r="AD282" s="562"/>
      <c r="AE282" s="446"/>
      <c r="AF282" s="446"/>
      <c r="AG282" s="446"/>
      <c r="AH282" s="446"/>
      <c r="AI282" s="446"/>
      <c r="AJ282" s="446"/>
      <c r="AK282" s="446"/>
      <c r="AL282" s="446"/>
      <c r="AM282" s="446"/>
      <c r="AN282" s="446"/>
      <c r="AO282" s="446"/>
      <c r="AP282" s="446"/>
      <c r="AQ282" s="446"/>
      <c r="AR282" s="446"/>
      <c r="AS282" s="446"/>
      <c r="AT282" s="446"/>
      <c r="AU282" s="446"/>
      <c r="AV282" s="446"/>
      <c r="AW282" s="446"/>
      <c r="AX282" s="446"/>
      <c r="AY282" s="446"/>
      <c r="AZ282" s="446"/>
      <c r="BA282" s="446"/>
      <c r="BB282" s="446"/>
      <c r="BC282" s="446"/>
      <c r="BD282" s="446"/>
      <c r="BE282" s="446"/>
      <c r="BF282" s="446"/>
      <c r="BG282" s="446"/>
      <c r="BH282" s="446"/>
      <c r="BI282" s="446"/>
      <c r="BJ282" s="446"/>
      <c r="BK282" s="446"/>
      <c r="BL282" s="446"/>
      <c r="BM282" s="446"/>
      <c r="BN282" s="446"/>
      <c r="BO282" s="446"/>
      <c r="BP282" s="446"/>
      <c r="BQ282" s="446"/>
      <c r="BR282" s="446"/>
      <c r="BS282" s="446"/>
      <c r="BT282" s="446"/>
      <c r="BU282" s="562"/>
      <c r="BV282" s="446"/>
      <c r="BW282" s="446"/>
      <c r="BX282" s="446"/>
      <c r="BY282" s="446"/>
      <c r="BZ282" s="446"/>
      <c r="CA282" s="446"/>
      <c r="CB282" s="446"/>
      <c r="CC282" s="446"/>
      <c r="CD282" s="446"/>
      <c r="CE282" s="446"/>
      <c r="CF282" s="446"/>
      <c r="CG282" s="446"/>
      <c r="CH282" s="446"/>
      <c r="CI282" s="446"/>
      <c r="CJ282" s="446"/>
      <c r="CK282" s="446"/>
      <c r="CL282" s="446"/>
      <c r="CM282" s="446"/>
      <c r="CN282" s="446"/>
      <c r="CO282" s="446"/>
      <c r="CP282" s="446"/>
      <c r="CQ282" s="446"/>
      <c r="CR282" s="446"/>
      <c r="CS282" s="446"/>
      <c r="CT282" s="446"/>
      <c r="CU282" s="446"/>
      <c r="CV282" s="446"/>
      <c r="CW282" s="233"/>
      <c r="CX282" s="446"/>
      <c r="CY282" s="446"/>
      <c r="CZ282" s="446"/>
      <c r="DA282" s="446"/>
      <c r="DB282" s="446"/>
      <c r="DC282" s="446"/>
      <c r="DD282" s="446"/>
      <c r="DE282" s="446"/>
      <c r="DF282" s="446"/>
      <c r="DG282" s="446"/>
      <c r="DH282" s="446"/>
      <c r="DI282" s="446"/>
      <c r="DJ282" s="446"/>
      <c r="DK282" s="446"/>
      <c r="DL282" s="446"/>
      <c r="DM282" s="446"/>
      <c r="DN282" s="446"/>
      <c r="DO282" s="446"/>
      <c r="DP282" s="446"/>
      <c r="DQ282" s="446"/>
      <c r="DR282" s="446"/>
      <c r="DS282" s="446"/>
      <c r="DT282" s="446"/>
      <c r="DU282" s="446"/>
      <c r="DV282" s="446"/>
      <c r="DW282" s="446"/>
      <c r="DX282" s="446"/>
      <c r="DY282" s="446"/>
      <c r="DZ282" s="283"/>
    </row>
    <row r="283" spans="2:130" s="223" customFormat="1" ht="14.25" customHeight="1" x14ac:dyDescent="0.2">
      <c r="D283" s="856"/>
      <c r="E283" s="856"/>
      <c r="F283" s="856"/>
      <c r="G283" s="856"/>
      <c r="H283" s="856"/>
      <c r="I283" s="856"/>
      <c r="J283" s="856"/>
      <c r="K283" s="856"/>
      <c r="L283" s="856"/>
      <c r="M283" s="856"/>
      <c r="N283" s="857"/>
      <c r="O283" s="856"/>
      <c r="P283" s="856"/>
      <c r="Q283" s="858"/>
      <c r="R283" s="858"/>
      <c r="S283" s="859"/>
      <c r="T283" s="856"/>
      <c r="U283" s="856"/>
      <c r="V283" s="856"/>
      <c r="W283" s="856"/>
      <c r="X283" s="856"/>
      <c r="Y283" s="355"/>
      <c r="AB283" s="446"/>
      <c r="AC283" s="446"/>
      <c r="AD283" s="562"/>
      <c r="AE283" s="446"/>
      <c r="AF283" s="446"/>
      <c r="AG283" s="446"/>
      <c r="AH283" s="446"/>
      <c r="AI283" s="446"/>
      <c r="AJ283" s="446"/>
      <c r="AK283" s="446"/>
      <c r="AL283" s="446"/>
      <c r="AM283" s="446"/>
      <c r="AN283" s="446"/>
      <c r="AO283" s="446"/>
      <c r="AP283" s="446"/>
      <c r="AQ283" s="446"/>
      <c r="AR283" s="446"/>
      <c r="AS283" s="446"/>
      <c r="AT283" s="446"/>
      <c r="AU283" s="446"/>
      <c r="AV283" s="446"/>
      <c r="AW283" s="446"/>
      <c r="AX283" s="446"/>
      <c r="AY283" s="446"/>
      <c r="AZ283" s="446"/>
      <c r="BA283" s="446"/>
      <c r="BB283" s="446"/>
      <c r="BC283" s="446"/>
      <c r="BD283" s="446"/>
      <c r="BE283" s="446"/>
      <c r="BF283" s="446"/>
      <c r="BG283" s="446"/>
      <c r="BH283" s="446"/>
      <c r="BI283" s="446"/>
      <c r="BJ283" s="446"/>
      <c r="BK283" s="446"/>
      <c r="BL283" s="446"/>
      <c r="BM283" s="446"/>
      <c r="BN283" s="446"/>
      <c r="BO283" s="446"/>
      <c r="BP283" s="446"/>
      <c r="BQ283" s="446"/>
      <c r="BR283" s="446"/>
      <c r="BS283" s="446"/>
      <c r="BT283" s="446"/>
      <c r="BU283" s="562"/>
      <c r="BV283" s="446"/>
      <c r="BW283" s="446"/>
      <c r="BX283" s="446"/>
      <c r="BY283" s="446"/>
      <c r="BZ283" s="446"/>
      <c r="CA283" s="446"/>
      <c r="CB283" s="446"/>
      <c r="CC283" s="446"/>
      <c r="CD283" s="446"/>
      <c r="CE283" s="446"/>
      <c r="CF283" s="446"/>
      <c r="CG283" s="446"/>
      <c r="CH283" s="446"/>
      <c r="CI283" s="446"/>
      <c r="CJ283" s="446"/>
      <c r="CK283" s="446"/>
      <c r="CL283" s="446"/>
      <c r="CM283" s="446"/>
      <c r="CN283" s="446"/>
      <c r="CO283" s="446"/>
      <c r="CP283" s="446"/>
      <c r="CQ283" s="446"/>
      <c r="CR283" s="446"/>
      <c r="CS283" s="446"/>
      <c r="CT283" s="446"/>
      <c r="CU283" s="446"/>
      <c r="CV283" s="446"/>
      <c r="CW283" s="233"/>
      <c r="CX283" s="446"/>
      <c r="CY283" s="446"/>
      <c r="CZ283" s="446"/>
      <c r="DA283" s="446"/>
      <c r="DB283" s="446"/>
      <c r="DC283" s="446"/>
      <c r="DD283" s="446"/>
      <c r="DE283" s="446"/>
      <c r="DF283" s="446"/>
      <c r="DG283" s="446"/>
      <c r="DH283" s="446"/>
      <c r="DI283" s="446"/>
      <c r="DJ283" s="446"/>
      <c r="DK283" s="446"/>
      <c r="DL283" s="446"/>
      <c r="DM283" s="446"/>
      <c r="DN283" s="446"/>
      <c r="DO283" s="446"/>
      <c r="DP283" s="446"/>
      <c r="DQ283" s="446"/>
      <c r="DR283" s="446"/>
      <c r="DS283" s="446"/>
      <c r="DT283" s="446"/>
      <c r="DU283" s="446"/>
      <c r="DV283" s="446"/>
      <c r="DW283" s="446"/>
      <c r="DX283" s="446"/>
      <c r="DY283" s="446"/>
      <c r="DZ283" s="283"/>
    </row>
    <row r="284" spans="2:130" s="223" customFormat="1" ht="14.25" customHeight="1" x14ac:dyDescent="0.2">
      <c r="D284" s="856"/>
      <c r="E284" s="856"/>
      <c r="F284" s="856"/>
      <c r="G284" s="856"/>
      <c r="H284" s="856"/>
      <c r="I284" s="856"/>
      <c r="J284" s="856"/>
      <c r="K284" s="856"/>
      <c r="L284" s="856"/>
      <c r="M284" s="856"/>
      <c r="N284" s="857"/>
      <c r="O284" s="856"/>
      <c r="P284" s="856"/>
      <c r="Q284" s="858"/>
      <c r="R284" s="858"/>
      <c r="S284" s="859"/>
      <c r="T284" s="856"/>
      <c r="U284" s="856"/>
      <c r="V284" s="856"/>
      <c r="W284" s="856"/>
      <c r="X284" s="856"/>
      <c r="Y284" s="355"/>
      <c r="AB284" s="446"/>
      <c r="AC284" s="446"/>
      <c r="AD284" s="562"/>
      <c r="AE284" s="446"/>
      <c r="AF284" s="446"/>
      <c r="AG284" s="446"/>
      <c r="AH284" s="446"/>
      <c r="AI284" s="446"/>
      <c r="AJ284" s="446"/>
      <c r="AK284" s="446"/>
      <c r="AL284" s="446"/>
      <c r="AM284" s="446"/>
      <c r="AN284" s="446"/>
      <c r="AO284" s="446"/>
      <c r="AP284" s="446"/>
      <c r="AQ284" s="446"/>
      <c r="AR284" s="446"/>
      <c r="AS284" s="446"/>
      <c r="AT284" s="446"/>
      <c r="AU284" s="446"/>
      <c r="AV284" s="446"/>
      <c r="AW284" s="446"/>
      <c r="AX284" s="446"/>
      <c r="AY284" s="446"/>
      <c r="AZ284" s="446"/>
      <c r="BA284" s="446"/>
      <c r="BB284" s="446"/>
      <c r="BC284" s="446"/>
      <c r="BD284" s="446"/>
      <c r="BE284" s="446"/>
      <c r="BF284" s="446"/>
      <c r="BG284" s="446"/>
      <c r="BH284" s="446"/>
      <c r="BI284" s="446"/>
      <c r="BJ284" s="446"/>
      <c r="BK284" s="446"/>
      <c r="BL284" s="446"/>
      <c r="BM284" s="446"/>
      <c r="BN284" s="446"/>
      <c r="BO284" s="446"/>
      <c r="BP284" s="446"/>
      <c r="BQ284" s="446"/>
      <c r="BR284" s="446"/>
      <c r="BS284" s="446"/>
      <c r="BT284" s="446"/>
      <c r="BU284" s="562"/>
      <c r="BV284" s="446"/>
      <c r="BW284" s="446"/>
      <c r="BX284" s="446"/>
      <c r="BY284" s="446"/>
      <c r="BZ284" s="446"/>
      <c r="CA284" s="446"/>
      <c r="CB284" s="446"/>
      <c r="CC284" s="446"/>
      <c r="CD284" s="446"/>
      <c r="CE284" s="446"/>
      <c r="CF284" s="446"/>
      <c r="CG284" s="446"/>
      <c r="CH284" s="446"/>
      <c r="CI284" s="446"/>
      <c r="CJ284" s="446"/>
      <c r="CK284" s="446"/>
      <c r="CL284" s="446"/>
      <c r="CM284" s="446"/>
      <c r="CN284" s="446"/>
      <c r="CO284" s="446"/>
      <c r="CP284" s="446"/>
      <c r="CQ284" s="446"/>
      <c r="CR284" s="446"/>
      <c r="CS284" s="446"/>
      <c r="CT284" s="446"/>
      <c r="CU284" s="446"/>
      <c r="CV284" s="446"/>
      <c r="CW284" s="233"/>
      <c r="CX284" s="446"/>
      <c r="CY284" s="446"/>
      <c r="CZ284" s="446"/>
      <c r="DA284" s="446"/>
      <c r="DB284" s="446"/>
      <c r="DC284" s="446"/>
      <c r="DD284" s="446"/>
      <c r="DE284" s="446"/>
      <c r="DF284" s="446"/>
      <c r="DG284" s="446"/>
      <c r="DH284" s="446"/>
      <c r="DI284" s="446"/>
      <c r="DJ284" s="446"/>
      <c r="DK284" s="446"/>
      <c r="DL284" s="446"/>
      <c r="DM284" s="446"/>
      <c r="DN284" s="446"/>
      <c r="DO284" s="446"/>
      <c r="DP284" s="446"/>
      <c r="DQ284" s="446"/>
      <c r="DR284" s="446"/>
      <c r="DS284" s="446"/>
      <c r="DT284" s="446"/>
      <c r="DU284" s="446"/>
      <c r="DV284" s="446"/>
      <c r="DW284" s="446"/>
      <c r="DX284" s="446"/>
      <c r="DY284" s="446"/>
      <c r="DZ284" s="283"/>
    </row>
    <row r="285" spans="2:130" s="223" customFormat="1" ht="14.25" customHeight="1" x14ac:dyDescent="0.2">
      <c r="D285" s="856"/>
      <c r="E285" s="856"/>
      <c r="F285" s="856"/>
      <c r="G285" s="856"/>
      <c r="H285" s="856"/>
      <c r="I285" s="856"/>
      <c r="J285" s="856"/>
      <c r="K285" s="856"/>
      <c r="L285" s="856"/>
      <c r="M285" s="856"/>
      <c r="N285" s="857"/>
      <c r="O285" s="856"/>
      <c r="P285" s="856"/>
      <c r="Q285" s="858"/>
      <c r="R285" s="858"/>
      <c r="S285" s="859"/>
      <c r="T285" s="856"/>
      <c r="U285" s="856"/>
      <c r="V285" s="856"/>
      <c r="W285" s="856"/>
      <c r="X285" s="856"/>
      <c r="Y285" s="355"/>
      <c r="AB285" s="446"/>
      <c r="AC285" s="446"/>
      <c r="AD285" s="562"/>
      <c r="AE285" s="446"/>
      <c r="AF285" s="446"/>
      <c r="AG285" s="446"/>
      <c r="AH285" s="446"/>
      <c r="AI285" s="446"/>
      <c r="AJ285" s="446"/>
      <c r="AK285" s="446"/>
      <c r="AL285" s="446"/>
      <c r="AM285" s="446"/>
      <c r="AN285" s="446"/>
      <c r="AO285" s="446"/>
      <c r="AP285" s="446"/>
      <c r="AQ285" s="446"/>
      <c r="AR285" s="446"/>
      <c r="AS285" s="446"/>
      <c r="AT285" s="446"/>
      <c r="AU285" s="446"/>
      <c r="AV285" s="446"/>
      <c r="AW285" s="446"/>
      <c r="AX285" s="446"/>
      <c r="AY285" s="446"/>
      <c r="AZ285" s="446"/>
      <c r="BA285" s="446"/>
      <c r="BB285" s="446"/>
      <c r="BC285" s="446"/>
      <c r="BD285" s="446"/>
      <c r="BE285" s="446"/>
      <c r="BF285" s="446"/>
      <c r="BG285" s="446"/>
      <c r="BH285" s="446"/>
      <c r="BI285" s="446"/>
      <c r="BJ285" s="446"/>
      <c r="BK285" s="446"/>
      <c r="BL285" s="446"/>
      <c r="BM285" s="446"/>
      <c r="BN285" s="446"/>
      <c r="BO285" s="446"/>
      <c r="BP285" s="446"/>
      <c r="BQ285" s="446"/>
      <c r="BR285" s="446"/>
      <c r="BS285" s="446"/>
      <c r="BT285" s="446"/>
      <c r="BU285" s="562"/>
      <c r="BV285" s="446"/>
      <c r="BW285" s="446"/>
      <c r="BX285" s="446"/>
      <c r="BY285" s="446"/>
      <c r="BZ285" s="446"/>
      <c r="CA285" s="446"/>
      <c r="CB285" s="446"/>
      <c r="CC285" s="446"/>
      <c r="CD285" s="446"/>
      <c r="CE285" s="446"/>
      <c r="CF285" s="446"/>
      <c r="CG285" s="446"/>
      <c r="CH285" s="446"/>
      <c r="CI285" s="446"/>
      <c r="CJ285" s="446"/>
      <c r="CK285" s="446"/>
      <c r="CL285" s="446"/>
      <c r="CM285" s="446"/>
      <c r="CN285" s="446"/>
      <c r="CO285" s="446"/>
      <c r="CP285" s="446"/>
      <c r="CQ285" s="446"/>
      <c r="CR285" s="446"/>
      <c r="CS285" s="446"/>
      <c r="CT285" s="446"/>
      <c r="CU285" s="446"/>
      <c r="CV285" s="446"/>
      <c r="CW285" s="233"/>
      <c r="CX285" s="446"/>
      <c r="CY285" s="446"/>
      <c r="CZ285" s="446"/>
      <c r="DA285" s="446"/>
      <c r="DB285" s="446"/>
      <c r="DC285" s="446"/>
      <c r="DD285" s="446"/>
      <c r="DE285" s="446"/>
      <c r="DF285" s="446"/>
      <c r="DG285" s="446"/>
      <c r="DH285" s="446"/>
      <c r="DI285" s="446"/>
      <c r="DJ285" s="446"/>
      <c r="DK285" s="446"/>
      <c r="DL285" s="446"/>
      <c r="DM285" s="446"/>
      <c r="DN285" s="446"/>
      <c r="DO285" s="446"/>
      <c r="DP285" s="446"/>
      <c r="DQ285" s="446"/>
      <c r="DR285" s="446"/>
      <c r="DS285" s="446"/>
      <c r="DT285" s="446"/>
      <c r="DU285" s="446"/>
      <c r="DV285" s="446"/>
      <c r="DW285" s="446"/>
      <c r="DX285" s="446"/>
      <c r="DY285" s="446"/>
      <c r="DZ285" s="283"/>
    </row>
    <row r="286" spans="2:130" s="223" customFormat="1" ht="14.25" customHeight="1" x14ac:dyDescent="0.2">
      <c r="D286" s="856"/>
      <c r="E286" s="856"/>
      <c r="F286" s="856"/>
      <c r="G286" s="856"/>
      <c r="H286" s="856"/>
      <c r="I286" s="856"/>
      <c r="J286" s="856"/>
      <c r="K286" s="856"/>
      <c r="L286" s="856"/>
      <c r="M286" s="856"/>
      <c r="N286" s="857"/>
      <c r="O286" s="856"/>
      <c r="P286" s="856"/>
      <c r="Q286" s="858"/>
      <c r="R286" s="858"/>
      <c r="S286" s="859"/>
      <c r="T286" s="856"/>
      <c r="U286" s="856"/>
      <c r="V286" s="856"/>
      <c r="W286" s="856"/>
      <c r="X286" s="856"/>
      <c r="Y286" s="355"/>
      <c r="AB286" s="446"/>
      <c r="AC286" s="446"/>
      <c r="AD286" s="562"/>
      <c r="AE286" s="446"/>
      <c r="AF286" s="446"/>
      <c r="AG286" s="446"/>
      <c r="AH286" s="446"/>
      <c r="AI286" s="446"/>
      <c r="AJ286" s="446"/>
      <c r="AK286" s="446"/>
      <c r="AL286" s="446"/>
      <c r="AM286" s="446"/>
      <c r="AN286" s="446"/>
      <c r="AO286" s="446"/>
      <c r="AP286" s="446"/>
      <c r="AQ286" s="446"/>
      <c r="AR286" s="446"/>
      <c r="AS286" s="446"/>
      <c r="AT286" s="446"/>
      <c r="AU286" s="446"/>
      <c r="AV286" s="446"/>
      <c r="AW286" s="446"/>
      <c r="AX286" s="446"/>
      <c r="AY286" s="446"/>
      <c r="AZ286" s="446"/>
      <c r="BA286" s="446"/>
      <c r="BB286" s="446"/>
      <c r="BC286" s="446"/>
      <c r="BD286" s="446"/>
      <c r="BE286" s="446"/>
      <c r="BF286" s="446"/>
      <c r="BG286" s="446"/>
      <c r="BH286" s="446"/>
      <c r="BI286" s="446"/>
      <c r="BJ286" s="446"/>
      <c r="BK286" s="446"/>
      <c r="BL286" s="446"/>
      <c r="BM286" s="446"/>
      <c r="BN286" s="446"/>
      <c r="BO286" s="446"/>
      <c r="BP286" s="446"/>
      <c r="BQ286" s="446"/>
      <c r="BR286" s="446"/>
      <c r="BS286" s="446"/>
      <c r="BT286" s="446"/>
      <c r="BU286" s="562"/>
      <c r="BV286" s="446"/>
      <c r="BW286" s="446"/>
      <c r="BX286" s="446"/>
      <c r="BY286" s="446"/>
      <c r="BZ286" s="446"/>
      <c r="CA286" s="446"/>
      <c r="CB286" s="446"/>
      <c r="CC286" s="446"/>
      <c r="CD286" s="446"/>
      <c r="CE286" s="446"/>
      <c r="CF286" s="446"/>
      <c r="CG286" s="446"/>
      <c r="CH286" s="446"/>
      <c r="CI286" s="446"/>
      <c r="CJ286" s="446"/>
      <c r="CK286" s="446"/>
      <c r="CL286" s="446"/>
      <c r="CM286" s="446"/>
      <c r="CN286" s="446"/>
      <c r="CO286" s="446"/>
      <c r="CP286" s="446"/>
      <c r="CQ286" s="446"/>
      <c r="CR286" s="446"/>
      <c r="CS286" s="446"/>
      <c r="CT286" s="446"/>
      <c r="CU286" s="446"/>
      <c r="CV286" s="446"/>
      <c r="CW286" s="233"/>
      <c r="CX286" s="446"/>
      <c r="CY286" s="446"/>
      <c r="CZ286" s="446"/>
      <c r="DA286" s="446"/>
      <c r="DB286" s="446"/>
      <c r="DC286" s="446"/>
      <c r="DD286" s="446"/>
      <c r="DE286" s="446"/>
      <c r="DF286" s="446"/>
      <c r="DG286" s="446"/>
      <c r="DH286" s="446"/>
      <c r="DI286" s="446"/>
      <c r="DJ286" s="446"/>
      <c r="DK286" s="446"/>
      <c r="DL286" s="446"/>
      <c r="DM286" s="446"/>
      <c r="DN286" s="446"/>
      <c r="DO286" s="446"/>
      <c r="DP286" s="446"/>
      <c r="DQ286" s="446"/>
      <c r="DR286" s="446"/>
      <c r="DS286" s="446"/>
      <c r="DT286" s="446"/>
      <c r="DU286" s="446"/>
      <c r="DV286" s="446"/>
      <c r="DW286" s="446"/>
      <c r="DX286" s="446"/>
      <c r="DY286" s="446"/>
      <c r="DZ286" s="283"/>
    </row>
    <row r="287" spans="2:130" s="223" customFormat="1" ht="14.25" customHeight="1" x14ac:dyDescent="0.2">
      <c r="D287" s="856"/>
      <c r="E287" s="856"/>
      <c r="F287" s="856"/>
      <c r="G287" s="856"/>
      <c r="H287" s="856"/>
      <c r="I287" s="856"/>
      <c r="J287" s="856"/>
      <c r="K287" s="856"/>
      <c r="L287" s="856"/>
      <c r="M287" s="856"/>
      <c r="N287" s="857"/>
      <c r="O287" s="856"/>
      <c r="P287" s="856"/>
      <c r="Q287" s="858"/>
      <c r="R287" s="858"/>
      <c r="S287" s="859"/>
      <c r="T287" s="856"/>
      <c r="U287" s="856"/>
      <c r="V287" s="856"/>
      <c r="W287" s="856"/>
      <c r="X287" s="856"/>
      <c r="Y287" s="355"/>
      <c r="AB287" s="446"/>
      <c r="AC287" s="446"/>
      <c r="AD287" s="562"/>
      <c r="AE287" s="446"/>
      <c r="AF287" s="446"/>
      <c r="AG287" s="446"/>
      <c r="AH287" s="446"/>
      <c r="AI287" s="446"/>
      <c r="AJ287" s="446"/>
      <c r="AK287" s="446"/>
      <c r="AL287" s="446"/>
      <c r="AM287" s="446"/>
      <c r="AN287" s="446"/>
      <c r="AO287" s="446"/>
      <c r="AP287" s="446"/>
      <c r="AQ287" s="446"/>
      <c r="AR287" s="446"/>
      <c r="AS287" s="446"/>
      <c r="AT287" s="446"/>
      <c r="AU287" s="446"/>
      <c r="AV287" s="446"/>
      <c r="AW287" s="446"/>
      <c r="AX287" s="446"/>
      <c r="AY287" s="446"/>
      <c r="AZ287" s="446"/>
      <c r="BA287" s="446"/>
      <c r="BB287" s="446"/>
      <c r="BC287" s="446"/>
      <c r="BD287" s="446"/>
      <c r="BE287" s="446"/>
      <c r="BF287" s="446"/>
      <c r="BG287" s="446"/>
      <c r="BH287" s="446"/>
      <c r="BI287" s="446"/>
      <c r="BJ287" s="446"/>
      <c r="BK287" s="446"/>
      <c r="BL287" s="446"/>
      <c r="BM287" s="446"/>
      <c r="BN287" s="446"/>
      <c r="BO287" s="446"/>
      <c r="BP287" s="446"/>
      <c r="BQ287" s="446"/>
      <c r="BR287" s="446"/>
      <c r="BS287" s="446"/>
      <c r="BT287" s="446"/>
      <c r="BU287" s="562"/>
      <c r="BV287" s="446"/>
      <c r="BW287" s="446"/>
      <c r="BX287" s="446"/>
      <c r="BY287" s="446"/>
      <c r="BZ287" s="446"/>
      <c r="CA287" s="446"/>
      <c r="CB287" s="446"/>
      <c r="CC287" s="446"/>
      <c r="CD287" s="446"/>
      <c r="CE287" s="446"/>
      <c r="CF287" s="446"/>
      <c r="CG287" s="446"/>
      <c r="CH287" s="446"/>
      <c r="CI287" s="446"/>
      <c r="CJ287" s="446"/>
      <c r="CK287" s="446"/>
      <c r="CL287" s="446"/>
      <c r="CM287" s="446"/>
      <c r="CN287" s="446"/>
      <c r="CO287" s="446"/>
      <c r="CP287" s="446"/>
      <c r="CQ287" s="446"/>
      <c r="CR287" s="446"/>
      <c r="CS287" s="446"/>
      <c r="CT287" s="446"/>
      <c r="CU287" s="446"/>
      <c r="CV287" s="446"/>
      <c r="CW287" s="233"/>
      <c r="CX287" s="446"/>
      <c r="CY287" s="446"/>
      <c r="CZ287" s="446"/>
      <c r="DA287" s="446"/>
      <c r="DB287" s="446"/>
      <c r="DC287" s="446"/>
      <c r="DD287" s="446"/>
      <c r="DE287" s="446"/>
      <c r="DF287" s="446"/>
      <c r="DG287" s="446"/>
      <c r="DH287" s="446"/>
      <c r="DI287" s="446"/>
      <c r="DJ287" s="446"/>
      <c r="DK287" s="446"/>
      <c r="DL287" s="446"/>
      <c r="DM287" s="446"/>
      <c r="DN287" s="446"/>
      <c r="DO287" s="446"/>
      <c r="DP287" s="446"/>
      <c r="DQ287" s="446"/>
      <c r="DR287" s="446"/>
      <c r="DS287" s="446"/>
      <c r="DT287" s="446"/>
      <c r="DU287" s="446"/>
      <c r="DV287" s="446"/>
      <c r="DW287" s="446"/>
      <c r="DX287" s="446"/>
      <c r="DY287" s="446"/>
      <c r="DZ287" s="283"/>
    </row>
    <row r="288" spans="2:130" s="223" customFormat="1" ht="14.25" customHeight="1" x14ac:dyDescent="0.2">
      <c r="D288" s="856"/>
      <c r="E288" s="856"/>
      <c r="F288" s="856"/>
      <c r="G288" s="856"/>
      <c r="H288" s="856"/>
      <c r="I288" s="856"/>
      <c r="J288" s="856"/>
      <c r="K288" s="856"/>
      <c r="L288" s="856"/>
      <c r="M288" s="856"/>
      <c r="N288" s="857"/>
      <c r="O288" s="856"/>
      <c r="P288" s="856"/>
      <c r="Q288" s="858"/>
      <c r="R288" s="858"/>
      <c r="S288" s="859"/>
      <c r="T288" s="856"/>
      <c r="U288" s="856"/>
      <c r="V288" s="856"/>
      <c r="W288" s="856"/>
      <c r="X288" s="856"/>
      <c r="Y288" s="355"/>
      <c r="AB288" s="446"/>
      <c r="AC288" s="446"/>
      <c r="AD288" s="562"/>
      <c r="AE288" s="446"/>
      <c r="AF288" s="446"/>
      <c r="AG288" s="446"/>
      <c r="AH288" s="446"/>
      <c r="AI288" s="446"/>
      <c r="AJ288" s="446"/>
      <c r="AK288" s="446"/>
      <c r="AL288" s="446"/>
      <c r="AM288" s="446"/>
      <c r="AN288" s="446"/>
      <c r="AO288" s="446"/>
      <c r="AP288" s="446"/>
      <c r="AQ288" s="446"/>
      <c r="AR288" s="446"/>
      <c r="AS288" s="446"/>
      <c r="AT288" s="446"/>
      <c r="AU288" s="446"/>
      <c r="AV288" s="446"/>
      <c r="AW288" s="446"/>
      <c r="AX288" s="446"/>
      <c r="AY288" s="446"/>
      <c r="AZ288" s="446"/>
      <c r="BA288" s="446"/>
      <c r="BB288" s="446"/>
      <c r="BC288" s="446"/>
      <c r="BD288" s="446"/>
      <c r="BE288" s="446"/>
      <c r="BF288" s="446"/>
      <c r="BG288" s="446"/>
      <c r="BH288" s="446"/>
      <c r="BI288" s="446"/>
      <c r="BJ288" s="446"/>
      <c r="BK288" s="446"/>
      <c r="BL288" s="446"/>
      <c r="BM288" s="446"/>
      <c r="BN288" s="446"/>
      <c r="BO288" s="446"/>
      <c r="BP288" s="446"/>
      <c r="BQ288" s="446"/>
      <c r="BR288" s="446"/>
      <c r="BS288" s="446"/>
      <c r="BT288" s="446"/>
      <c r="BU288" s="562"/>
      <c r="BV288" s="446"/>
      <c r="BW288" s="446"/>
      <c r="BX288" s="446"/>
      <c r="BY288" s="446"/>
      <c r="BZ288" s="446"/>
      <c r="CA288" s="446"/>
      <c r="CB288" s="446"/>
      <c r="CC288" s="446"/>
      <c r="CD288" s="446"/>
      <c r="CE288" s="446"/>
      <c r="CF288" s="446"/>
      <c r="CG288" s="446"/>
      <c r="CH288" s="446"/>
      <c r="CI288" s="446"/>
      <c r="CJ288" s="446"/>
      <c r="CK288" s="446"/>
      <c r="CL288" s="446"/>
      <c r="CM288" s="446"/>
      <c r="CN288" s="446"/>
      <c r="CO288" s="446"/>
      <c r="CP288" s="446"/>
      <c r="CQ288" s="446"/>
      <c r="CR288" s="446"/>
      <c r="CS288" s="446"/>
      <c r="CT288" s="446"/>
      <c r="CU288" s="446"/>
      <c r="CV288" s="446"/>
      <c r="CW288" s="233"/>
      <c r="CX288" s="446"/>
      <c r="CY288" s="446"/>
      <c r="CZ288" s="446"/>
      <c r="DA288" s="446"/>
      <c r="DB288" s="446"/>
      <c r="DC288" s="446"/>
      <c r="DD288" s="446"/>
      <c r="DE288" s="446"/>
      <c r="DF288" s="446"/>
      <c r="DG288" s="446"/>
      <c r="DH288" s="446"/>
      <c r="DI288" s="446"/>
      <c r="DJ288" s="446"/>
      <c r="DK288" s="446"/>
      <c r="DL288" s="446"/>
      <c r="DM288" s="446"/>
      <c r="DN288" s="446"/>
      <c r="DO288" s="446"/>
      <c r="DP288" s="446"/>
      <c r="DQ288" s="446"/>
      <c r="DR288" s="446"/>
      <c r="DS288" s="446"/>
      <c r="DT288" s="446"/>
      <c r="DU288" s="446"/>
      <c r="DV288" s="446"/>
      <c r="DW288" s="446"/>
      <c r="DX288" s="446"/>
      <c r="DY288" s="446"/>
      <c r="DZ288" s="283"/>
    </row>
    <row r="289" spans="4:130" s="223" customFormat="1" ht="14.25" customHeight="1" x14ac:dyDescent="0.2">
      <c r="D289" s="856"/>
      <c r="E289" s="856"/>
      <c r="F289" s="856"/>
      <c r="G289" s="856"/>
      <c r="H289" s="856"/>
      <c r="I289" s="856"/>
      <c r="J289" s="856"/>
      <c r="K289" s="856"/>
      <c r="L289" s="856"/>
      <c r="M289" s="856"/>
      <c r="N289" s="857"/>
      <c r="O289" s="856"/>
      <c r="P289" s="856"/>
      <c r="Q289" s="858"/>
      <c r="R289" s="858"/>
      <c r="S289" s="859"/>
      <c r="T289" s="856"/>
      <c r="U289" s="856"/>
      <c r="V289" s="856"/>
      <c r="W289" s="856"/>
      <c r="X289" s="856"/>
      <c r="Y289" s="355"/>
      <c r="AB289" s="446"/>
      <c r="AC289" s="446"/>
      <c r="AD289" s="562"/>
      <c r="AE289" s="446"/>
      <c r="AF289" s="446"/>
      <c r="AG289" s="446"/>
      <c r="AH289" s="446"/>
      <c r="AI289" s="446"/>
      <c r="AJ289" s="446"/>
      <c r="AK289" s="446"/>
      <c r="AL289" s="446"/>
      <c r="AM289" s="446"/>
      <c r="AN289" s="446"/>
      <c r="AO289" s="446"/>
      <c r="AP289" s="446"/>
      <c r="AQ289" s="446"/>
      <c r="AR289" s="446"/>
      <c r="AS289" s="446"/>
      <c r="AT289" s="446"/>
      <c r="AU289" s="446"/>
      <c r="AV289" s="446"/>
      <c r="AW289" s="446"/>
      <c r="AX289" s="446"/>
      <c r="AY289" s="446"/>
      <c r="AZ289" s="446"/>
      <c r="BA289" s="446"/>
      <c r="BB289" s="446"/>
      <c r="BC289" s="446"/>
      <c r="BD289" s="446"/>
      <c r="BE289" s="446"/>
      <c r="BF289" s="446"/>
      <c r="BG289" s="446"/>
      <c r="BH289" s="446"/>
      <c r="BI289" s="446"/>
      <c r="BJ289" s="446"/>
      <c r="BK289" s="446"/>
      <c r="BL289" s="446"/>
      <c r="BM289" s="446"/>
      <c r="BN289" s="446"/>
      <c r="BO289" s="446"/>
      <c r="BP289" s="446"/>
      <c r="BQ289" s="446"/>
      <c r="BR289" s="446"/>
      <c r="BS289" s="446"/>
      <c r="BT289" s="446"/>
      <c r="BU289" s="562"/>
      <c r="BV289" s="446"/>
      <c r="BW289" s="446"/>
      <c r="BX289" s="446"/>
      <c r="BY289" s="446"/>
      <c r="BZ289" s="446"/>
      <c r="CA289" s="446"/>
      <c r="CB289" s="446"/>
      <c r="CC289" s="446"/>
      <c r="CD289" s="446"/>
      <c r="CE289" s="446"/>
      <c r="CF289" s="446"/>
      <c r="CG289" s="446"/>
      <c r="CH289" s="446"/>
      <c r="CI289" s="446"/>
      <c r="CJ289" s="446"/>
      <c r="CK289" s="446"/>
      <c r="CL289" s="446"/>
      <c r="CM289" s="446"/>
      <c r="CN289" s="446"/>
      <c r="CO289" s="446"/>
      <c r="CP289" s="446"/>
      <c r="CQ289" s="446"/>
      <c r="CR289" s="446"/>
      <c r="CS289" s="446"/>
      <c r="CT289" s="446"/>
      <c r="CU289" s="446"/>
      <c r="CV289" s="446"/>
      <c r="CW289" s="233"/>
      <c r="CX289" s="446"/>
      <c r="CY289" s="446"/>
      <c r="CZ289" s="446"/>
      <c r="DA289" s="446"/>
      <c r="DB289" s="446"/>
      <c r="DC289" s="446"/>
      <c r="DD289" s="446"/>
      <c r="DE289" s="446"/>
      <c r="DF289" s="446"/>
      <c r="DG289" s="446"/>
      <c r="DH289" s="446"/>
      <c r="DI289" s="446"/>
      <c r="DJ289" s="446"/>
      <c r="DK289" s="446"/>
      <c r="DL289" s="446"/>
      <c r="DM289" s="446"/>
      <c r="DN289" s="446"/>
      <c r="DO289" s="446"/>
      <c r="DP289" s="446"/>
      <c r="DQ289" s="446"/>
      <c r="DR289" s="446"/>
      <c r="DS289" s="446"/>
      <c r="DT289" s="446"/>
      <c r="DU289" s="446"/>
      <c r="DV289" s="446"/>
      <c r="DW289" s="446"/>
      <c r="DX289" s="446"/>
      <c r="DY289" s="446"/>
      <c r="DZ289" s="283"/>
    </row>
    <row r="290" spans="4:130" s="223" customFormat="1" ht="14.25" customHeight="1" x14ac:dyDescent="0.2">
      <c r="D290" s="856"/>
      <c r="E290" s="856"/>
      <c r="F290" s="856"/>
      <c r="G290" s="856"/>
      <c r="H290" s="856"/>
      <c r="I290" s="856"/>
      <c r="J290" s="856"/>
      <c r="K290" s="856"/>
      <c r="L290" s="856"/>
      <c r="M290" s="856"/>
      <c r="N290" s="857"/>
      <c r="O290" s="856"/>
      <c r="P290" s="856"/>
      <c r="Q290" s="858"/>
      <c r="R290" s="858"/>
      <c r="S290" s="859"/>
      <c r="T290" s="856"/>
      <c r="U290" s="856"/>
      <c r="V290" s="856"/>
      <c r="W290" s="856"/>
      <c r="X290" s="856"/>
      <c r="Y290" s="355"/>
      <c r="AB290" s="446"/>
      <c r="AC290" s="446"/>
      <c r="AD290" s="562"/>
      <c r="AE290" s="446"/>
      <c r="AF290" s="446"/>
      <c r="AG290" s="446"/>
      <c r="AH290" s="446"/>
      <c r="AI290" s="446"/>
      <c r="AJ290" s="446"/>
      <c r="AK290" s="446"/>
      <c r="AL290" s="446"/>
      <c r="AM290" s="446"/>
      <c r="AN290" s="446"/>
      <c r="AO290" s="446"/>
      <c r="AP290" s="446"/>
      <c r="AQ290" s="446"/>
      <c r="AR290" s="446"/>
      <c r="AS290" s="446"/>
      <c r="AT290" s="446"/>
      <c r="AU290" s="446"/>
      <c r="AV290" s="446"/>
      <c r="AW290" s="446"/>
      <c r="AX290" s="446"/>
      <c r="AY290" s="446"/>
      <c r="AZ290" s="446"/>
      <c r="BA290" s="446"/>
      <c r="BB290" s="446"/>
      <c r="BC290" s="446"/>
      <c r="BD290" s="446"/>
      <c r="BE290" s="446"/>
      <c r="BF290" s="446"/>
      <c r="BG290" s="446"/>
      <c r="BH290" s="446"/>
      <c r="BI290" s="446"/>
      <c r="BJ290" s="446"/>
      <c r="BK290" s="446"/>
      <c r="BL290" s="446"/>
      <c r="BM290" s="446"/>
      <c r="BN290" s="446"/>
      <c r="BO290" s="446"/>
      <c r="BP290" s="446"/>
      <c r="BQ290" s="446"/>
      <c r="BR290" s="446"/>
      <c r="BS290" s="446"/>
      <c r="BT290" s="446"/>
      <c r="BU290" s="562"/>
      <c r="BV290" s="446"/>
      <c r="BW290" s="446"/>
      <c r="BX290" s="446"/>
      <c r="BY290" s="446"/>
      <c r="BZ290" s="446"/>
      <c r="CA290" s="446"/>
      <c r="CB290" s="446"/>
      <c r="CC290" s="446"/>
      <c r="CD290" s="446"/>
      <c r="CE290" s="446"/>
      <c r="CF290" s="446"/>
      <c r="CG290" s="446"/>
      <c r="CH290" s="446"/>
      <c r="CI290" s="446"/>
      <c r="CJ290" s="446"/>
      <c r="CK290" s="446"/>
      <c r="CL290" s="446"/>
      <c r="CM290" s="446"/>
      <c r="CN290" s="446"/>
      <c r="CO290" s="446"/>
      <c r="CP290" s="446"/>
      <c r="CQ290" s="446"/>
      <c r="CR290" s="446"/>
      <c r="CS290" s="446"/>
      <c r="CT290" s="446"/>
      <c r="CU290" s="446"/>
      <c r="CV290" s="446"/>
      <c r="CW290" s="233"/>
      <c r="CX290" s="446"/>
      <c r="CY290" s="446"/>
      <c r="CZ290" s="446"/>
      <c r="DA290" s="446"/>
      <c r="DB290" s="446"/>
      <c r="DC290" s="446"/>
      <c r="DD290" s="446"/>
      <c r="DE290" s="446"/>
      <c r="DF290" s="446"/>
      <c r="DG290" s="446"/>
      <c r="DH290" s="446"/>
      <c r="DI290" s="446"/>
      <c r="DJ290" s="446"/>
      <c r="DK290" s="446"/>
      <c r="DL290" s="446"/>
      <c r="DM290" s="446"/>
      <c r="DN290" s="446"/>
      <c r="DO290" s="446"/>
      <c r="DP290" s="446"/>
      <c r="DQ290" s="446"/>
      <c r="DR290" s="446"/>
      <c r="DS290" s="446"/>
      <c r="DT290" s="446"/>
      <c r="DU290" s="446"/>
      <c r="DV290" s="446"/>
      <c r="DW290" s="446"/>
      <c r="DX290" s="446"/>
      <c r="DY290" s="446"/>
      <c r="DZ290" s="283"/>
    </row>
    <row r="291" spans="4:130" s="223" customFormat="1" ht="14.25" customHeight="1" x14ac:dyDescent="0.2">
      <c r="D291" s="856"/>
      <c r="E291" s="856"/>
      <c r="F291" s="856"/>
      <c r="G291" s="856"/>
      <c r="H291" s="856"/>
      <c r="I291" s="856"/>
      <c r="J291" s="856"/>
      <c r="K291" s="856"/>
      <c r="L291" s="856"/>
      <c r="M291" s="856"/>
      <c r="N291" s="857"/>
      <c r="O291" s="856"/>
      <c r="P291" s="856"/>
      <c r="Q291" s="858"/>
      <c r="R291" s="858"/>
      <c r="S291" s="859"/>
      <c r="T291" s="856"/>
      <c r="U291" s="856"/>
      <c r="V291" s="856"/>
      <c r="W291" s="856"/>
      <c r="X291" s="856"/>
      <c r="Y291" s="355"/>
      <c r="AB291" s="446"/>
      <c r="AC291" s="446"/>
      <c r="AD291" s="562"/>
      <c r="AE291" s="446"/>
      <c r="AF291" s="446"/>
      <c r="AG291" s="446"/>
      <c r="AH291" s="446"/>
      <c r="AI291" s="446"/>
      <c r="AJ291" s="446"/>
      <c r="AK291" s="446"/>
      <c r="AL291" s="446"/>
      <c r="AM291" s="446"/>
      <c r="AN291" s="446"/>
      <c r="AO291" s="446"/>
      <c r="AP291" s="446"/>
      <c r="AQ291" s="446"/>
      <c r="AR291" s="446"/>
      <c r="AS291" s="446"/>
      <c r="AT291" s="446"/>
      <c r="AU291" s="446"/>
      <c r="AV291" s="446"/>
      <c r="AW291" s="446"/>
      <c r="AX291" s="446"/>
      <c r="AY291" s="446"/>
      <c r="AZ291" s="446"/>
      <c r="BA291" s="446"/>
      <c r="BB291" s="446"/>
      <c r="BC291" s="446"/>
      <c r="BD291" s="446"/>
      <c r="BE291" s="446"/>
      <c r="BF291" s="446"/>
      <c r="BG291" s="446"/>
      <c r="BH291" s="446"/>
      <c r="BI291" s="446"/>
      <c r="BJ291" s="446"/>
      <c r="BK291" s="446"/>
      <c r="BL291" s="446"/>
      <c r="BM291" s="446"/>
      <c r="BN291" s="446"/>
      <c r="BO291" s="446"/>
      <c r="BP291" s="446"/>
      <c r="BQ291" s="446"/>
      <c r="BR291" s="446"/>
      <c r="BS291" s="446"/>
      <c r="BT291" s="446"/>
      <c r="BU291" s="562"/>
      <c r="BV291" s="446"/>
      <c r="BW291" s="446"/>
      <c r="BX291" s="446"/>
      <c r="BY291" s="446"/>
      <c r="BZ291" s="446"/>
      <c r="CA291" s="446"/>
      <c r="CB291" s="446"/>
      <c r="CC291" s="446"/>
      <c r="CD291" s="446"/>
      <c r="CE291" s="446"/>
      <c r="CF291" s="446"/>
      <c r="CG291" s="446"/>
      <c r="CH291" s="446"/>
      <c r="CI291" s="446"/>
      <c r="CJ291" s="446"/>
      <c r="CK291" s="446"/>
      <c r="CL291" s="446"/>
      <c r="CM291" s="446"/>
      <c r="CN291" s="446"/>
      <c r="CO291" s="446"/>
      <c r="CP291" s="446"/>
      <c r="CQ291" s="446"/>
      <c r="CR291" s="446"/>
      <c r="CS291" s="446"/>
      <c r="CT291" s="446"/>
      <c r="CU291" s="446"/>
      <c r="CV291" s="446"/>
      <c r="CW291" s="233"/>
      <c r="CX291" s="446"/>
      <c r="CY291" s="446"/>
      <c r="CZ291" s="446"/>
      <c r="DA291" s="446"/>
      <c r="DB291" s="446"/>
      <c r="DC291" s="446"/>
      <c r="DD291" s="446"/>
      <c r="DE291" s="446"/>
      <c r="DF291" s="446"/>
      <c r="DG291" s="446"/>
      <c r="DH291" s="446"/>
      <c r="DI291" s="446"/>
      <c r="DJ291" s="446"/>
      <c r="DK291" s="446"/>
      <c r="DL291" s="446"/>
      <c r="DM291" s="446"/>
      <c r="DN291" s="446"/>
      <c r="DO291" s="446"/>
      <c r="DP291" s="446"/>
      <c r="DQ291" s="446"/>
      <c r="DR291" s="446"/>
      <c r="DS291" s="446"/>
      <c r="DT291" s="446"/>
      <c r="DU291" s="446"/>
      <c r="DV291" s="446"/>
      <c r="DW291" s="446"/>
      <c r="DX291" s="446"/>
      <c r="DY291" s="446"/>
      <c r="DZ291" s="283"/>
    </row>
    <row r="292" spans="4:130" s="223" customFormat="1" ht="14.25" customHeight="1" x14ac:dyDescent="0.2">
      <c r="D292" s="856"/>
      <c r="E292" s="856"/>
      <c r="F292" s="856"/>
      <c r="G292" s="856"/>
      <c r="H292" s="856"/>
      <c r="I292" s="856"/>
      <c r="J292" s="856"/>
      <c r="K292" s="856"/>
      <c r="L292" s="856"/>
      <c r="M292" s="856"/>
      <c r="N292" s="857"/>
      <c r="O292" s="856"/>
      <c r="P292" s="856"/>
      <c r="Q292" s="858"/>
      <c r="R292" s="858"/>
      <c r="S292" s="859"/>
      <c r="T292" s="856"/>
      <c r="U292" s="856"/>
      <c r="V292" s="856"/>
      <c r="W292" s="856"/>
      <c r="X292" s="856"/>
      <c r="Y292" s="355"/>
      <c r="AB292" s="446"/>
      <c r="AC292" s="446"/>
      <c r="AD292" s="562"/>
      <c r="AE292" s="446"/>
      <c r="AF292" s="446"/>
      <c r="AG292" s="446"/>
      <c r="AH292" s="446"/>
      <c r="AI292" s="446"/>
      <c r="AJ292" s="446"/>
      <c r="AK292" s="446"/>
      <c r="AL292" s="446"/>
      <c r="AM292" s="446"/>
      <c r="AN292" s="446"/>
      <c r="AO292" s="446"/>
      <c r="AP292" s="446"/>
      <c r="AQ292" s="446"/>
      <c r="AR292" s="446"/>
      <c r="AS292" s="446"/>
      <c r="AT292" s="446"/>
      <c r="AU292" s="446"/>
      <c r="AV292" s="446"/>
      <c r="AW292" s="446"/>
      <c r="AX292" s="446"/>
      <c r="AY292" s="446"/>
      <c r="AZ292" s="446"/>
      <c r="BA292" s="446"/>
      <c r="BB292" s="446"/>
      <c r="BC292" s="446"/>
      <c r="BD292" s="446"/>
      <c r="BE292" s="446"/>
      <c r="BF292" s="446"/>
      <c r="BG292" s="446"/>
      <c r="BH292" s="446"/>
      <c r="BI292" s="446"/>
      <c r="BJ292" s="446"/>
      <c r="BK292" s="446"/>
      <c r="BL292" s="446"/>
      <c r="BM292" s="446"/>
      <c r="BN292" s="446"/>
      <c r="BO292" s="446"/>
      <c r="BP292" s="446"/>
      <c r="BQ292" s="446"/>
      <c r="BR292" s="446"/>
      <c r="BS292" s="446"/>
      <c r="BT292" s="446"/>
      <c r="BU292" s="562"/>
      <c r="BV292" s="446"/>
      <c r="BW292" s="446"/>
      <c r="BX292" s="446"/>
      <c r="BY292" s="446"/>
      <c r="BZ292" s="446"/>
      <c r="CA292" s="446"/>
      <c r="CB292" s="446"/>
      <c r="CC292" s="446"/>
      <c r="CD292" s="446"/>
      <c r="CE292" s="446"/>
      <c r="CF292" s="446"/>
      <c r="CG292" s="446"/>
      <c r="CH292" s="446"/>
      <c r="CI292" s="446"/>
      <c r="CJ292" s="446"/>
      <c r="CK292" s="446"/>
      <c r="CL292" s="446"/>
      <c r="CM292" s="446"/>
      <c r="CN292" s="446"/>
      <c r="CO292" s="446"/>
      <c r="CP292" s="446"/>
      <c r="CQ292" s="446"/>
      <c r="CR292" s="446"/>
      <c r="CS292" s="446"/>
      <c r="CT292" s="446"/>
      <c r="CU292" s="446"/>
      <c r="CV292" s="446"/>
      <c r="CW292" s="233"/>
      <c r="CX292" s="446"/>
      <c r="CY292" s="446"/>
      <c r="CZ292" s="446"/>
      <c r="DA292" s="446"/>
      <c r="DB292" s="446"/>
      <c r="DC292" s="446"/>
      <c r="DD292" s="446"/>
      <c r="DE292" s="446"/>
      <c r="DF292" s="446"/>
      <c r="DG292" s="446"/>
      <c r="DH292" s="446"/>
      <c r="DI292" s="446"/>
      <c r="DJ292" s="446"/>
      <c r="DK292" s="446"/>
      <c r="DL292" s="446"/>
      <c r="DM292" s="446"/>
      <c r="DN292" s="446"/>
      <c r="DO292" s="446"/>
      <c r="DP292" s="446"/>
      <c r="DQ292" s="446"/>
      <c r="DR292" s="446"/>
      <c r="DS292" s="446"/>
      <c r="DT292" s="446"/>
      <c r="DU292" s="446"/>
      <c r="DV292" s="446"/>
      <c r="DW292" s="446"/>
      <c r="DX292" s="446"/>
      <c r="DY292" s="446"/>
      <c r="DZ292" s="283"/>
    </row>
    <row r="293" spans="4:130" s="223" customFormat="1" ht="14.25" customHeight="1" x14ac:dyDescent="0.2">
      <c r="D293" s="856"/>
      <c r="E293" s="856"/>
      <c r="F293" s="856"/>
      <c r="G293" s="856"/>
      <c r="H293" s="856"/>
      <c r="I293" s="856"/>
      <c r="J293" s="856"/>
      <c r="K293" s="856"/>
      <c r="L293" s="856"/>
      <c r="M293" s="856"/>
      <c r="N293" s="857"/>
      <c r="O293" s="856"/>
      <c r="P293" s="856"/>
      <c r="Q293" s="858"/>
      <c r="R293" s="858"/>
      <c r="S293" s="859"/>
      <c r="T293" s="856"/>
      <c r="U293" s="856"/>
      <c r="V293" s="856"/>
      <c r="W293" s="856"/>
      <c r="X293" s="856"/>
      <c r="Y293" s="355"/>
      <c r="AB293" s="446"/>
      <c r="AC293" s="446"/>
      <c r="AD293" s="562"/>
      <c r="AE293" s="446"/>
      <c r="AF293" s="446"/>
      <c r="AG293" s="446"/>
      <c r="AH293" s="446"/>
      <c r="AI293" s="446"/>
      <c r="AJ293" s="446"/>
      <c r="AK293" s="446"/>
      <c r="AL293" s="446"/>
      <c r="AM293" s="446"/>
      <c r="AN293" s="446"/>
      <c r="AO293" s="446"/>
      <c r="AP293" s="446"/>
      <c r="AQ293" s="446"/>
      <c r="AR293" s="446"/>
      <c r="AS293" s="446"/>
      <c r="AT293" s="446"/>
      <c r="AU293" s="446"/>
      <c r="AV293" s="446"/>
      <c r="AW293" s="446"/>
      <c r="AX293" s="446"/>
      <c r="AY293" s="446"/>
      <c r="AZ293" s="446"/>
      <c r="BA293" s="446"/>
      <c r="BB293" s="446"/>
      <c r="BC293" s="446"/>
      <c r="BD293" s="446"/>
      <c r="BE293" s="446"/>
      <c r="BF293" s="446"/>
      <c r="BG293" s="446"/>
      <c r="BH293" s="446"/>
      <c r="BI293" s="446"/>
      <c r="BJ293" s="446"/>
      <c r="BK293" s="446"/>
      <c r="BL293" s="446"/>
      <c r="BM293" s="446"/>
      <c r="BN293" s="446"/>
      <c r="BO293" s="446"/>
      <c r="BP293" s="446"/>
      <c r="BQ293" s="446"/>
      <c r="BR293" s="446"/>
      <c r="BS293" s="446"/>
      <c r="BT293" s="446"/>
      <c r="BU293" s="562"/>
      <c r="BV293" s="446"/>
      <c r="BW293" s="446"/>
      <c r="BX293" s="446"/>
      <c r="BY293" s="446"/>
      <c r="BZ293" s="446"/>
      <c r="CA293" s="446"/>
      <c r="CB293" s="446"/>
      <c r="CC293" s="446"/>
      <c r="CD293" s="446"/>
      <c r="CE293" s="446"/>
      <c r="CF293" s="446"/>
      <c r="CG293" s="446"/>
      <c r="CH293" s="446"/>
      <c r="CI293" s="446"/>
      <c r="CJ293" s="446"/>
      <c r="CK293" s="446"/>
      <c r="CL293" s="446"/>
      <c r="CM293" s="446"/>
      <c r="CN293" s="446"/>
      <c r="CO293" s="446"/>
      <c r="CP293" s="446"/>
      <c r="CQ293" s="446"/>
      <c r="CR293" s="446"/>
      <c r="CS293" s="446"/>
      <c r="CT293" s="446"/>
      <c r="CU293" s="446"/>
      <c r="CV293" s="446"/>
      <c r="CW293" s="233"/>
      <c r="CX293" s="446"/>
      <c r="CY293" s="446"/>
      <c r="CZ293" s="446"/>
      <c r="DA293" s="446"/>
      <c r="DB293" s="446"/>
      <c r="DC293" s="446"/>
      <c r="DD293" s="446"/>
      <c r="DE293" s="446"/>
      <c r="DF293" s="446"/>
      <c r="DG293" s="446"/>
      <c r="DH293" s="446"/>
      <c r="DI293" s="446"/>
      <c r="DJ293" s="446"/>
      <c r="DK293" s="446"/>
      <c r="DL293" s="446"/>
      <c r="DM293" s="446"/>
      <c r="DN293" s="446"/>
      <c r="DO293" s="446"/>
      <c r="DP293" s="446"/>
      <c r="DQ293" s="446"/>
      <c r="DR293" s="446"/>
      <c r="DS293" s="446"/>
      <c r="DT293" s="446"/>
      <c r="DU293" s="446"/>
      <c r="DV293" s="446"/>
      <c r="DW293" s="446"/>
      <c r="DX293" s="446"/>
      <c r="DY293" s="446"/>
      <c r="DZ293" s="283"/>
    </row>
    <row r="294" spans="4:130" s="223" customFormat="1" ht="14.25" customHeight="1" x14ac:dyDescent="0.2">
      <c r="D294" s="856"/>
      <c r="E294" s="856"/>
      <c r="F294" s="856"/>
      <c r="G294" s="856"/>
      <c r="H294" s="856"/>
      <c r="I294" s="856"/>
      <c r="J294" s="856"/>
      <c r="K294" s="856"/>
      <c r="L294" s="856"/>
      <c r="M294" s="856"/>
      <c r="N294" s="857"/>
      <c r="O294" s="856"/>
      <c r="P294" s="856"/>
      <c r="Q294" s="858"/>
      <c r="R294" s="858"/>
      <c r="S294" s="859"/>
      <c r="T294" s="856"/>
      <c r="U294" s="856"/>
      <c r="V294" s="856"/>
      <c r="W294" s="856"/>
      <c r="X294" s="856"/>
      <c r="Y294" s="355"/>
      <c r="AB294" s="446"/>
      <c r="AC294" s="446"/>
      <c r="AD294" s="562"/>
      <c r="AE294" s="446"/>
      <c r="AF294" s="446"/>
      <c r="AG294" s="446"/>
      <c r="AH294" s="446"/>
      <c r="AI294" s="446"/>
      <c r="AJ294" s="446"/>
      <c r="AK294" s="446"/>
      <c r="AL294" s="446"/>
      <c r="AM294" s="446"/>
      <c r="AN294" s="446"/>
      <c r="AO294" s="446"/>
      <c r="AP294" s="446"/>
      <c r="AQ294" s="446"/>
      <c r="AR294" s="446"/>
      <c r="AS294" s="446"/>
      <c r="AT294" s="446"/>
      <c r="AU294" s="446"/>
      <c r="AV294" s="446"/>
      <c r="AW294" s="446"/>
      <c r="AX294" s="446"/>
      <c r="AY294" s="446"/>
      <c r="AZ294" s="446"/>
      <c r="BA294" s="446"/>
      <c r="BB294" s="446"/>
      <c r="BC294" s="446"/>
      <c r="BD294" s="446"/>
      <c r="BE294" s="446"/>
      <c r="BF294" s="446"/>
      <c r="BG294" s="446"/>
      <c r="BH294" s="446"/>
      <c r="BI294" s="446"/>
      <c r="BJ294" s="446"/>
      <c r="BK294" s="446"/>
      <c r="BL294" s="446"/>
      <c r="BM294" s="446"/>
      <c r="BN294" s="446"/>
      <c r="BO294" s="446"/>
      <c r="BP294" s="446"/>
      <c r="BQ294" s="446"/>
      <c r="BR294" s="446"/>
      <c r="BS294" s="446"/>
      <c r="BT294" s="446"/>
      <c r="BU294" s="562"/>
      <c r="BV294" s="446"/>
      <c r="BW294" s="446"/>
      <c r="BX294" s="446"/>
      <c r="BY294" s="446"/>
      <c r="BZ294" s="446"/>
      <c r="CA294" s="446"/>
      <c r="CB294" s="446"/>
      <c r="CC294" s="446"/>
      <c r="CD294" s="446"/>
      <c r="CE294" s="446"/>
      <c r="CF294" s="446"/>
      <c r="CG294" s="446"/>
      <c r="CH294" s="446"/>
      <c r="CI294" s="446"/>
      <c r="CJ294" s="446"/>
      <c r="CK294" s="446"/>
      <c r="CL294" s="446"/>
      <c r="CM294" s="446"/>
      <c r="CN294" s="446"/>
      <c r="CO294" s="446"/>
      <c r="CP294" s="446"/>
      <c r="CQ294" s="446"/>
      <c r="CR294" s="446"/>
      <c r="CS294" s="446"/>
      <c r="CT294" s="446"/>
      <c r="CU294" s="446"/>
      <c r="CV294" s="446"/>
      <c r="CW294" s="233"/>
      <c r="CX294" s="446"/>
      <c r="CY294" s="446"/>
      <c r="CZ294" s="446"/>
      <c r="DA294" s="446"/>
      <c r="DB294" s="446"/>
      <c r="DC294" s="446"/>
      <c r="DD294" s="446"/>
      <c r="DE294" s="446"/>
      <c r="DF294" s="446"/>
      <c r="DG294" s="446"/>
      <c r="DH294" s="446"/>
      <c r="DI294" s="446"/>
      <c r="DJ294" s="446"/>
      <c r="DK294" s="446"/>
      <c r="DL294" s="446"/>
      <c r="DM294" s="446"/>
      <c r="DN294" s="446"/>
      <c r="DO294" s="446"/>
      <c r="DP294" s="446"/>
      <c r="DQ294" s="446"/>
      <c r="DR294" s="446"/>
      <c r="DS294" s="446"/>
      <c r="DT294" s="446"/>
      <c r="DU294" s="446"/>
      <c r="DV294" s="446"/>
      <c r="DW294" s="446"/>
      <c r="DX294" s="446"/>
      <c r="DY294" s="446"/>
      <c r="DZ294" s="283"/>
    </row>
    <row r="295" spans="4:130" s="223" customFormat="1" ht="14.25" customHeight="1" x14ac:dyDescent="0.2">
      <c r="D295" s="856"/>
      <c r="E295" s="856"/>
      <c r="F295" s="856"/>
      <c r="G295" s="856"/>
      <c r="H295" s="856"/>
      <c r="I295" s="856"/>
      <c r="J295" s="856"/>
      <c r="K295" s="856"/>
      <c r="L295" s="856"/>
      <c r="M295" s="856"/>
      <c r="N295" s="857"/>
      <c r="O295" s="856"/>
      <c r="P295" s="856"/>
      <c r="Q295" s="858"/>
      <c r="R295" s="858"/>
      <c r="S295" s="859"/>
      <c r="T295" s="856"/>
      <c r="U295" s="856"/>
      <c r="V295" s="856"/>
      <c r="W295" s="856"/>
      <c r="X295" s="856"/>
      <c r="Y295" s="355"/>
      <c r="AB295" s="446"/>
      <c r="AC295" s="446"/>
      <c r="AD295" s="562"/>
      <c r="AE295" s="446"/>
      <c r="AF295" s="446"/>
      <c r="AG295" s="446"/>
      <c r="AH295" s="446"/>
      <c r="AI295" s="446"/>
      <c r="AJ295" s="446"/>
      <c r="AK295" s="446"/>
      <c r="AL295" s="446"/>
      <c r="AM295" s="446"/>
      <c r="AN295" s="446"/>
      <c r="AO295" s="446"/>
      <c r="AP295" s="446"/>
      <c r="AQ295" s="446"/>
      <c r="AR295" s="446"/>
      <c r="AS295" s="446"/>
      <c r="AT295" s="446"/>
      <c r="AU295" s="446"/>
      <c r="AV295" s="446"/>
      <c r="AW295" s="446"/>
      <c r="AX295" s="446"/>
      <c r="AY295" s="446"/>
      <c r="AZ295" s="446"/>
      <c r="BA295" s="446"/>
      <c r="BB295" s="446"/>
      <c r="BC295" s="446"/>
      <c r="BD295" s="446"/>
      <c r="BE295" s="446"/>
      <c r="BF295" s="446"/>
      <c r="BG295" s="446"/>
      <c r="BH295" s="446"/>
      <c r="BI295" s="446"/>
      <c r="BJ295" s="446"/>
      <c r="BK295" s="446"/>
      <c r="BL295" s="446"/>
      <c r="BM295" s="446"/>
      <c r="BN295" s="446"/>
      <c r="BO295" s="446"/>
      <c r="BP295" s="446"/>
      <c r="BQ295" s="446"/>
      <c r="BR295" s="446"/>
      <c r="BS295" s="446"/>
      <c r="BT295" s="446"/>
      <c r="BU295" s="562"/>
      <c r="BV295" s="446"/>
      <c r="BW295" s="446"/>
      <c r="BX295" s="446"/>
      <c r="BY295" s="446"/>
      <c r="BZ295" s="446"/>
      <c r="CA295" s="446"/>
      <c r="CB295" s="446"/>
      <c r="CC295" s="446"/>
      <c r="CD295" s="446"/>
      <c r="CE295" s="446"/>
      <c r="CF295" s="446"/>
      <c r="CG295" s="446"/>
      <c r="CH295" s="446"/>
      <c r="CI295" s="446"/>
      <c r="CJ295" s="446"/>
      <c r="CK295" s="446"/>
      <c r="CL295" s="446"/>
      <c r="CM295" s="446"/>
      <c r="CN295" s="446"/>
      <c r="CO295" s="446"/>
      <c r="CP295" s="446"/>
      <c r="CQ295" s="446"/>
      <c r="CR295" s="446"/>
      <c r="CS295" s="446"/>
      <c r="CT295" s="446"/>
      <c r="CU295" s="446"/>
      <c r="CV295" s="446"/>
      <c r="CW295" s="233"/>
      <c r="CX295" s="446"/>
      <c r="CY295" s="446"/>
      <c r="CZ295" s="446"/>
      <c r="DA295" s="446"/>
      <c r="DB295" s="446"/>
      <c r="DC295" s="446"/>
      <c r="DD295" s="446"/>
      <c r="DE295" s="446"/>
      <c r="DF295" s="446"/>
      <c r="DG295" s="446"/>
      <c r="DH295" s="446"/>
      <c r="DI295" s="446"/>
      <c r="DJ295" s="446"/>
      <c r="DK295" s="446"/>
      <c r="DL295" s="446"/>
      <c r="DM295" s="446"/>
      <c r="DN295" s="446"/>
      <c r="DO295" s="446"/>
      <c r="DP295" s="446"/>
      <c r="DQ295" s="446"/>
      <c r="DR295" s="446"/>
      <c r="DS295" s="446"/>
      <c r="DT295" s="446"/>
      <c r="DU295" s="446"/>
      <c r="DV295" s="446"/>
      <c r="DW295" s="446"/>
      <c r="DX295" s="446"/>
      <c r="DY295" s="446"/>
      <c r="DZ295" s="283"/>
    </row>
    <row r="296" spans="4:130" s="223" customFormat="1" ht="14.25" customHeight="1" x14ac:dyDescent="0.2">
      <c r="D296" s="856"/>
      <c r="E296" s="856"/>
      <c r="F296" s="856"/>
      <c r="G296" s="856"/>
      <c r="H296" s="856"/>
      <c r="I296" s="856"/>
      <c r="J296" s="856"/>
      <c r="K296" s="856"/>
      <c r="L296" s="856"/>
      <c r="M296" s="856"/>
      <c r="N296" s="857"/>
      <c r="O296" s="856"/>
      <c r="P296" s="856"/>
      <c r="Q296" s="858"/>
      <c r="R296" s="858"/>
      <c r="S296" s="859"/>
      <c r="T296" s="856"/>
      <c r="U296" s="856"/>
      <c r="V296" s="856"/>
      <c r="W296" s="856"/>
      <c r="X296" s="856"/>
      <c r="Y296" s="355"/>
      <c r="AB296" s="446"/>
      <c r="AC296" s="446"/>
      <c r="AD296" s="562"/>
      <c r="AE296" s="446"/>
      <c r="AF296" s="446"/>
      <c r="AG296" s="446"/>
      <c r="AH296" s="446"/>
      <c r="AI296" s="446"/>
      <c r="AJ296" s="446"/>
      <c r="AK296" s="446"/>
      <c r="AL296" s="446"/>
      <c r="AM296" s="446"/>
      <c r="AN296" s="446"/>
      <c r="AO296" s="446"/>
      <c r="AP296" s="446"/>
      <c r="AQ296" s="446"/>
      <c r="AR296" s="446"/>
      <c r="AS296" s="446"/>
      <c r="AT296" s="446"/>
      <c r="AU296" s="446"/>
      <c r="AV296" s="446"/>
      <c r="AW296" s="446"/>
      <c r="AX296" s="446"/>
      <c r="AY296" s="446"/>
      <c r="AZ296" s="446"/>
      <c r="BA296" s="446"/>
      <c r="BB296" s="446"/>
      <c r="BC296" s="446"/>
      <c r="BD296" s="446"/>
      <c r="BE296" s="446"/>
      <c r="BF296" s="446"/>
      <c r="BG296" s="446"/>
      <c r="BH296" s="446"/>
      <c r="BI296" s="446"/>
      <c r="BJ296" s="446"/>
      <c r="BK296" s="446"/>
      <c r="BL296" s="446"/>
      <c r="BM296" s="446"/>
      <c r="BN296" s="446"/>
      <c r="BO296" s="446"/>
      <c r="BP296" s="446"/>
      <c r="BQ296" s="446"/>
      <c r="BR296" s="446"/>
      <c r="BS296" s="446"/>
      <c r="BT296" s="446"/>
      <c r="BU296" s="562"/>
      <c r="BV296" s="446"/>
      <c r="BW296" s="446"/>
      <c r="BX296" s="446"/>
      <c r="BY296" s="446"/>
      <c r="BZ296" s="446"/>
      <c r="CA296" s="446"/>
      <c r="CB296" s="446"/>
      <c r="CC296" s="446"/>
      <c r="CD296" s="446"/>
      <c r="CE296" s="446"/>
      <c r="CF296" s="446"/>
      <c r="CG296" s="446"/>
      <c r="CH296" s="446"/>
      <c r="CI296" s="446"/>
      <c r="CJ296" s="446"/>
      <c r="CK296" s="446"/>
      <c r="CL296" s="446"/>
      <c r="CM296" s="446"/>
      <c r="CN296" s="446"/>
      <c r="CO296" s="446"/>
      <c r="CP296" s="446"/>
      <c r="CQ296" s="446"/>
      <c r="CR296" s="446"/>
      <c r="CS296" s="446"/>
      <c r="CT296" s="446"/>
      <c r="CU296" s="446"/>
      <c r="CV296" s="446"/>
      <c r="CW296" s="233"/>
      <c r="CX296" s="446"/>
      <c r="CY296" s="446"/>
      <c r="CZ296" s="446"/>
      <c r="DA296" s="446"/>
      <c r="DB296" s="446"/>
      <c r="DC296" s="446"/>
      <c r="DD296" s="446"/>
      <c r="DE296" s="446"/>
      <c r="DF296" s="446"/>
      <c r="DG296" s="446"/>
      <c r="DH296" s="446"/>
      <c r="DI296" s="446"/>
      <c r="DJ296" s="446"/>
      <c r="DK296" s="446"/>
      <c r="DL296" s="446"/>
      <c r="DM296" s="446"/>
      <c r="DN296" s="446"/>
      <c r="DO296" s="446"/>
      <c r="DP296" s="446"/>
      <c r="DQ296" s="446"/>
      <c r="DR296" s="446"/>
      <c r="DS296" s="446"/>
      <c r="DT296" s="446"/>
      <c r="DU296" s="446"/>
      <c r="DV296" s="446"/>
      <c r="DW296" s="446"/>
      <c r="DX296" s="446"/>
      <c r="DY296" s="446"/>
      <c r="DZ296" s="283"/>
    </row>
    <row r="297" spans="4:130" s="223" customFormat="1" ht="14.25" customHeight="1" x14ac:dyDescent="0.2">
      <c r="D297" s="856"/>
      <c r="E297" s="856"/>
      <c r="F297" s="856"/>
      <c r="G297" s="856"/>
      <c r="H297" s="856"/>
      <c r="I297" s="856"/>
      <c r="J297" s="856"/>
      <c r="K297" s="856"/>
      <c r="L297" s="856"/>
      <c r="M297" s="856"/>
      <c r="N297" s="857"/>
      <c r="O297" s="856"/>
      <c r="P297" s="856"/>
      <c r="Q297" s="858"/>
      <c r="R297" s="858"/>
      <c r="S297" s="859"/>
      <c r="T297" s="856"/>
      <c r="U297" s="856"/>
      <c r="V297" s="856"/>
      <c r="W297" s="856"/>
      <c r="X297" s="856"/>
      <c r="Y297" s="355"/>
      <c r="AB297" s="446"/>
      <c r="AC297" s="446"/>
      <c r="AD297" s="562"/>
      <c r="AE297" s="446"/>
      <c r="AF297" s="446"/>
      <c r="AG297" s="446"/>
      <c r="AH297" s="446"/>
      <c r="AI297" s="446"/>
      <c r="AJ297" s="446"/>
      <c r="AK297" s="446"/>
      <c r="AL297" s="446"/>
      <c r="AM297" s="446"/>
      <c r="AN297" s="446"/>
      <c r="AO297" s="446"/>
      <c r="AP297" s="446"/>
      <c r="AQ297" s="446"/>
      <c r="AR297" s="446"/>
      <c r="AS297" s="446"/>
      <c r="AT297" s="446"/>
      <c r="AU297" s="446"/>
      <c r="AV297" s="446"/>
      <c r="AW297" s="446"/>
      <c r="AX297" s="446"/>
      <c r="AY297" s="446"/>
      <c r="AZ297" s="446"/>
      <c r="BA297" s="446"/>
      <c r="BB297" s="446"/>
      <c r="BC297" s="446"/>
      <c r="BD297" s="446"/>
      <c r="BE297" s="446"/>
      <c r="BF297" s="446"/>
      <c r="BG297" s="446"/>
      <c r="BH297" s="446"/>
      <c r="BI297" s="446"/>
      <c r="BJ297" s="446"/>
      <c r="BK297" s="446"/>
      <c r="BL297" s="446"/>
      <c r="BM297" s="446"/>
      <c r="BN297" s="446"/>
      <c r="BO297" s="446"/>
      <c r="BP297" s="446"/>
      <c r="BQ297" s="446"/>
      <c r="BR297" s="446"/>
      <c r="BS297" s="446"/>
      <c r="BT297" s="446"/>
      <c r="BU297" s="562"/>
      <c r="BV297" s="446"/>
      <c r="BW297" s="446"/>
      <c r="BX297" s="446"/>
      <c r="BY297" s="446"/>
      <c r="BZ297" s="446"/>
      <c r="CA297" s="446"/>
      <c r="CB297" s="446"/>
      <c r="CC297" s="446"/>
      <c r="CD297" s="446"/>
      <c r="CE297" s="446"/>
      <c r="CF297" s="446"/>
      <c r="CG297" s="446"/>
      <c r="CH297" s="446"/>
      <c r="CI297" s="446"/>
      <c r="CJ297" s="446"/>
      <c r="CK297" s="446"/>
      <c r="CL297" s="446"/>
      <c r="CM297" s="446"/>
      <c r="CN297" s="446"/>
      <c r="CO297" s="446"/>
      <c r="CP297" s="446"/>
      <c r="CQ297" s="446"/>
      <c r="CR297" s="446"/>
      <c r="CS297" s="446"/>
      <c r="CT297" s="446"/>
      <c r="CU297" s="446"/>
      <c r="CV297" s="446"/>
      <c r="CW297" s="233"/>
      <c r="CX297" s="446"/>
      <c r="CY297" s="446"/>
      <c r="CZ297" s="446"/>
      <c r="DA297" s="446"/>
      <c r="DB297" s="446"/>
      <c r="DC297" s="446"/>
      <c r="DD297" s="446"/>
      <c r="DE297" s="446"/>
      <c r="DF297" s="446"/>
      <c r="DG297" s="446"/>
      <c r="DH297" s="446"/>
      <c r="DI297" s="446"/>
      <c r="DJ297" s="446"/>
      <c r="DK297" s="446"/>
      <c r="DL297" s="446"/>
      <c r="DM297" s="446"/>
      <c r="DN297" s="446"/>
      <c r="DO297" s="446"/>
      <c r="DP297" s="446"/>
      <c r="DQ297" s="446"/>
      <c r="DR297" s="446"/>
      <c r="DS297" s="446"/>
      <c r="DT297" s="446"/>
      <c r="DU297" s="446"/>
      <c r="DV297" s="446"/>
      <c r="DW297" s="446"/>
      <c r="DX297" s="446"/>
      <c r="DY297" s="446"/>
      <c r="DZ297" s="283"/>
    </row>
    <row r="298" spans="4:130" s="223" customFormat="1" ht="14.25" customHeight="1" x14ac:dyDescent="0.2">
      <c r="D298" s="856"/>
      <c r="E298" s="856"/>
      <c r="F298" s="856"/>
      <c r="G298" s="856"/>
      <c r="H298" s="856"/>
      <c r="I298" s="856"/>
      <c r="J298" s="856"/>
      <c r="K298" s="856"/>
      <c r="L298" s="856"/>
      <c r="M298" s="856"/>
      <c r="N298" s="857"/>
      <c r="O298" s="856"/>
      <c r="P298" s="856"/>
      <c r="Q298" s="858"/>
      <c r="R298" s="858"/>
      <c r="S298" s="859"/>
      <c r="T298" s="856"/>
      <c r="U298" s="856"/>
      <c r="V298" s="856"/>
      <c r="W298" s="856"/>
      <c r="X298" s="856"/>
      <c r="Y298" s="355"/>
      <c r="AB298" s="446"/>
      <c r="AC298" s="446"/>
      <c r="AD298" s="562"/>
      <c r="AE298" s="446"/>
      <c r="AF298" s="446"/>
      <c r="AG298" s="446"/>
      <c r="AH298" s="446"/>
      <c r="AI298" s="446"/>
      <c r="AJ298" s="446"/>
      <c r="AK298" s="446"/>
      <c r="AL298" s="446"/>
      <c r="AM298" s="446"/>
      <c r="AN298" s="446"/>
      <c r="AO298" s="446"/>
      <c r="AP298" s="446"/>
      <c r="AQ298" s="446"/>
      <c r="AR298" s="446"/>
      <c r="AS298" s="446"/>
      <c r="AT298" s="446"/>
      <c r="AU298" s="446"/>
      <c r="AV298" s="446"/>
      <c r="AW298" s="446"/>
      <c r="AX298" s="446"/>
      <c r="AY298" s="446"/>
      <c r="AZ298" s="446"/>
      <c r="BA298" s="446"/>
      <c r="BB298" s="446"/>
      <c r="BC298" s="446"/>
      <c r="BD298" s="446"/>
      <c r="BE298" s="446"/>
      <c r="BF298" s="446"/>
      <c r="BG298" s="446"/>
      <c r="BH298" s="446"/>
      <c r="BI298" s="446"/>
      <c r="BJ298" s="446"/>
      <c r="BK298" s="446"/>
      <c r="BL298" s="446"/>
      <c r="BM298" s="446"/>
      <c r="BN298" s="446"/>
      <c r="BO298" s="446"/>
      <c r="BP298" s="446"/>
      <c r="BQ298" s="446"/>
      <c r="BR298" s="446"/>
      <c r="BS298" s="446"/>
      <c r="BT298" s="446"/>
      <c r="BU298" s="562"/>
      <c r="BV298" s="446"/>
      <c r="BW298" s="446"/>
      <c r="BX298" s="446"/>
      <c r="BY298" s="446"/>
      <c r="BZ298" s="446"/>
      <c r="CA298" s="446"/>
      <c r="CB298" s="446"/>
      <c r="CC298" s="446"/>
      <c r="CD298" s="446"/>
      <c r="CE298" s="446"/>
      <c r="CF298" s="446"/>
      <c r="CG298" s="446"/>
      <c r="CH298" s="446"/>
      <c r="CI298" s="446"/>
      <c r="CJ298" s="446"/>
      <c r="CK298" s="446"/>
      <c r="CL298" s="446"/>
      <c r="CM298" s="446"/>
      <c r="CN298" s="446"/>
      <c r="CO298" s="446"/>
      <c r="CP298" s="446"/>
      <c r="CQ298" s="446"/>
      <c r="CR298" s="446"/>
      <c r="CS298" s="446"/>
      <c r="CT298" s="446"/>
      <c r="CU298" s="446"/>
      <c r="CV298" s="446"/>
      <c r="CW298" s="233"/>
      <c r="CX298" s="446"/>
      <c r="CY298" s="446"/>
      <c r="CZ298" s="446"/>
      <c r="DA298" s="446"/>
      <c r="DB298" s="446"/>
      <c r="DC298" s="446"/>
      <c r="DD298" s="446"/>
      <c r="DE298" s="446"/>
      <c r="DF298" s="446"/>
      <c r="DG298" s="446"/>
      <c r="DH298" s="446"/>
      <c r="DI298" s="446"/>
      <c r="DJ298" s="446"/>
      <c r="DK298" s="446"/>
      <c r="DL298" s="446"/>
      <c r="DM298" s="446"/>
      <c r="DN298" s="446"/>
      <c r="DO298" s="446"/>
      <c r="DP298" s="446"/>
      <c r="DQ298" s="446"/>
      <c r="DR298" s="446"/>
      <c r="DS298" s="446"/>
      <c r="DT298" s="446"/>
      <c r="DU298" s="446"/>
      <c r="DV298" s="446"/>
      <c r="DW298" s="446"/>
      <c r="DX298" s="446"/>
      <c r="DY298" s="446"/>
      <c r="DZ298" s="283"/>
    </row>
    <row r="299" spans="4:130" s="223" customFormat="1" ht="14.25" customHeight="1" x14ac:dyDescent="0.2">
      <c r="D299" s="856"/>
      <c r="E299" s="856"/>
      <c r="F299" s="856"/>
      <c r="G299" s="856"/>
      <c r="H299" s="856"/>
      <c r="I299" s="856"/>
      <c r="J299" s="856"/>
      <c r="K299" s="856"/>
      <c r="L299" s="856"/>
      <c r="M299" s="856"/>
      <c r="N299" s="857"/>
      <c r="O299" s="856"/>
      <c r="P299" s="856"/>
      <c r="Q299" s="858"/>
      <c r="R299" s="858"/>
      <c r="S299" s="859"/>
      <c r="T299" s="856"/>
      <c r="U299" s="856"/>
      <c r="V299" s="856"/>
      <c r="W299" s="856"/>
      <c r="X299" s="856"/>
      <c r="Y299" s="355"/>
      <c r="AB299" s="446"/>
      <c r="AC299" s="446"/>
      <c r="AD299" s="562"/>
      <c r="AE299" s="446"/>
      <c r="AF299" s="446"/>
      <c r="AG299" s="446"/>
      <c r="AH299" s="446"/>
      <c r="AI299" s="446"/>
      <c r="AJ299" s="446"/>
      <c r="AK299" s="446"/>
      <c r="AL299" s="446"/>
      <c r="AM299" s="446"/>
      <c r="AN299" s="446"/>
      <c r="AO299" s="446"/>
      <c r="AP299" s="446"/>
      <c r="AQ299" s="446"/>
      <c r="AR299" s="446"/>
      <c r="AS299" s="446"/>
      <c r="AT299" s="446"/>
      <c r="AU299" s="446"/>
      <c r="AV299" s="446"/>
      <c r="AW299" s="446"/>
      <c r="AX299" s="446"/>
      <c r="AY299" s="446"/>
      <c r="AZ299" s="446"/>
      <c r="BA299" s="446"/>
      <c r="BB299" s="446"/>
      <c r="BC299" s="446"/>
      <c r="BD299" s="446"/>
      <c r="BE299" s="446"/>
      <c r="BF299" s="446"/>
      <c r="BG299" s="446"/>
      <c r="BH299" s="446"/>
      <c r="BI299" s="446"/>
      <c r="BJ299" s="446"/>
      <c r="BK299" s="446"/>
      <c r="BL299" s="446"/>
      <c r="BM299" s="446"/>
      <c r="BN299" s="446"/>
      <c r="BO299" s="446"/>
      <c r="BP299" s="446"/>
      <c r="BQ299" s="446"/>
      <c r="BR299" s="446"/>
      <c r="BS299" s="446"/>
      <c r="BT299" s="446"/>
      <c r="BU299" s="562"/>
      <c r="BV299" s="446"/>
      <c r="BW299" s="446"/>
      <c r="BX299" s="446"/>
      <c r="BY299" s="446"/>
      <c r="BZ299" s="446"/>
      <c r="CA299" s="446"/>
      <c r="CB299" s="446"/>
      <c r="CC299" s="446"/>
      <c r="CD299" s="446"/>
      <c r="CE299" s="446"/>
      <c r="CF299" s="446"/>
      <c r="CG299" s="446"/>
      <c r="CH299" s="446"/>
      <c r="CI299" s="446"/>
      <c r="CJ299" s="446"/>
      <c r="CK299" s="446"/>
      <c r="CL299" s="446"/>
      <c r="CM299" s="446"/>
      <c r="CN299" s="446"/>
      <c r="CO299" s="446"/>
      <c r="CP299" s="446"/>
      <c r="CQ299" s="446"/>
      <c r="CR299" s="446"/>
      <c r="CS299" s="446"/>
      <c r="CT299" s="446"/>
      <c r="CU299" s="446"/>
      <c r="CV299" s="446"/>
      <c r="CW299" s="233"/>
      <c r="CX299" s="446"/>
      <c r="CY299" s="446"/>
      <c r="CZ299" s="446"/>
      <c r="DA299" s="446"/>
      <c r="DB299" s="446"/>
      <c r="DC299" s="446"/>
      <c r="DD299" s="446"/>
      <c r="DE299" s="446"/>
      <c r="DF299" s="446"/>
      <c r="DG299" s="446"/>
      <c r="DH299" s="446"/>
      <c r="DI299" s="446"/>
      <c r="DJ299" s="446"/>
      <c r="DK299" s="446"/>
      <c r="DL299" s="446"/>
      <c r="DM299" s="446"/>
      <c r="DN299" s="446"/>
      <c r="DO299" s="446"/>
      <c r="DP299" s="446"/>
      <c r="DQ299" s="446"/>
      <c r="DR299" s="446"/>
      <c r="DS299" s="446"/>
      <c r="DT299" s="446"/>
      <c r="DU299" s="446"/>
      <c r="DV299" s="446"/>
      <c r="DW299" s="446"/>
      <c r="DX299" s="446"/>
      <c r="DY299" s="446"/>
      <c r="DZ299" s="283"/>
    </row>
    <row r="300" spans="4:130" s="223" customFormat="1" ht="14.25" customHeight="1" x14ac:dyDescent="0.2">
      <c r="D300" s="856"/>
      <c r="E300" s="856"/>
      <c r="F300" s="856"/>
      <c r="G300" s="856"/>
      <c r="H300" s="856"/>
      <c r="I300" s="856"/>
      <c r="J300" s="856"/>
      <c r="K300" s="856"/>
      <c r="L300" s="856"/>
      <c r="M300" s="856"/>
      <c r="N300" s="857"/>
      <c r="O300" s="856"/>
      <c r="P300" s="856"/>
      <c r="Q300" s="858"/>
      <c r="R300" s="858"/>
      <c r="S300" s="859"/>
      <c r="T300" s="856"/>
      <c r="U300" s="856"/>
      <c r="V300" s="856"/>
      <c r="W300" s="856"/>
      <c r="X300" s="856"/>
      <c r="Y300" s="355"/>
      <c r="AB300" s="446"/>
      <c r="AC300" s="446"/>
      <c r="AD300" s="562"/>
      <c r="AE300" s="446"/>
      <c r="AF300" s="446"/>
      <c r="AG300" s="446"/>
      <c r="AH300" s="446"/>
      <c r="AI300" s="446"/>
      <c r="AJ300" s="446"/>
      <c r="AK300" s="446"/>
      <c r="AL300" s="446"/>
      <c r="AM300" s="446"/>
      <c r="AN300" s="446"/>
      <c r="AO300" s="446"/>
      <c r="AP300" s="446"/>
      <c r="AQ300" s="446"/>
      <c r="AR300" s="446"/>
      <c r="AS300" s="446"/>
      <c r="AT300" s="446"/>
      <c r="AU300" s="446"/>
      <c r="AV300" s="446"/>
      <c r="AW300" s="446"/>
      <c r="AX300" s="446"/>
      <c r="AY300" s="446"/>
      <c r="AZ300" s="446"/>
      <c r="BA300" s="446"/>
      <c r="BB300" s="446"/>
      <c r="BC300" s="446"/>
      <c r="BD300" s="446"/>
      <c r="BE300" s="446"/>
      <c r="BF300" s="446"/>
      <c r="BG300" s="446"/>
      <c r="BH300" s="446"/>
      <c r="BI300" s="446"/>
      <c r="BJ300" s="446"/>
      <c r="BK300" s="446"/>
      <c r="BL300" s="446"/>
      <c r="BM300" s="446"/>
      <c r="BN300" s="446"/>
      <c r="BO300" s="446"/>
      <c r="BP300" s="446"/>
      <c r="BQ300" s="446"/>
      <c r="BR300" s="446"/>
      <c r="BS300" s="446"/>
      <c r="BT300" s="446"/>
      <c r="BU300" s="562"/>
      <c r="BV300" s="446"/>
      <c r="BW300" s="446"/>
      <c r="BX300" s="446"/>
      <c r="BY300" s="446"/>
      <c r="BZ300" s="446"/>
      <c r="CA300" s="446"/>
      <c r="CB300" s="446"/>
      <c r="CC300" s="446"/>
      <c r="CD300" s="446"/>
      <c r="CE300" s="446"/>
      <c r="CF300" s="446"/>
      <c r="CG300" s="446"/>
      <c r="CH300" s="446"/>
      <c r="CI300" s="446"/>
      <c r="CJ300" s="446"/>
      <c r="CK300" s="446"/>
      <c r="CL300" s="446"/>
      <c r="CM300" s="446"/>
      <c r="CN300" s="446"/>
      <c r="CO300" s="446"/>
      <c r="CP300" s="446"/>
      <c r="CQ300" s="446"/>
      <c r="CR300" s="446"/>
      <c r="CS300" s="446"/>
      <c r="CT300" s="446"/>
      <c r="CU300" s="446"/>
      <c r="CV300" s="446"/>
      <c r="CW300" s="233"/>
      <c r="CX300" s="446"/>
      <c r="CY300" s="446"/>
      <c r="CZ300" s="446"/>
      <c r="DA300" s="446"/>
      <c r="DB300" s="446"/>
      <c r="DC300" s="446"/>
      <c r="DD300" s="446"/>
      <c r="DE300" s="446"/>
      <c r="DF300" s="446"/>
      <c r="DG300" s="446"/>
      <c r="DH300" s="446"/>
      <c r="DI300" s="446"/>
      <c r="DJ300" s="446"/>
      <c r="DK300" s="446"/>
      <c r="DL300" s="446"/>
      <c r="DM300" s="446"/>
      <c r="DN300" s="446"/>
      <c r="DO300" s="446"/>
      <c r="DP300" s="446"/>
      <c r="DQ300" s="446"/>
      <c r="DR300" s="446"/>
      <c r="DS300" s="446"/>
      <c r="DT300" s="446"/>
      <c r="DU300" s="446"/>
      <c r="DV300" s="446"/>
      <c r="DW300" s="446"/>
      <c r="DX300" s="446"/>
      <c r="DY300" s="446"/>
      <c r="DZ300" s="283"/>
    </row>
    <row r="301" spans="4:130" s="223" customFormat="1" ht="14.25" customHeight="1" x14ac:dyDescent="0.2">
      <c r="D301" s="856"/>
      <c r="E301" s="856"/>
      <c r="F301" s="856"/>
      <c r="G301" s="856"/>
      <c r="H301" s="856"/>
      <c r="I301" s="856"/>
      <c r="J301" s="856"/>
      <c r="K301" s="856"/>
      <c r="L301" s="856"/>
      <c r="M301" s="856"/>
      <c r="N301" s="857"/>
      <c r="O301" s="856"/>
      <c r="P301" s="856"/>
      <c r="Q301" s="858"/>
      <c r="R301" s="858"/>
      <c r="S301" s="859"/>
      <c r="T301" s="856"/>
      <c r="U301" s="856"/>
      <c r="V301" s="856"/>
      <c r="W301" s="856"/>
      <c r="X301" s="856"/>
      <c r="Y301" s="355"/>
      <c r="AB301" s="446"/>
      <c r="AC301" s="446"/>
      <c r="AD301" s="562"/>
      <c r="AE301" s="446"/>
      <c r="AF301" s="446"/>
      <c r="AG301" s="446"/>
      <c r="AH301" s="446"/>
      <c r="AI301" s="446"/>
      <c r="AJ301" s="446"/>
      <c r="AK301" s="446"/>
      <c r="AL301" s="446"/>
      <c r="AM301" s="446"/>
      <c r="AN301" s="446"/>
      <c r="AO301" s="446"/>
      <c r="AP301" s="446"/>
      <c r="AQ301" s="446"/>
      <c r="AR301" s="446"/>
      <c r="AS301" s="446"/>
      <c r="AT301" s="446"/>
      <c r="AU301" s="446"/>
      <c r="AV301" s="446"/>
      <c r="AW301" s="446"/>
      <c r="AX301" s="446"/>
      <c r="AY301" s="446"/>
      <c r="AZ301" s="446"/>
      <c r="BA301" s="446"/>
      <c r="BB301" s="446"/>
      <c r="BC301" s="446"/>
      <c r="BD301" s="446"/>
      <c r="BE301" s="446"/>
      <c r="BF301" s="446"/>
      <c r="BG301" s="446"/>
      <c r="BH301" s="446"/>
      <c r="BI301" s="446"/>
      <c r="BJ301" s="446"/>
      <c r="BK301" s="446"/>
      <c r="BL301" s="446"/>
      <c r="BM301" s="446"/>
      <c r="BN301" s="446"/>
      <c r="BO301" s="446"/>
      <c r="BP301" s="446"/>
      <c r="BQ301" s="446"/>
      <c r="BR301" s="446"/>
      <c r="BS301" s="446"/>
      <c r="BT301" s="446"/>
      <c r="BU301" s="562"/>
      <c r="BV301" s="446"/>
      <c r="BW301" s="446"/>
      <c r="BX301" s="446"/>
      <c r="BY301" s="446"/>
      <c r="BZ301" s="446"/>
      <c r="CA301" s="446"/>
      <c r="CB301" s="446"/>
      <c r="CC301" s="446"/>
      <c r="CD301" s="446"/>
      <c r="CE301" s="446"/>
      <c r="CF301" s="446"/>
      <c r="CG301" s="446"/>
      <c r="CH301" s="446"/>
      <c r="CI301" s="446"/>
      <c r="CJ301" s="446"/>
      <c r="CK301" s="446"/>
      <c r="CL301" s="446"/>
      <c r="CM301" s="446"/>
      <c r="CN301" s="446"/>
      <c r="CO301" s="446"/>
      <c r="CP301" s="446"/>
      <c r="CQ301" s="446"/>
      <c r="CR301" s="446"/>
      <c r="CS301" s="446"/>
      <c r="CT301" s="446"/>
      <c r="CU301" s="446"/>
      <c r="CV301" s="446"/>
      <c r="CW301" s="233"/>
      <c r="CX301" s="446"/>
      <c r="CY301" s="446"/>
      <c r="CZ301" s="446"/>
      <c r="DA301" s="446"/>
      <c r="DB301" s="446"/>
      <c r="DC301" s="446"/>
      <c r="DD301" s="446"/>
      <c r="DE301" s="446"/>
      <c r="DF301" s="446"/>
      <c r="DG301" s="446"/>
      <c r="DH301" s="446"/>
      <c r="DI301" s="446"/>
      <c r="DJ301" s="446"/>
      <c r="DK301" s="446"/>
      <c r="DL301" s="446"/>
      <c r="DM301" s="446"/>
      <c r="DN301" s="446"/>
      <c r="DO301" s="446"/>
      <c r="DP301" s="446"/>
      <c r="DQ301" s="446"/>
      <c r="DR301" s="446"/>
      <c r="DS301" s="446"/>
      <c r="DT301" s="446"/>
      <c r="DU301" s="446"/>
      <c r="DV301" s="446"/>
      <c r="DW301" s="446"/>
      <c r="DX301" s="446"/>
      <c r="DY301" s="446"/>
      <c r="DZ301" s="283"/>
    </row>
    <row r="302" spans="4:130" s="223" customFormat="1" ht="14.25" customHeight="1" x14ac:dyDescent="0.2">
      <c r="D302" s="856"/>
      <c r="E302" s="856"/>
      <c r="F302" s="856"/>
      <c r="G302" s="856"/>
      <c r="H302" s="856"/>
      <c r="I302" s="856"/>
      <c r="J302" s="856"/>
      <c r="K302" s="856"/>
      <c r="L302" s="856"/>
      <c r="M302" s="856"/>
      <c r="N302" s="857"/>
      <c r="O302" s="856"/>
      <c r="P302" s="856"/>
      <c r="Q302" s="858"/>
      <c r="R302" s="858"/>
      <c r="S302" s="859"/>
      <c r="T302" s="856"/>
      <c r="U302" s="856"/>
      <c r="V302" s="856"/>
      <c r="W302" s="856"/>
      <c r="X302" s="856"/>
      <c r="Y302" s="355"/>
      <c r="AB302" s="446"/>
      <c r="AC302" s="446"/>
      <c r="AD302" s="562"/>
      <c r="AE302" s="446"/>
      <c r="AF302" s="446"/>
      <c r="AG302" s="446"/>
      <c r="AH302" s="446"/>
      <c r="AI302" s="446"/>
      <c r="AJ302" s="446"/>
      <c r="AK302" s="446"/>
      <c r="AL302" s="446"/>
      <c r="AM302" s="446"/>
      <c r="AN302" s="446"/>
      <c r="AO302" s="446"/>
      <c r="AP302" s="446"/>
      <c r="AQ302" s="446"/>
      <c r="AR302" s="446"/>
      <c r="AS302" s="446"/>
      <c r="AT302" s="446"/>
      <c r="AU302" s="446"/>
      <c r="AV302" s="446"/>
      <c r="AW302" s="446"/>
      <c r="AX302" s="446"/>
      <c r="AY302" s="446"/>
      <c r="AZ302" s="446"/>
      <c r="BA302" s="446"/>
      <c r="BB302" s="446"/>
      <c r="BC302" s="446"/>
      <c r="BD302" s="446"/>
      <c r="BE302" s="446"/>
      <c r="BF302" s="446"/>
      <c r="BG302" s="446"/>
      <c r="BH302" s="446"/>
      <c r="BI302" s="446"/>
      <c r="BJ302" s="446"/>
      <c r="BK302" s="446"/>
      <c r="BL302" s="446"/>
      <c r="BM302" s="446"/>
      <c r="BN302" s="446"/>
      <c r="BO302" s="446"/>
      <c r="BP302" s="446"/>
      <c r="BQ302" s="446"/>
      <c r="BR302" s="446"/>
      <c r="BS302" s="446"/>
      <c r="BT302" s="446"/>
      <c r="BU302" s="562"/>
      <c r="BV302" s="446"/>
      <c r="BW302" s="446"/>
      <c r="BX302" s="446"/>
      <c r="BY302" s="446"/>
      <c r="BZ302" s="446"/>
      <c r="CA302" s="446"/>
      <c r="CB302" s="446"/>
      <c r="CC302" s="446"/>
      <c r="CD302" s="446"/>
      <c r="CE302" s="446"/>
      <c r="CF302" s="446"/>
      <c r="CG302" s="446"/>
      <c r="CH302" s="446"/>
      <c r="CI302" s="446"/>
      <c r="CJ302" s="446"/>
      <c r="CK302" s="446"/>
      <c r="CL302" s="446"/>
      <c r="CM302" s="446"/>
      <c r="CN302" s="446"/>
      <c r="CO302" s="446"/>
      <c r="CP302" s="446"/>
      <c r="CQ302" s="446"/>
      <c r="CR302" s="446"/>
      <c r="CS302" s="446"/>
      <c r="CT302" s="446"/>
      <c r="CU302" s="446"/>
      <c r="CV302" s="446"/>
      <c r="CW302" s="233"/>
      <c r="CX302" s="446"/>
      <c r="CY302" s="446"/>
      <c r="CZ302" s="446"/>
      <c r="DA302" s="446"/>
      <c r="DB302" s="446"/>
      <c r="DC302" s="446"/>
      <c r="DD302" s="446"/>
      <c r="DE302" s="446"/>
      <c r="DF302" s="446"/>
      <c r="DG302" s="446"/>
      <c r="DH302" s="446"/>
      <c r="DI302" s="446"/>
      <c r="DJ302" s="446"/>
      <c r="DK302" s="446"/>
      <c r="DL302" s="446"/>
      <c r="DM302" s="446"/>
      <c r="DN302" s="446"/>
      <c r="DO302" s="446"/>
      <c r="DP302" s="446"/>
      <c r="DQ302" s="446"/>
      <c r="DR302" s="446"/>
      <c r="DS302" s="446"/>
      <c r="DT302" s="446"/>
      <c r="DU302" s="446"/>
      <c r="DV302" s="446"/>
      <c r="DW302" s="446"/>
      <c r="DX302" s="446"/>
      <c r="DY302" s="446"/>
      <c r="DZ302" s="283"/>
    </row>
    <row r="303" spans="4:130" s="223" customFormat="1" ht="14.25" customHeight="1" x14ac:dyDescent="0.2">
      <c r="D303" s="856"/>
      <c r="E303" s="856"/>
      <c r="F303" s="856"/>
      <c r="G303" s="856"/>
      <c r="H303" s="856"/>
      <c r="I303" s="856"/>
      <c r="J303" s="856"/>
      <c r="K303" s="856"/>
      <c r="L303" s="856"/>
      <c r="M303" s="856"/>
      <c r="N303" s="857"/>
      <c r="O303" s="856"/>
      <c r="P303" s="856"/>
      <c r="Q303" s="858"/>
      <c r="R303" s="858"/>
      <c r="S303" s="859"/>
      <c r="T303" s="856"/>
      <c r="U303" s="856"/>
      <c r="V303" s="856"/>
      <c r="W303" s="856"/>
      <c r="X303" s="856"/>
      <c r="Y303" s="355"/>
      <c r="AB303" s="446"/>
      <c r="AC303" s="446"/>
      <c r="AD303" s="562"/>
      <c r="AE303" s="446"/>
      <c r="AF303" s="446"/>
      <c r="AG303" s="446"/>
      <c r="AH303" s="446"/>
      <c r="AI303" s="446"/>
      <c r="AJ303" s="446"/>
      <c r="AK303" s="446"/>
      <c r="AL303" s="446"/>
      <c r="AM303" s="446"/>
      <c r="AN303" s="446"/>
      <c r="AO303" s="446"/>
      <c r="AP303" s="446"/>
      <c r="AQ303" s="446"/>
      <c r="AR303" s="446"/>
      <c r="AS303" s="446"/>
      <c r="AT303" s="446"/>
      <c r="AU303" s="446"/>
      <c r="AV303" s="446"/>
      <c r="AW303" s="446"/>
      <c r="AX303" s="446"/>
      <c r="AY303" s="446"/>
      <c r="AZ303" s="446"/>
      <c r="BA303" s="446"/>
      <c r="BB303" s="446"/>
      <c r="BC303" s="446"/>
      <c r="BD303" s="446"/>
      <c r="BE303" s="446"/>
      <c r="BF303" s="446"/>
      <c r="BG303" s="446"/>
      <c r="BH303" s="446"/>
      <c r="BI303" s="446"/>
      <c r="BJ303" s="446"/>
      <c r="BK303" s="446"/>
      <c r="BL303" s="446"/>
      <c r="BM303" s="446"/>
      <c r="BN303" s="446"/>
      <c r="BO303" s="446"/>
      <c r="BP303" s="446"/>
      <c r="BQ303" s="446"/>
      <c r="BR303" s="446"/>
      <c r="BS303" s="446"/>
      <c r="BT303" s="446"/>
      <c r="BU303" s="562"/>
      <c r="BV303" s="446"/>
      <c r="BW303" s="446"/>
      <c r="BX303" s="446"/>
      <c r="BY303" s="446"/>
      <c r="BZ303" s="446"/>
      <c r="CA303" s="446"/>
      <c r="CB303" s="446"/>
      <c r="CC303" s="446"/>
      <c r="CD303" s="446"/>
      <c r="CE303" s="446"/>
      <c r="CF303" s="446"/>
      <c r="CG303" s="446"/>
      <c r="CH303" s="446"/>
      <c r="CI303" s="446"/>
      <c r="CJ303" s="446"/>
      <c r="CK303" s="446"/>
      <c r="CL303" s="446"/>
      <c r="CM303" s="446"/>
      <c r="CN303" s="446"/>
      <c r="CO303" s="446"/>
      <c r="CP303" s="446"/>
      <c r="CQ303" s="446"/>
      <c r="CR303" s="446"/>
      <c r="CS303" s="446"/>
      <c r="CT303" s="446"/>
      <c r="CU303" s="446"/>
      <c r="CV303" s="446"/>
      <c r="CW303" s="233"/>
      <c r="CX303" s="446"/>
      <c r="CY303" s="446"/>
      <c r="CZ303" s="446"/>
      <c r="DA303" s="446"/>
      <c r="DB303" s="446"/>
      <c r="DC303" s="446"/>
      <c r="DD303" s="446"/>
      <c r="DE303" s="446"/>
      <c r="DF303" s="446"/>
      <c r="DG303" s="446"/>
      <c r="DH303" s="446"/>
      <c r="DI303" s="446"/>
      <c r="DJ303" s="446"/>
      <c r="DK303" s="446"/>
      <c r="DL303" s="446"/>
      <c r="DM303" s="446"/>
      <c r="DN303" s="446"/>
      <c r="DO303" s="446"/>
      <c r="DP303" s="446"/>
      <c r="DQ303" s="446"/>
      <c r="DR303" s="446"/>
      <c r="DS303" s="446"/>
      <c r="DT303" s="446"/>
      <c r="DU303" s="446"/>
      <c r="DV303" s="446"/>
      <c r="DW303" s="446"/>
      <c r="DX303" s="446"/>
      <c r="DY303" s="446"/>
      <c r="DZ303" s="283"/>
    </row>
    <row r="304" spans="4:130" s="223" customFormat="1" ht="13.7" customHeight="1" x14ac:dyDescent="0.2">
      <c r="D304" s="851"/>
      <c r="E304" s="851"/>
      <c r="F304" s="851"/>
      <c r="G304" s="851"/>
      <c r="H304" s="851"/>
      <c r="I304" s="851"/>
      <c r="J304" s="851"/>
      <c r="K304" s="851"/>
      <c r="L304" s="851"/>
      <c r="M304" s="851"/>
      <c r="N304" s="851"/>
      <c r="O304" s="851"/>
      <c r="P304" s="851"/>
      <c r="Q304" s="851"/>
      <c r="R304" s="851"/>
      <c r="S304" s="860"/>
      <c r="T304" s="851"/>
      <c r="U304" s="851"/>
      <c r="V304" s="851"/>
      <c r="W304" s="851"/>
      <c r="X304" s="851"/>
      <c r="Y304" s="851"/>
      <c r="Z304" s="851"/>
      <c r="AA304" s="851"/>
      <c r="AB304" s="851"/>
      <c r="AC304" s="851"/>
      <c r="AD304" s="851"/>
      <c r="AE304" s="446"/>
      <c r="AF304" s="446"/>
      <c r="AG304" s="446"/>
      <c r="AH304" s="446"/>
      <c r="AI304" s="446"/>
      <c r="AJ304" s="446"/>
      <c r="AK304" s="446"/>
      <c r="AL304" s="446"/>
      <c r="AM304" s="446"/>
      <c r="AN304" s="446"/>
      <c r="AO304" s="446"/>
      <c r="AP304" s="446"/>
      <c r="AQ304" s="446"/>
      <c r="AR304" s="446"/>
      <c r="AS304" s="446"/>
      <c r="AT304" s="446"/>
      <c r="AU304" s="446"/>
      <c r="AV304" s="446"/>
      <c r="AW304" s="446"/>
      <c r="AX304" s="446"/>
      <c r="AY304" s="446"/>
      <c r="AZ304" s="446"/>
      <c r="BA304" s="446"/>
      <c r="BB304" s="446"/>
      <c r="BC304" s="446"/>
      <c r="BD304" s="446"/>
      <c r="BE304" s="446"/>
      <c r="BF304" s="446"/>
      <c r="BG304" s="446"/>
      <c r="BH304" s="446"/>
      <c r="BI304" s="446"/>
      <c r="BJ304" s="446"/>
      <c r="BK304" s="446"/>
      <c r="BL304" s="446"/>
      <c r="BM304" s="446"/>
      <c r="BN304" s="446"/>
      <c r="BO304" s="446"/>
      <c r="BP304" s="446"/>
      <c r="BQ304" s="446"/>
      <c r="BR304" s="446"/>
      <c r="BS304" s="446"/>
      <c r="BT304" s="446"/>
      <c r="BU304" s="562"/>
      <c r="BV304" s="446"/>
      <c r="BW304" s="446"/>
      <c r="BX304" s="446"/>
      <c r="BY304" s="446"/>
      <c r="BZ304" s="446"/>
      <c r="CA304" s="446"/>
      <c r="CB304" s="446"/>
      <c r="CC304" s="446"/>
      <c r="CD304" s="446"/>
      <c r="CE304" s="446"/>
      <c r="CF304" s="446"/>
      <c r="CG304" s="446"/>
      <c r="CH304" s="446"/>
      <c r="CI304" s="446"/>
      <c r="CJ304" s="446"/>
      <c r="CK304" s="446"/>
      <c r="CL304" s="446"/>
      <c r="CM304" s="446"/>
      <c r="CN304" s="446"/>
      <c r="CO304" s="446"/>
      <c r="CP304" s="446"/>
      <c r="CQ304" s="446"/>
      <c r="CR304" s="446"/>
      <c r="CS304" s="446"/>
      <c r="CT304" s="446"/>
      <c r="CU304" s="446"/>
      <c r="CV304" s="446"/>
      <c r="CW304" s="233"/>
      <c r="CX304" s="446"/>
      <c r="CY304" s="446"/>
      <c r="CZ304" s="446"/>
      <c r="DA304" s="446"/>
      <c r="DB304" s="446"/>
      <c r="DC304" s="446"/>
      <c r="DD304" s="446"/>
      <c r="DE304" s="446"/>
      <c r="DF304" s="446"/>
      <c r="DG304" s="446"/>
      <c r="DH304" s="446"/>
      <c r="DI304" s="446"/>
      <c r="DJ304" s="446"/>
      <c r="DK304" s="446"/>
      <c r="DL304" s="446"/>
      <c r="DM304" s="446"/>
      <c r="DN304" s="446"/>
      <c r="DO304" s="446"/>
      <c r="DP304" s="446"/>
      <c r="DQ304" s="446"/>
      <c r="DR304" s="446"/>
      <c r="DS304" s="446"/>
      <c r="DT304" s="446"/>
      <c r="DU304" s="446"/>
      <c r="DV304" s="446"/>
      <c r="DW304" s="446"/>
      <c r="DX304" s="446"/>
      <c r="DY304" s="446"/>
      <c r="DZ304" s="283"/>
    </row>
    <row r="305" spans="2:130" s="223" customFormat="1" ht="14.25" customHeight="1" x14ac:dyDescent="0.2">
      <c r="D305" s="820"/>
      <c r="E305" s="861"/>
      <c r="F305" s="820"/>
      <c r="G305" s="820"/>
      <c r="H305" s="820"/>
      <c r="I305" s="820"/>
      <c r="J305" s="820"/>
      <c r="K305" s="820"/>
      <c r="L305" s="820"/>
      <c r="M305" s="820"/>
      <c r="N305" s="820"/>
      <c r="O305" s="820"/>
      <c r="P305" s="820"/>
      <c r="Q305" s="820"/>
      <c r="R305" s="820"/>
      <c r="S305" s="470"/>
      <c r="T305" s="820"/>
      <c r="U305" s="820"/>
      <c r="V305" s="820"/>
      <c r="W305" s="820"/>
      <c r="X305" s="820"/>
      <c r="Y305" s="820"/>
      <c r="Z305" s="820"/>
      <c r="AA305" s="820"/>
      <c r="AB305" s="820"/>
      <c r="AC305" s="820"/>
      <c r="AD305" s="820"/>
      <c r="AE305" s="446"/>
      <c r="AF305" s="446"/>
      <c r="AG305" s="446"/>
      <c r="AH305" s="446"/>
      <c r="AI305" s="446"/>
      <c r="AJ305" s="446"/>
      <c r="AK305" s="446"/>
      <c r="AL305" s="446"/>
      <c r="AM305" s="446"/>
      <c r="AN305" s="446"/>
      <c r="AO305" s="446"/>
      <c r="AP305" s="446"/>
      <c r="AQ305" s="446"/>
      <c r="AR305" s="446"/>
      <c r="AS305" s="446"/>
      <c r="AT305" s="446"/>
      <c r="AU305" s="446"/>
      <c r="AV305" s="446"/>
      <c r="AW305" s="446"/>
      <c r="AX305" s="446"/>
      <c r="AY305" s="446"/>
      <c r="AZ305" s="446"/>
      <c r="BA305" s="446"/>
      <c r="BB305" s="446"/>
      <c r="BC305" s="446"/>
      <c r="BD305" s="446"/>
      <c r="BE305" s="446"/>
      <c r="BF305" s="446"/>
      <c r="BG305" s="446"/>
      <c r="BH305" s="446"/>
      <c r="BI305" s="446"/>
      <c r="BJ305" s="446"/>
      <c r="BK305" s="446"/>
      <c r="BL305" s="446"/>
      <c r="BM305" s="446"/>
      <c r="BN305" s="446"/>
      <c r="BO305" s="446"/>
      <c r="BP305" s="446"/>
      <c r="BQ305" s="446"/>
      <c r="BR305" s="446"/>
      <c r="BS305" s="446"/>
      <c r="BT305" s="446"/>
      <c r="BU305" s="562"/>
      <c r="BV305" s="446"/>
      <c r="BW305" s="446"/>
      <c r="BX305" s="446"/>
      <c r="BY305" s="446"/>
      <c r="BZ305" s="446"/>
      <c r="CA305" s="446"/>
      <c r="CB305" s="446"/>
      <c r="CC305" s="446"/>
      <c r="CD305" s="446"/>
      <c r="CE305" s="446"/>
      <c r="CF305" s="446"/>
      <c r="CG305" s="446"/>
      <c r="CH305" s="446"/>
      <c r="CI305" s="446"/>
      <c r="CJ305" s="446"/>
      <c r="CK305" s="446"/>
      <c r="CL305" s="446"/>
      <c r="CM305" s="446"/>
      <c r="CN305" s="446"/>
      <c r="CO305" s="446"/>
      <c r="CP305" s="446"/>
      <c r="CQ305" s="446"/>
      <c r="CR305" s="446"/>
      <c r="CS305" s="446"/>
      <c r="CT305" s="446"/>
      <c r="CU305" s="446"/>
      <c r="CV305" s="446"/>
      <c r="CW305" s="233"/>
      <c r="CX305" s="446"/>
      <c r="CY305" s="446"/>
      <c r="CZ305" s="446"/>
      <c r="DA305" s="446"/>
      <c r="DB305" s="446"/>
      <c r="DC305" s="446"/>
      <c r="DD305" s="446"/>
      <c r="DE305" s="446"/>
      <c r="DF305" s="446"/>
      <c r="DG305" s="446"/>
      <c r="DH305" s="446"/>
      <c r="DI305" s="446"/>
      <c r="DJ305" s="446"/>
      <c r="DK305" s="446"/>
      <c r="DL305" s="446"/>
      <c r="DM305" s="446"/>
      <c r="DN305" s="446"/>
      <c r="DO305" s="446"/>
      <c r="DP305" s="446"/>
      <c r="DQ305" s="446"/>
      <c r="DR305" s="446"/>
      <c r="DS305" s="446"/>
      <c r="DT305" s="446"/>
      <c r="DU305" s="446"/>
      <c r="DV305" s="446"/>
      <c r="DW305" s="446"/>
      <c r="DX305" s="446"/>
      <c r="DY305" s="446"/>
      <c r="DZ305" s="283"/>
    </row>
    <row r="306" spans="2:130" s="223" customFormat="1" ht="14.25" customHeight="1" x14ac:dyDescent="0.2">
      <c r="D306" s="820"/>
      <c r="E306" s="820"/>
      <c r="F306" s="820"/>
      <c r="G306" s="820"/>
      <c r="H306" s="820"/>
      <c r="I306" s="820"/>
      <c r="J306" s="820"/>
      <c r="K306" s="820"/>
      <c r="L306" s="820"/>
      <c r="M306" s="820"/>
      <c r="N306" s="820"/>
      <c r="O306" s="820"/>
      <c r="P306" s="820"/>
      <c r="Q306" s="820"/>
      <c r="R306" s="820"/>
      <c r="S306" s="470"/>
      <c r="T306" s="820"/>
      <c r="U306" s="820"/>
      <c r="V306" s="820"/>
      <c r="W306" s="820"/>
      <c r="X306" s="820"/>
      <c r="Y306" s="820"/>
      <c r="Z306" s="820"/>
      <c r="AA306" s="820"/>
      <c r="AB306" s="820"/>
      <c r="AC306" s="820"/>
      <c r="AD306" s="820"/>
      <c r="AE306" s="446"/>
      <c r="AF306" s="446"/>
      <c r="AG306" s="446"/>
      <c r="AH306" s="446"/>
      <c r="AI306" s="446"/>
      <c r="AJ306" s="446"/>
      <c r="AK306" s="446"/>
      <c r="AL306" s="446"/>
      <c r="AM306" s="446"/>
      <c r="AN306" s="446"/>
      <c r="AO306" s="446"/>
      <c r="AP306" s="446"/>
      <c r="AQ306" s="446"/>
      <c r="AR306" s="446"/>
      <c r="AS306" s="446"/>
      <c r="AT306" s="446"/>
      <c r="AU306" s="446"/>
      <c r="AV306" s="446"/>
      <c r="AW306" s="446"/>
      <c r="AX306" s="446"/>
      <c r="AY306" s="446"/>
      <c r="AZ306" s="446"/>
      <c r="BA306" s="446"/>
      <c r="BB306" s="446"/>
      <c r="BC306" s="446"/>
      <c r="BD306" s="446"/>
      <c r="BE306" s="446"/>
      <c r="BF306" s="446"/>
      <c r="BG306" s="446"/>
      <c r="BH306" s="446"/>
      <c r="BI306" s="446"/>
      <c r="BJ306" s="446"/>
      <c r="BK306" s="446"/>
      <c r="BL306" s="446"/>
      <c r="BM306" s="446"/>
      <c r="BN306" s="446"/>
      <c r="BO306" s="446"/>
      <c r="BP306" s="446"/>
      <c r="BQ306" s="446"/>
      <c r="BR306" s="446"/>
      <c r="BS306" s="446"/>
      <c r="BT306" s="446"/>
      <c r="BU306" s="562"/>
      <c r="BV306" s="446"/>
      <c r="BW306" s="446"/>
      <c r="BX306" s="446"/>
      <c r="BY306" s="446"/>
      <c r="BZ306" s="446"/>
      <c r="CA306" s="446"/>
      <c r="CB306" s="446"/>
      <c r="CC306" s="446"/>
      <c r="CD306" s="446"/>
      <c r="CE306" s="446"/>
      <c r="CF306" s="446"/>
      <c r="CG306" s="446"/>
      <c r="CH306" s="446"/>
      <c r="CI306" s="446"/>
      <c r="CJ306" s="446"/>
      <c r="CK306" s="446"/>
      <c r="CL306" s="446"/>
      <c r="CM306" s="446"/>
      <c r="CN306" s="446"/>
      <c r="CO306" s="446"/>
      <c r="CP306" s="446"/>
      <c r="CQ306" s="446"/>
      <c r="CR306" s="446"/>
      <c r="CS306" s="446"/>
      <c r="CT306" s="446"/>
      <c r="CU306" s="446"/>
      <c r="CV306" s="446"/>
      <c r="CW306" s="233"/>
      <c r="CX306" s="446"/>
      <c r="CY306" s="446"/>
      <c r="CZ306" s="446"/>
      <c r="DA306" s="446"/>
      <c r="DB306" s="446"/>
      <c r="DC306" s="446"/>
      <c r="DD306" s="446"/>
      <c r="DE306" s="446"/>
      <c r="DF306" s="446"/>
      <c r="DG306" s="446"/>
      <c r="DH306" s="446"/>
      <c r="DI306" s="446"/>
      <c r="DJ306" s="446"/>
      <c r="DK306" s="446"/>
      <c r="DL306" s="446"/>
      <c r="DM306" s="446"/>
      <c r="DN306" s="446"/>
      <c r="DO306" s="446"/>
      <c r="DP306" s="446"/>
      <c r="DQ306" s="446"/>
      <c r="DR306" s="446"/>
      <c r="DS306" s="446"/>
      <c r="DT306" s="446"/>
      <c r="DU306" s="446"/>
      <c r="DV306" s="446"/>
      <c r="DW306" s="446"/>
      <c r="DX306" s="446"/>
      <c r="DY306" s="446"/>
      <c r="DZ306" s="283"/>
    </row>
    <row r="307" spans="2:130" s="223" customFormat="1" ht="14.25" customHeight="1" x14ac:dyDescent="0.2">
      <c r="D307" s="856"/>
      <c r="E307" s="856"/>
      <c r="F307" s="856"/>
      <c r="G307" s="856"/>
      <c r="H307" s="856"/>
      <c r="I307" s="862"/>
      <c r="J307" s="863"/>
      <c r="K307" s="862"/>
      <c r="L307" s="863"/>
      <c r="M307" s="862"/>
      <c r="N307" s="863"/>
      <c r="O307" s="862"/>
      <c r="P307" s="864"/>
      <c r="Q307" s="862"/>
      <c r="R307" s="862"/>
      <c r="S307" s="865"/>
      <c r="T307" s="862"/>
      <c r="U307" s="864"/>
      <c r="V307" s="862"/>
      <c r="W307" s="864"/>
      <c r="X307" s="862"/>
      <c r="Y307" s="864"/>
      <c r="Z307" s="862"/>
      <c r="AA307" s="864"/>
      <c r="AB307" s="862"/>
      <c r="AC307" s="864"/>
      <c r="AD307" s="862"/>
      <c r="AE307" s="866"/>
      <c r="AF307" s="862"/>
      <c r="AG307" s="866"/>
      <c r="AH307" s="446"/>
      <c r="AI307" s="446"/>
      <c r="AJ307" s="446"/>
      <c r="AK307" s="446"/>
      <c r="AL307" s="446"/>
      <c r="AM307" s="446"/>
      <c r="AN307" s="446"/>
      <c r="AO307" s="446"/>
      <c r="AP307" s="446"/>
      <c r="AQ307" s="446"/>
      <c r="AR307" s="446"/>
      <c r="AS307" s="446"/>
      <c r="AT307" s="446"/>
      <c r="AU307" s="446"/>
      <c r="AV307" s="446"/>
      <c r="AW307" s="446"/>
      <c r="AX307" s="446"/>
      <c r="AY307" s="446"/>
      <c r="AZ307" s="446"/>
      <c r="BA307" s="446"/>
      <c r="BB307" s="446"/>
      <c r="BC307" s="446"/>
      <c r="BD307" s="446"/>
      <c r="BE307" s="446"/>
      <c r="BF307" s="446"/>
      <c r="BG307" s="446"/>
      <c r="BH307" s="446"/>
      <c r="BI307" s="446"/>
      <c r="BJ307" s="446"/>
      <c r="BK307" s="446"/>
      <c r="BL307" s="446"/>
      <c r="BM307" s="446"/>
      <c r="BN307" s="446"/>
      <c r="BO307" s="446"/>
      <c r="BP307" s="446"/>
      <c r="BQ307" s="446"/>
      <c r="BR307" s="446"/>
      <c r="BS307" s="446"/>
      <c r="BT307" s="446"/>
      <c r="BU307" s="562"/>
      <c r="BV307" s="446"/>
      <c r="BW307" s="446"/>
      <c r="BX307" s="446"/>
      <c r="BY307" s="446"/>
      <c r="BZ307" s="446"/>
      <c r="CA307" s="446"/>
      <c r="CB307" s="446"/>
      <c r="CC307" s="446"/>
      <c r="CD307" s="446"/>
      <c r="CE307" s="446"/>
      <c r="CF307" s="446"/>
      <c r="CG307" s="446"/>
      <c r="CH307" s="446"/>
      <c r="CI307" s="446"/>
      <c r="CJ307" s="446"/>
      <c r="CK307" s="446"/>
      <c r="CL307" s="446"/>
      <c r="CM307" s="446"/>
      <c r="CN307" s="446"/>
      <c r="CO307" s="446"/>
      <c r="CP307" s="446"/>
      <c r="CQ307" s="446"/>
      <c r="CR307" s="446"/>
      <c r="CS307" s="446"/>
      <c r="CT307" s="446"/>
      <c r="CU307" s="446"/>
      <c r="CV307" s="446"/>
      <c r="CW307" s="233"/>
      <c r="CX307" s="446"/>
      <c r="CY307" s="446"/>
      <c r="CZ307" s="446"/>
      <c r="DA307" s="446"/>
      <c r="DB307" s="446"/>
      <c r="DC307" s="446"/>
      <c r="DD307" s="446"/>
      <c r="DE307" s="446"/>
      <c r="DF307" s="446"/>
      <c r="DG307" s="446"/>
      <c r="DH307" s="446"/>
      <c r="DI307" s="446"/>
      <c r="DJ307" s="446"/>
      <c r="DK307" s="446"/>
      <c r="DL307" s="446"/>
      <c r="DM307" s="446"/>
      <c r="DN307" s="446"/>
      <c r="DO307" s="446"/>
      <c r="DP307" s="446"/>
      <c r="DQ307" s="446"/>
      <c r="DR307" s="446"/>
      <c r="DS307" s="446"/>
      <c r="DT307" s="446"/>
      <c r="DU307" s="446"/>
      <c r="DV307" s="446"/>
      <c r="DW307" s="446"/>
      <c r="DX307" s="446"/>
      <c r="DY307" s="446"/>
      <c r="DZ307" s="283"/>
    </row>
    <row r="308" spans="2:130" s="223" customFormat="1" ht="14.25" customHeight="1" x14ac:dyDescent="0.2">
      <c r="D308" s="856"/>
      <c r="E308" s="856"/>
      <c r="F308" s="856"/>
      <c r="G308" s="856"/>
      <c r="H308" s="856"/>
      <c r="I308" s="867"/>
      <c r="J308" s="868"/>
      <c r="K308" s="867"/>
      <c r="L308" s="869"/>
      <c r="M308" s="867"/>
      <c r="N308" s="869"/>
      <c r="O308" s="867"/>
      <c r="P308" s="868"/>
      <c r="Q308" s="867"/>
      <c r="R308" s="867"/>
      <c r="S308" s="233"/>
      <c r="T308" s="867"/>
      <c r="U308" s="868"/>
      <c r="V308" s="867"/>
      <c r="W308" s="868"/>
      <c r="X308" s="867"/>
      <c r="Y308" s="868"/>
      <c r="Z308" s="867"/>
      <c r="AA308" s="868"/>
      <c r="AB308" s="867"/>
      <c r="AC308" s="868"/>
      <c r="AD308" s="867"/>
      <c r="AE308" s="868"/>
      <c r="AF308" s="867"/>
      <c r="AG308" s="868"/>
      <c r="AH308" s="446"/>
      <c r="AI308" s="446"/>
      <c r="AJ308" s="446"/>
      <c r="AK308" s="446"/>
      <c r="AL308" s="446"/>
      <c r="AM308" s="446"/>
      <c r="AN308" s="446"/>
      <c r="AO308" s="446"/>
      <c r="AP308" s="446"/>
      <c r="AQ308" s="446"/>
      <c r="AR308" s="446"/>
      <c r="AS308" s="446"/>
      <c r="AT308" s="446"/>
      <c r="AU308" s="446"/>
      <c r="AV308" s="446"/>
      <c r="AW308" s="446"/>
      <c r="AX308" s="446"/>
      <c r="AY308" s="446"/>
      <c r="AZ308" s="446"/>
      <c r="BA308" s="446"/>
      <c r="BB308" s="446"/>
      <c r="BC308" s="446"/>
      <c r="BD308" s="446"/>
      <c r="BE308" s="446"/>
      <c r="BF308" s="446"/>
      <c r="BG308" s="446"/>
      <c r="BH308" s="446"/>
      <c r="BI308" s="446"/>
      <c r="BJ308" s="446"/>
      <c r="BK308" s="446"/>
      <c r="BL308" s="446"/>
      <c r="BM308" s="446"/>
      <c r="BN308" s="446"/>
      <c r="BO308" s="446"/>
      <c r="BP308" s="446"/>
      <c r="BQ308" s="446"/>
      <c r="BR308" s="446"/>
      <c r="BS308" s="446"/>
      <c r="BT308" s="446"/>
      <c r="BU308" s="562"/>
      <c r="BV308" s="446"/>
      <c r="BW308" s="446"/>
      <c r="BX308" s="446"/>
      <c r="BY308" s="446"/>
      <c r="BZ308" s="446"/>
      <c r="CA308" s="446"/>
      <c r="CB308" s="446"/>
      <c r="CC308" s="446"/>
      <c r="CD308" s="446"/>
      <c r="CE308" s="446"/>
      <c r="CF308" s="446"/>
      <c r="CG308" s="446"/>
      <c r="CH308" s="446"/>
      <c r="CI308" s="446"/>
      <c r="CJ308" s="446"/>
      <c r="CK308" s="446"/>
      <c r="CL308" s="446"/>
      <c r="CM308" s="446"/>
      <c r="CN308" s="446"/>
      <c r="CO308" s="446"/>
      <c r="CP308" s="446"/>
      <c r="CQ308" s="446"/>
      <c r="CR308" s="446"/>
      <c r="CS308" s="446"/>
      <c r="CT308" s="446"/>
      <c r="CU308" s="446"/>
      <c r="CV308" s="446"/>
      <c r="CW308" s="233"/>
      <c r="CX308" s="446"/>
      <c r="CY308" s="446"/>
      <c r="CZ308" s="446"/>
      <c r="DA308" s="446"/>
      <c r="DB308" s="446"/>
      <c r="DC308" s="446"/>
      <c r="DD308" s="446"/>
      <c r="DE308" s="446"/>
      <c r="DF308" s="446"/>
      <c r="DG308" s="446"/>
      <c r="DH308" s="446"/>
      <c r="DI308" s="446"/>
      <c r="DJ308" s="446"/>
      <c r="DK308" s="446"/>
      <c r="DL308" s="446"/>
      <c r="DM308" s="446"/>
      <c r="DN308" s="446"/>
      <c r="DO308" s="446"/>
      <c r="DP308" s="446"/>
      <c r="DQ308" s="446"/>
      <c r="DR308" s="446"/>
      <c r="DS308" s="446"/>
      <c r="DT308" s="446"/>
      <c r="DU308" s="446"/>
      <c r="DV308" s="446"/>
      <c r="DW308" s="446"/>
      <c r="DX308" s="446"/>
      <c r="DY308" s="446"/>
      <c r="DZ308" s="283"/>
    </row>
    <row r="309" spans="2:130" s="223" customFormat="1" ht="14.25" customHeight="1" x14ac:dyDescent="0.2">
      <c r="D309" s="856"/>
      <c r="E309" s="856"/>
      <c r="F309" s="856"/>
      <c r="G309" s="856"/>
      <c r="H309" s="856"/>
      <c r="I309" s="867"/>
      <c r="J309" s="868"/>
      <c r="K309" s="867"/>
      <c r="L309" s="868"/>
      <c r="M309" s="867"/>
      <c r="N309" s="868"/>
      <c r="O309" s="867"/>
      <c r="P309" s="868"/>
      <c r="Q309" s="867"/>
      <c r="R309" s="867"/>
      <c r="S309" s="233"/>
      <c r="T309" s="867"/>
      <c r="U309" s="868"/>
      <c r="V309" s="867"/>
      <c r="W309" s="868"/>
      <c r="X309" s="867"/>
      <c r="Y309" s="868"/>
      <c r="Z309" s="867"/>
      <c r="AA309" s="868"/>
      <c r="AB309" s="867"/>
      <c r="AC309" s="868"/>
      <c r="AD309" s="867"/>
      <c r="AE309" s="868"/>
      <c r="AF309" s="867"/>
      <c r="AG309" s="868"/>
      <c r="AH309" s="446"/>
      <c r="AI309" s="446"/>
      <c r="AJ309" s="446"/>
      <c r="AK309" s="446"/>
      <c r="AL309" s="446"/>
      <c r="AM309" s="446"/>
      <c r="AN309" s="446"/>
      <c r="AO309" s="446"/>
      <c r="AP309" s="446"/>
      <c r="AQ309" s="446"/>
      <c r="AR309" s="446"/>
      <c r="AS309" s="446"/>
      <c r="AT309" s="446"/>
      <c r="AU309" s="446"/>
      <c r="AV309" s="446"/>
      <c r="AW309" s="446"/>
      <c r="AX309" s="446"/>
      <c r="AY309" s="446"/>
      <c r="AZ309" s="446"/>
      <c r="BA309" s="446"/>
      <c r="BB309" s="446"/>
      <c r="BC309" s="446"/>
      <c r="BD309" s="446"/>
      <c r="BE309" s="446"/>
      <c r="BF309" s="446"/>
      <c r="BG309" s="446"/>
      <c r="BH309" s="446"/>
      <c r="BI309" s="446"/>
      <c r="BJ309" s="446"/>
      <c r="BK309" s="446"/>
      <c r="BL309" s="446"/>
      <c r="BM309" s="446"/>
      <c r="BN309" s="446"/>
      <c r="BO309" s="446"/>
      <c r="BP309" s="446"/>
      <c r="BQ309" s="446"/>
      <c r="BR309" s="446"/>
      <c r="BS309" s="446"/>
      <c r="BT309" s="446"/>
      <c r="BU309" s="562"/>
      <c r="BV309" s="446"/>
      <c r="BW309" s="446"/>
      <c r="BX309" s="446"/>
      <c r="BY309" s="446"/>
      <c r="BZ309" s="446"/>
      <c r="CA309" s="446"/>
      <c r="CB309" s="446"/>
      <c r="CC309" s="446"/>
      <c r="CD309" s="446"/>
      <c r="CE309" s="446"/>
      <c r="CF309" s="446"/>
      <c r="CG309" s="446"/>
      <c r="CH309" s="446"/>
      <c r="CI309" s="446"/>
      <c r="CJ309" s="446"/>
      <c r="CK309" s="446"/>
      <c r="CL309" s="446"/>
      <c r="CM309" s="446"/>
      <c r="CN309" s="446"/>
      <c r="CO309" s="446"/>
      <c r="CP309" s="446"/>
      <c r="CQ309" s="446"/>
      <c r="CR309" s="446"/>
      <c r="CS309" s="446"/>
      <c r="CT309" s="446"/>
      <c r="CU309" s="446"/>
      <c r="CV309" s="446"/>
      <c r="CW309" s="233"/>
      <c r="CX309" s="446"/>
      <c r="CY309" s="446"/>
      <c r="CZ309" s="446"/>
      <c r="DA309" s="446"/>
      <c r="DB309" s="446"/>
      <c r="DC309" s="446"/>
      <c r="DD309" s="446"/>
      <c r="DE309" s="446"/>
      <c r="DF309" s="446"/>
      <c r="DG309" s="446"/>
      <c r="DH309" s="446"/>
      <c r="DI309" s="446"/>
      <c r="DJ309" s="446"/>
      <c r="DK309" s="446"/>
      <c r="DL309" s="446"/>
      <c r="DM309" s="446"/>
      <c r="DN309" s="446"/>
      <c r="DO309" s="446"/>
      <c r="DP309" s="446"/>
      <c r="DQ309" s="446"/>
      <c r="DR309" s="446"/>
      <c r="DS309" s="446"/>
      <c r="DT309" s="446"/>
      <c r="DU309" s="446"/>
      <c r="DV309" s="446"/>
      <c r="DW309" s="446"/>
      <c r="DX309" s="446"/>
      <c r="DY309" s="446"/>
      <c r="DZ309" s="283"/>
    </row>
    <row r="310" spans="2:130" s="223" customFormat="1" ht="14.25" customHeight="1" x14ac:dyDescent="0.2">
      <c r="D310" s="856"/>
      <c r="E310" s="856"/>
      <c r="F310" s="856"/>
      <c r="G310" s="856"/>
      <c r="H310" s="856"/>
      <c r="I310" s="870"/>
      <c r="J310" s="868"/>
      <c r="K310" s="870"/>
      <c r="L310" s="868"/>
      <c r="M310" s="870"/>
      <c r="N310" s="868"/>
      <c r="O310" s="870"/>
      <c r="P310" s="868"/>
      <c r="Q310" s="870"/>
      <c r="R310" s="870"/>
      <c r="S310" s="233"/>
      <c r="T310" s="870"/>
      <c r="U310" s="868"/>
      <c r="V310" s="870"/>
      <c r="W310" s="868"/>
      <c r="X310" s="870"/>
      <c r="Y310" s="868"/>
      <c r="Z310" s="870"/>
      <c r="AA310" s="868"/>
      <c r="AB310" s="870"/>
      <c r="AC310" s="868"/>
      <c r="AD310" s="870"/>
      <c r="AE310" s="868"/>
      <c r="AF310" s="870"/>
      <c r="AG310" s="868"/>
      <c r="AH310" s="446"/>
      <c r="AI310" s="446"/>
      <c r="AJ310" s="446"/>
      <c r="AK310" s="446"/>
      <c r="AL310" s="446"/>
      <c r="AM310" s="446"/>
      <c r="AN310" s="446"/>
      <c r="AO310" s="446"/>
      <c r="AP310" s="446"/>
      <c r="AQ310" s="446"/>
      <c r="AR310" s="446"/>
      <c r="AS310" s="446"/>
      <c r="AT310" s="446"/>
      <c r="AU310" s="446"/>
      <c r="AV310" s="446"/>
      <c r="AW310" s="446"/>
      <c r="AX310" s="446"/>
      <c r="AY310" s="446"/>
      <c r="AZ310" s="446"/>
      <c r="BA310" s="446"/>
      <c r="BB310" s="446"/>
      <c r="BC310" s="446"/>
      <c r="BD310" s="446"/>
      <c r="BE310" s="446"/>
      <c r="BF310" s="446"/>
      <c r="BG310" s="446"/>
      <c r="BH310" s="446"/>
      <c r="BI310" s="446"/>
      <c r="BJ310" s="446"/>
      <c r="BK310" s="446"/>
      <c r="BL310" s="446"/>
      <c r="BM310" s="446"/>
      <c r="BN310" s="446"/>
      <c r="BO310" s="446"/>
      <c r="BP310" s="446"/>
      <c r="BQ310" s="446"/>
      <c r="BR310" s="446"/>
      <c r="BS310" s="446"/>
      <c r="BT310" s="446"/>
      <c r="BU310" s="562"/>
      <c r="BV310" s="446"/>
      <c r="BW310" s="446"/>
      <c r="BX310" s="446"/>
      <c r="BY310" s="446"/>
      <c r="BZ310" s="446"/>
      <c r="CA310" s="446"/>
      <c r="CB310" s="446"/>
      <c r="CC310" s="446"/>
      <c r="CD310" s="446"/>
      <c r="CE310" s="446"/>
      <c r="CF310" s="446"/>
      <c r="CG310" s="446"/>
      <c r="CH310" s="446"/>
      <c r="CI310" s="446"/>
      <c r="CJ310" s="446"/>
      <c r="CK310" s="446"/>
      <c r="CL310" s="446"/>
      <c r="CM310" s="446"/>
      <c r="CN310" s="446"/>
      <c r="CO310" s="446"/>
      <c r="CP310" s="446"/>
      <c r="CQ310" s="446"/>
      <c r="CR310" s="446"/>
      <c r="CS310" s="446"/>
      <c r="CT310" s="446"/>
      <c r="CU310" s="446"/>
      <c r="CV310" s="446"/>
      <c r="CW310" s="233"/>
      <c r="CX310" s="446"/>
      <c r="CY310" s="446"/>
      <c r="CZ310" s="446"/>
      <c r="DA310" s="446"/>
      <c r="DB310" s="446"/>
      <c r="DC310" s="446"/>
      <c r="DD310" s="446"/>
      <c r="DE310" s="446"/>
      <c r="DF310" s="446"/>
      <c r="DG310" s="446"/>
      <c r="DH310" s="446"/>
      <c r="DI310" s="446"/>
      <c r="DJ310" s="446"/>
      <c r="DK310" s="446"/>
      <c r="DL310" s="446"/>
      <c r="DM310" s="446"/>
      <c r="DN310" s="446"/>
      <c r="DO310" s="446"/>
      <c r="DP310" s="446"/>
      <c r="DQ310" s="446"/>
      <c r="DR310" s="446"/>
      <c r="DS310" s="446"/>
      <c r="DT310" s="446"/>
      <c r="DU310" s="446"/>
      <c r="DV310" s="446"/>
      <c r="DW310" s="446"/>
      <c r="DX310" s="446"/>
      <c r="DY310" s="446"/>
      <c r="DZ310" s="283"/>
    </row>
    <row r="311" spans="2:130" s="223" customFormat="1" ht="14.25" customHeight="1" x14ac:dyDescent="0.2">
      <c r="D311" s="856"/>
      <c r="E311" s="856"/>
      <c r="F311" s="856"/>
      <c r="G311" s="856"/>
      <c r="H311" s="856"/>
      <c r="I311" s="867"/>
      <c r="J311" s="868"/>
      <c r="K311" s="867"/>
      <c r="L311" s="868"/>
      <c r="M311" s="867"/>
      <c r="N311" s="868"/>
      <c r="O311" s="867"/>
      <c r="P311" s="868"/>
      <c r="Q311" s="867"/>
      <c r="R311" s="867"/>
      <c r="S311" s="233"/>
      <c r="T311" s="867"/>
      <c r="U311" s="868"/>
      <c r="V311" s="867"/>
      <c r="W311" s="868"/>
      <c r="X311" s="867"/>
      <c r="Y311" s="868"/>
      <c r="Z311" s="867"/>
      <c r="AA311" s="868"/>
      <c r="AB311" s="867"/>
      <c r="AC311" s="868"/>
      <c r="AD311" s="867"/>
      <c r="AE311" s="868"/>
      <c r="AF311" s="867"/>
      <c r="AG311" s="868"/>
      <c r="AH311" s="446"/>
      <c r="AI311" s="446"/>
      <c r="AJ311" s="446"/>
      <c r="AK311" s="446"/>
      <c r="AL311" s="446"/>
      <c r="AM311" s="446"/>
      <c r="AN311" s="446"/>
      <c r="AO311" s="446"/>
      <c r="AP311" s="446"/>
      <c r="AQ311" s="446"/>
      <c r="AR311" s="446"/>
      <c r="AS311" s="446"/>
      <c r="AT311" s="446"/>
      <c r="AU311" s="446"/>
      <c r="AV311" s="446"/>
      <c r="AW311" s="446"/>
      <c r="AX311" s="446"/>
      <c r="AY311" s="446"/>
      <c r="AZ311" s="446"/>
      <c r="BA311" s="446"/>
      <c r="BB311" s="446"/>
      <c r="BC311" s="446"/>
      <c r="BD311" s="446"/>
      <c r="BE311" s="446"/>
      <c r="BF311" s="446"/>
      <c r="BG311" s="446"/>
      <c r="BH311" s="446"/>
      <c r="BI311" s="446"/>
      <c r="BJ311" s="446"/>
      <c r="BK311" s="446"/>
      <c r="BL311" s="446"/>
      <c r="BM311" s="446"/>
      <c r="BN311" s="446"/>
      <c r="BO311" s="446"/>
      <c r="BP311" s="446"/>
      <c r="BQ311" s="446"/>
      <c r="BR311" s="446"/>
      <c r="BS311" s="446"/>
      <c r="BT311" s="446"/>
      <c r="BU311" s="562"/>
      <c r="BV311" s="446"/>
      <c r="BW311" s="446"/>
      <c r="BX311" s="446"/>
      <c r="BY311" s="446"/>
      <c r="BZ311" s="446"/>
      <c r="CA311" s="446"/>
      <c r="CB311" s="446"/>
      <c r="CC311" s="446"/>
      <c r="CD311" s="446"/>
      <c r="CE311" s="446"/>
      <c r="CF311" s="446"/>
      <c r="CG311" s="446"/>
      <c r="CH311" s="446"/>
      <c r="CI311" s="446"/>
      <c r="CJ311" s="446"/>
      <c r="CK311" s="446"/>
      <c r="CL311" s="446"/>
      <c r="CM311" s="446"/>
      <c r="CN311" s="446"/>
      <c r="CO311" s="446"/>
      <c r="CP311" s="446"/>
      <c r="CQ311" s="446"/>
      <c r="CR311" s="446"/>
      <c r="CS311" s="446"/>
      <c r="CT311" s="446"/>
      <c r="CU311" s="446"/>
      <c r="CV311" s="446"/>
      <c r="CW311" s="233"/>
      <c r="CX311" s="446"/>
      <c r="CY311" s="446"/>
      <c r="CZ311" s="446"/>
      <c r="DA311" s="446"/>
      <c r="DB311" s="446"/>
      <c r="DC311" s="446"/>
      <c r="DD311" s="446"/>
      <c r="DE311" s="446"/>
      <c r="DF311" s="446"/>
      <c r="DG311" s="446"/>
      <c r="DH311" s="446"/>
      <c r="DI311" s="446"/>
      <c r="DJ311" s="446"/>
      <c r="DK311" s="446"/>
      <c r="DL311" s="446"/>
      <c r="DM311" s="446"/>
      <c r="DN311" s="446"/>
      <c r="DO311" s="446"/>
      <c r="DP311" s="446"/>
      <c r="DQ311" s="446"/>
      <c r="DR311" s="446"/>
      <c r="DS311" s="446"/>
      <c r="DT311" s="446"/>
      <c r="DU311" s="446"/>
      <c r="DV311" s="446"/>
      <c r="DW311" s="446"/>
      <c r="DX311" s="446"/>
      <c r="DY311" s="446"/>
      <c r="DZ311" s="283"/>
    </row>
    <row r="312" spans="2:130" s="223" customFormat="1" ht="14.25" customHeight="1" x14ac:dyDescent="0.2">
      <c r="D312" s="856"/>
      <c r="E312" s="820"/>
      <c r="F312" s="871"/>
      <c r="G312" s="872"/>
      <c r="H312" s="820"/>
      <c r="I312" s="820"/>
      <c r="J312" s="868"/>
      <c r="K312" s="820"/>
      <c r="L312" s="868"/>
      <c r="M312" s="820"/>
      <c r="N312" s="868"/>
      <c r="O312" s="820"/>
      <c r="P312" s="868"/>
      <c r="Q312" s="820"/>
      <c r="R312" s="820"/>
      <c r="S312" s="233"/>
      <c r="T312" s="820"/>
      <c r="U312" s="868"/>
      <c r="V312" s="820"/>
      <c r="W312" s="868"/>
      <c r="X312" s="820"/>
      <c r="Y312" s="868"/>
      <c r="Z312" s="820"/>
      <c r="AA312" s="868"/>
      <c r="AB312" s="820"/>
      <c r="AC312" s="868"/>
      <c r="AD312" s="861"/>
      <c r="AE312" s="868"/>
      <c r="AF312" s="861"/>
      <c r="AG312" s="868"/>
      <c r="AH312" s="446"/>
      <c r="AI312" s="446"/>
      <c r="AJ312" s="446"/>
      <c r="AK312" s="446"/>
      <c r="AL312" s="446"/>
      <c r="AM312" s="446"/>
      <c r="AN312" s="446"/>
      <c r="AO312" s="446"/>
      <c r="AP312" s="446"/>
      <c r="AQ312" s="446"/>
      <c r="AR312" s="446"/>
      <c r="AS312" s="446"/>
      <c r="AT312" s="446"/>
      <c r="AU312" s="446"/>
      <c r="AV312" s="446"/>
      <c r="AW312" s="446"/>
      <c r="AX312" s="446"/>
      <c r="AY312" s="446"/>
      <c r="AZ312" s="446"/>
      <c r="BA312" s="446"/>
      <c r="BB312" s="446"/>
      <c r="BC312" s="446"/>
      <c r="BD312" s="446"/>
      <c r="BE312" s="446"/>
      <c r="BF312" s="446"/>
      <c r="BG312" s="446"/>
      <c r="BH312" s="446"/>
      <c r="BI312" s="446"/>
      <c r="BJ312" s="446"/>
      <c r="BK312" s="446"/>
      <c r="BL312" s="446"/>
      <c r="BM312" s="446"/>
      <c r="BN312" s="446"/>
      <c r="BO312" s="446"/>
      <c r="BP312" s="446"/>
      <c r="BQ312" s="446"/>
      <c r="BR312" s="446"/>
      <c r="BS312" s="446"/>
      <c r="BT312" s="446"/>
      <c r="BU312" s="562"/>
      <c r="BV312" s="446"/>
      <c r="BW312" s="446"/>
      <c r="BX312" s="446"/>
      <c r="BY312" s="446"/>
      <c r="BZ312" s="446"/>
      <c r="CA312" s="446"/>
      <c r="CB312" s="446"/>
      <c r="CC312" s="446"/>
      <c r="CD312" s="446"/>
      <c r="CE312" s="446"/>
      <c r="CF312" s="446"/>
      <c r="CG312" s="446"/>
      <c r="CH312" s="446"/>
      <c r="CI312" s="446"/>
      <c r="CJ312" s="446"/>
      <c r="CK312" s="446"/>
      <c r="CL312" s="446"/>
      <c r="CM312" s="446"/>
      <c r="CN312" s="446"/>
      <c r="CO312" s="446"/>
      <c r="CP312" s="446"/>
      <c r="CQ312" s="446"/>
      <c r="CR312" s="446"/>
      <c r="CS312" s="446"/>
      <c r="CT312" s="446"/>
      <c r="CU312" s="446"/>
      <c r="CV312" s="446"/>
      <c r="CW312" s="233"/>
      <c r="CX312" s="446"/>
      <c r="CY312" s="446"/>
      <c r="CZ312" s="446"/>
      <c r="DA312" s="446"/>
      <c r="DB312" s="446"/>
      <c r="DC312" s="446"/>
      <c r="DD312" s="446"/>
      <c r="DE312" s="446"/>
      <c r="DF312" s="446"/>
      <c r="DG312" s="446"/>
      <c r="DH312" s="446"/>
      <c r="DI312" s="446"/>
      <c r="DJ312" s="446"/>
      <c r="DK312" s="446"/>
      <c r="DL312" s="446"/>
      <c r="DM312" s="446"/>
      <c r="DN312" s="446"/>
      <c r="DO312" s="446"/>
      <c r="DP312" s="446"/>
      <c r="DQ312" s="446"/>
      <c r="DR312" s="446"/>
      <c r="DS312" s="446"/>
      <c r="DT312" s="446"/>
      <c r="DU312" s="446"/>
      <c r="DV312" s="446"/>
      <c r="DW312" s="446"/>
      <c r="DX312" s="446"/>
      <c r="DY312" s="446"/>
      <c r="DZ312" s="283"/>
    </row>
    <row r="313" spans="2:130" s="223" customFormat="1" ht="14.25" customHeight="1" x14ac:dyDescent="0.2">
      <c r="D313" s="856"/>
      <c r="E313" s="283"/>
      <c r="F313" s="871"/>
      <c r="G313" s="856"/>
      <c r="H313" s="820"/>
      <c r="I313" s="820"/>
      <c r="J313" s="868"/>
      <c r="K313" s="820"/>
      <c r="L313" s="868"/>
      <c r="M313" s="820"/>
      <c r="N313" s="868"/>
      <c r="O313" s="820"/>
      <c r="P313" s="868"/>
      <c r="Q313" s="820"/>
      <c r="R313" s="820"/>
      <c r="S313" s="233"/>
      <c r="T313" s="820"/>
      <c r="U313" s="868"/>
      <c r="V313" s="820"/>
      <c r="W313" s="868"/>
      <c r="X313" s="820"/>
      <c r="Y313" s="868"/>
      <c r="Z313" s="820"/>
      <c r="AA313" s="868"/>
      <c r="AB313" s="820"/>
      <c r="AC313" s="868"/>
      <c r="AD313" s="820"/>
      <c r="AE313" s="868"/>
      <c r="AF313" s="820"/>
      <c r="AG313" s="868"/>
      <c r="AH313" s="446"/>
      <c r="AI313" s="446"/>
      <c r="AJ313" s="446"/>
      <c r="AK313" s="446"/>
      <c r="AL313" s="446"/>
      <c r="AM313" s="446"/>
      <c r="AN313" s="446"/>
      <c r="AO313" s="446"/>
      <c r="AP313" s="446"/>
      <c r="AQ313" s="446"/>
      <c r="AR313" s="446"/>
      <c r="AS313" s="446"/>
      <c r="AT313" s="446"/>
      <c r="AU313" s="446"/>
      <c r="AV313" s="446"/>
      <c r="AW313" s="446"/>
      <c r="AX313" s="446"/>
      <c r="AY313" s="446"/>
      <c r="AZ313" s="446"/>
      <c r="BA313" s="446"/>
      <c r="BB313" s="446"/>
      <c r="BC313" s="446"/>
      <c r="BD313" s="446"/>
      <c r="BE313" s="446"/>
      <c r="BF313" s="446"/>
      <c r="BG313" s="446"/>
      <c r="BH313" s="446"/>
      <c r="BI313" s="446"/>
      <c r="BJ313" s="446"/>
      <c r="BK313" s="446"/>
      <c r="BL313" s="446"/>
      <c r="BM313" s="446"/>
      <c r="BN313" s="446"/>
      <c r="BO313" s="446"/>
      <c r="BP313" s="446"/>
      <c r="BQ313" s="446"/>
      <c r="BR313" s="446"/>
      <c r="BS313" s="446"/>
      <c r="BT313" s="446"/>
      <c r="BU313" s="562"/>
      <c r="BV313" s="446"/>
      <c r="BW313" s="446"/>
      <c r="BX313" s="446"/>
      <c r="BY313" s="446"/>
      <c r="BZ313" s="446"/>
      <c r="CA313" s="446"/>
      <c r="CB313" s="446"/>
      <c r="CC313" s="446"/>
      <c r="CD313" s="446"/>
      <c r="CE313" s="446"/>
      <c r="CF313" s="446"/>
      <c r="CG313" s="446"/>
      <c r="CH313" s="446"/>
      <c r="CI313" s="446"/>
      <c r="CJ313" s="446"/>
      <c r="CK313" s="446"/>
      <c r="CL313" s="446"/>
      <c r="CM313" s="446"/>
      <c r="CN313" s="446"/>
      <c r="CO313" s="446"/>
      <c r="CP313" s="446"/>
      <c r="CQ313" s="446"/>
      <c r="CR313" s="446"/>
      <c r="CS313" s="446"/>
      <c r="CT313" s="446"/>
      <c r="CU313" s="446"/>
      <c r="CV313" s="446"/>
      <c r="CW313" s="233"/>
      <c r="CX313" s="446"/>
      <c r="CY313" s="446"/>
      <c r="CZ313" s="446"/>
      <c r="DA313" s="446"/>
      <c r="DB313" s="446"/>
      <c r="DC313" s="446"/>
      <c r="DD313" s="446"/>
      <c r="DE313" s="446"/>
      <c r="DF313" s="446"/>
      <c r="DG313" s="446"/>
      <c r="DH313" s="446"/>
      <c r="DI313" s="446"/>
      <c r="DJ313" s="446"/>
      <c r="DK313" s="446"/>
      <c r="DL313" s="446"/>
      <c r="DM313" s="446"/>
      <c r="DN313" s="446"/>
      <c r="DO313" s="446"/>
      <c r="DP313" s="446"/>
      <c r="DQ313" s="446"/>
      <c r="DR313" s="446"/>
      <c r="DS313" s="446"/>
      <c r="DT313" s="446"/>
      <c r="DU313" s="446"/>
      <c r="DV313" s="446"/>
      <c r="DW313" s="446"/>
      <c r="DX313" s="446"/>
      <c r="DY313" s="446"/>
      <c r="DZ313" s="283"/>
    </row>
    <row r="314" spans="2:130" s="223" customFormat="1" ht="14.25" customHeight="1" x14ac:dyDescent="0.2">
      <c r="D314" s="856"/>
      <c r="E314" s="283"/>
      <c r="F314" s="871"/>
      <c r="G314" s="872"/>
      <c r="H314" s="820"/>
      <c r="I314" s="820"/>
      <c r="J314" s="868"/>
      <c r="K314" s="820"/>
      <c r="L314" s="868"/>
      <c r="M314" s="820"/>
      <c r="N314" s="868"/>
      <c r="O314" s="820"/>
      <c r="P314" s="868"/>
      <c r="Q314" s="820"/>
      <c r="R314" s="820"/>
      <c r="S314" s="233"/>
      <c r="T314" s="820"/>
      <c r="U314" s="868"/>
      <c r="V314" s="820"/>
      <c r="W314" s="868"/>
      <c r="X314" s="820"/>
      <c r="Y314" s="868"/>
      <c r="Z314" s="820"/>
      <c r="AA314" s="868"/>
      <c r="AB314" s="820"/>
      <c r="AC314" s="868"/>
      <c r="AD314" s="820"/>
      <c r="AE314" s="868"/>
      <c r="AF314" s="820"/>
      <c r="AG314" s="868"/>
      <c r="AH314" s="446"/>
      <c r="AI314" s="446"/>
      <c r="AJ314" s="446"/>
      <c r="AK314" s="446"/>
      <c r="AL314" s="446"/>
      <c r="AM314" s="446"/>
      <c r="AN314" s="446"/>
      <c r="AO314" s="446"/>
      <c r="AP314" s="446"/>
      <c r="AQ314" s="446"/>
      <c r="AR314" s="446"/>
      <c r="AS314" s="446"/>
      <c r="AT314" s="446"/>
      <c r="AU314" s="446"/>
      <c r="AV314" s="446"/>
      <c r="AW314" s="446"/>
      <c r="AX314" s="446"/>
      <c r="AY314" s="446"/>
      <c r="AZ314" s="446"/>
      <c r="BA314" s="446"/>
      <c r="BB314" s="446"/>
      <c r="BC314" s="446"/>
      <c r="BD314" s="446"/>
      <c r="BE314" s="446"/>
      <c r="BF314" s="446"/>
      <c r="BG314" s="446"/>
      <c r="BH314" s="446"/>
      <c r="BI314" s="446"/>
      <c r="BJ314" s="446"/>
      <c r="BK314" s="446"/>
      <c r="BL314" s="446"/>
      <c r="BM314" s="446"/>
      <c r="BN314" s="446"/>
      <c r="BO314" s="446"/>
      <c r="BP314" s="446"/>
      <c r="BQ314" s="446"/>
      <c r="BR314" s="446"/>
      <c r="BS314" s="446"/>
      <c r="BT314" s="446"/>
      <c r="BU314" s="562"/>
      <c r="BV314" s="446"/>
      <c r="BW314" s="446"/>
      <c r="BX314" s="446"/>
      <c r="BY314" s="446"/>
      <c r="BZ314" s="446"/>
      <c r="CA314" s="446"/>
      <c r="CB314" s="446"/>
      <c r="CC314" s="446"/>
      <c r="CD314" s="446"/>
      <c r="CE314" s="446"/>
      <c r="CF314" s="446"/>
      <c r="CG314" s="446"/>
      <c r="CH314" s="446"/>
      <c r="CI314" s="446"/>
      <c r="CJ314" s="446"/>
      <c r="CK314" s="446"/>
      <c r="CL314" s="446"/>
      <c r="CM314" s="446"/>
      <c r="CN314" s="446"/>
      <c r="CO314" s="446"/>
      <c r="CP314" s="446"/>
      <c r="CQ314" s="446"/>
      <c r="CR314" s="446"/>
      <c r="CS314" s="446"/>
      <c r="CT314" s="446"/>
      <c r="CU314" s="446"/>
      <c r="CV314" s="446"/>
      <c r="CW314" s="233"/>
      <c r="CX314" s="446"/>
      <c r="CY314" s="446"/>
      <c r="CZ314" s="446"/>
      <c r="DA314" s="446"/>
      <c r="DB314" s="446"/>
      <c r="DC314" s="446"/>
      <c r="DD314" s="446"/>
      <c r="DE314" s="446"/>
      <c r="DF314" s="446"/>
      <c r="DG314" s="446"/>
      <c r="DH314" s="446"/>
      <c r="DI314" s="446"/>
      <c r="DJ314" s="446"/>
      <c r="DK314" s="446"/>
      <c r="DL314" s="446"/>
      <c r="DM314" s="446"/>
      <c r="DN314" s="446"/>
      <c r="DO314" s="446"/>
      <c r="DP314" s="446"/>
      <c r="DQ314" s="446"/>
      <c r="DR314" s="446"/>
      <c r="DS314" s="446"/>
      <c r="DT314" s="446"/>
      <c r="DU314" s="446"/>
      <c r="DV314" s="446"/>
      <c r="DW314" s="446"/>
      <c r="DX314" s="446"/>
      <c r="DY314" s="446"/>
      <c r="DZ314" s="283"/>
    </row>
    <row r="315" spans="2:130" s="223" customFormat="1" ht="14.25" customHeight="1" x14ac:dyDescent="0.2">
      <c r="B315" s="1650"/>
      <c r="C315" s="1650"/>
      <c r="D315" s="856"/>
      <c r="E315" s="283"/>
      <c r="F315" s="871"/>
      <c r="G315" s="856"/>
      <c r="H315" s="820"/>
      <c r="I315" s="820"/>
      <c r="J315" s="868"/>
      <c r="K315" s="820"/>
      <c r="L315" s="868"/>
      <c r="M315" s="820"/>
      <c r="N315" s="868"/>
      <c r="O315" s="820"/>
      <c r="P315" s="868"/>
      <c r="Q315" s="820"/>
      <c r="R315" s="820"/>
      <c r="S315" s="233"/>
      <c r="T315" s="820"/>
      <c r="U315" s="868"/>
      <c r="V315" s="820"/>
      <c r="W315" s="868"/>
      <c r="X315" s="820"/>
      <c r="Y315" s="868"/>
      <c r="Z315" s="820"/>
      <c r="AA315" s="868"/>
      <c r="AB315" s="820"/>
      <c r="AC315" s="868"/>
      <c r="AD315" s="867"/>
      <c r="AE315" s="868"/>
      <c r="AF315" s="820"/>
      <c r="AG315" s="868"/>
      <c r="AH315" s="446"/>
      <c r="AI315" s="446"/>
      <c r="AJ315" s="446"/>
      <c r="AK315" s="446"/>
      <c r="AL315" s="446"/>
      <c r="AM315" s="446"/>
      <c r="AN315" s="446"/>
      <c r="AO315" s="446"/>
      <c r="AP315" s="446"/>
      <c r="AQ315" s="446"/>
      <c r="AR315" s="446"/>
      <c r="AS315" s="446"/>
      <c r="AT315" s="446"/>
      <c r="AU315" s="446"/>
      <c r="AV315" s="446"/>
      <c r="AW315" s="446"/>
      <c r="AX315" s="446"/>
      <c r="AY315" s="446"/>
      <c r="AZ315" s="446"/>
      <c r="BA315" s="446"/>
      <c r="BB315" s="446"/>
      <c r="BC315" s="446"/>
      <c r="BD315" s="446"/>
      <c r="BE315" s="446"/>
      <c r="BF315" s="446"/>
      <c r="BG315" s="446"/>
      <c r="BH315" s="446"/>
      <c r="BI315" s="446"/>
      <c r="BJ315" s="446"/>
      <c r="BK315" s="446"/>
      <c r="BL315" s="446"/>
      <c r="BM315" s="446"/>
      <c r="BN315" s="446"/>
      <c r="BO315" s="446"/>
      <c r="BP315" s="446"/>
      <c r="BQ315" s="446"/>
      <c r="BR315" s="446"/>
      <c r="BS315" s="446"/>
      <c r="BT315" s="446"/>
      <c r="BU315" s="562"/>
      <c r="BV315" s="446"/>
      <c r="BW315" s="446"/>
      <c r="BX315" s="446"/>
      <c r="BY315" s="446"/>
      <c r="BZ315" s="446"/>
      <c r="CA315" s="446"/>
      <c r="CB315" s="446"/>
      <c r="CC315" s="446"/>
      <c r="CD315" s="446"/>
      <c r="CE315" s="446"/>
      <c r="CF315" s="446"/>
      <c r="CG315" s="446"/>
      <c r="CH315" s="446"/>
      <c r="CI315" s="446"/>
      <c r="CJ315" s="446"/>
      <c r="CK315" s="446"/>
      <c r="CL315" s="446"/>
      <c r="CM315" s="446"/>
      <c r="CN315" s="446"/>
      <c r="CO315" s="446"/>
      <c r="CP315" s="446"/>
      <c r="CQ315" s="446"/>
      <c r="CR315" s="446"/>
      <c r="CS315" s="446"/>
      <c r="CT315" s="446"/>
      <c r="CU315" s="446"/>
      <c r="CV315" s="446"/>
      <c r="CW315" s="984"/>
      <c r="CX315" s="446"/>
      <c r="CY315" s="446"/>
      <c r="CZ315" s="446"/>
      <c r="DA315" s="446"/>
      <c r="DB315" s="446"/>
      <c r="DC315" s="446"/>
      <c r="DD315" s="446"/>
      <c r="DE315" s="446"/>
      <c r="DF315" s="446"/>
      <c r="DG315" s="446"/>
      <c r="DH315" s="446"/>
      <c r="DI315" s="446"/>
      <c r="DJ315" s="446"/>
      <c r="DK315" s="446"/>
      <c r="DL315" s="446"/>
      <c r="DM315" s="446"/>
      <c r="DN315" s="446"/>
      <c r="DO315" s="446"/>
      <c r="DP315" s="446"/>
      <c r="DQ315" s="446"/>
      <c r="DR315" s="446"/>
      <c r="DS315" s="446"/>
      <c r="DT315" s="446"/>
      <c r="DU315" s="446"/>
      <c r="DV315" s="446"/>
      <c r="DW315" s="446"/>
      <c r="DX315" s="446"/>
      <c r="DY315" s="446"/>
      <c r="DZ315" s="283"/>
    </row>
    <row r="316" spans="2:130" s="223" customFormat="1" ht="42.75" customHeight="1" x14ac:dyDescent="0.2">
      <c r="B316" s="873"/>
      <c r="C316" s="851"/>
      <c r="D316" s="851"/>
      <c r="E316" s="820"/>
      <c r="F316" s="820"/>
      <c r="G316" s="862"/>
      <c r="H316" s="862"/>
      <c r="I316" s="862"/>
      <c r="J316" s="862"/>
      <c r="K316" s="862"/>
      <c r="L316" s="862"/>
      <c r="M316" s="862"/>
      <c r="N316" s="862"/>
      <c r="O316" s="862"/>
      <c r="P316" s="862"/>
      <c r="Q316" s="874"/>
      <c r="R316" s="862"/>
      <c r="S316" s="875"/>
      <c r="T316" s="862"/>
      <c r="U316" s="862"/>
      <c r="V316" s="862"/>
      <c r="W316" s="862"/>
      <c r="X316" s="862"/>
      <c r="Y316" s="862"/>
      <c r="Z316" s="862"/>
      <c r="AA316" s="862"/>
      <c r="AB316" s="862"/>
      <c r="AC316" s="862"/>
      <c r="AD316" s="862"/>
      <c r="AE316" s="862"/>
      <c r="AF316" s="862"/>
      <c r="AG316" s="862"/>
      <c r="AH316" s="446"/>
      <c r="AI316" s="446"/>
      <c r="AJ316" s="446"/>
      <c r="AK316" s="446"/>
      <c r="AL316" s="446"/>
      <c r="AM316" s="446"/>
      <c r="AN316" s="446"/>
      <c r="AO316" s="446"/>
      <c r="AP316" s="446"/>
      <c r="AQ316" s="446"/>
      <c r="AR316" s="446"/>
      <c r="AS316" s="446"/>
      <c r="AT316" s="446"/>
      <c r="AU316" s="446"/>
      <c r="AV316" s="446"/>
      <c r="AW316" s="446"/>
      <c r="AX316" s="446"/>
      <c r="AY316" s="446"/>
      <c r="AZ316" s="446"/>
      <c r="BA316" s="446"/>
      <c r="BB316" s="446"/>
      <c r="BC316" s="446"/>
      <c r="BD316" s="446"/>
      <c r="BE316" s="446"/>
      <c r="BF316" s="446"/>
      <c r="BG316" s="446"/>
      <c r="BH316" s="446"/>
      <c r="BI316" s="446"/>
      <c r="BJ316" s="446"/>
      <c r="BK316" s="446"/>
      <c r="BL316" s="446"/>
      <c r="BM316" s="446"/>
      <c r="BN316" s="446"/>
      <c r="BO316" s="446"/>
      <c r="BP316" s="446"/>
      <c r="BQ316" s="446"/>
      <c r="BR316" s="446"/>
      <c r="BS316" s="446"/>
      <c r="BT316" s="446"/>
      <c r="BU316" s="562"/>
      <c r="BV316" s="446"/>
      <c r="BW316" s="446"/>
      <c r="BX316" s="446"/>
      <c r="BY316" s="446"/>
      <c r="BZ316" s="446"/>
      <c r="CA316" s="446"/>
      <c r="CB316" s="446"/>
      <c r="CC316" s="446"/>
      <c r="CD316" s="446"/>
      <c r="CE316" s="446"/>
      <c r="CF316" s="446"/>
      <c r="CG316" s="446"/>
      <c r="CH316" s="446"/>
      <c r="CI316" s="446"/>
      <c r="CJ316" s="446"/>
      <c r="CK316" s="446"/>
      <c r="CL316" s="446"/>
      <c r="CM316" s="446"/>
      <c r="CN316" s="446"/>
      <c r="CO316" s="446"/>
      <c r="CP316" s="446"/>
      <c r="CQ316" s="446"/>
      <c r="CR316" s="446"/>
      <c r="CS316" s="446"/>
      <c r="CT316" s="446"/>
      <c r="CU316" s="446"/>
      <c r="CV316" s="446"/>
      <c r="CW316" s="851"/>
      <c r="CX316" s="446"/>
      <c r="CY316" s="446"/>
      <c r="CZ316" s="446"/>
      <c r="DA316" s="446"/>
      <c r="DB316" s="446"/>
      <c r="DC316" s="446"/>
      <c r="DD316" s="446"/>
      <c r="DE316" s="446"/>
      <c r="DF316" s="446"/>
      <c r="DG316" s="446"/>
      <c r="DH316" s="446"/>
      <c r="DI316" s="446"/>
      <c r="DJ316" s="446"/>
      <c r="DK316" s="446"/>
      <c r="DL316" s="446"/>
      <c r="DM316" s="446"/>
      <c r="DN316" s="446"/>
      <c r="DO316" s="446"/>
      <c r="DP316" s="446"/>
      <c r="DQ316" s="446"/>
      <c r="DR316" s="446"/>
      <c r="DS316" s="446"/>
      <c r="DT316" s="446"/>
      <c r="DU316" s="446"/>
      <c r="DV316" s="446"/>
      <c r="DW316" s="446"/>
      <c r="DX316" s="446"/>
      <c r="DY316" s="446"/>
      <c r="DZ316" s="283"/>
    </row>
    <row r="317" spans="2:130" s="223" customFormat="1" ht="14.25" customHeight="1" x14ac:dyDescent="0.2">
      <c r="B317" s="851"/>
      <c r="C317" s="851"/>
      <c r="D317" s="851"/>
      <c r="E317" s="861"/>
      <c r="F317" s="820"/>
      <c r="G317" s="862"/>
      <c r="H317" s="862"/>
      <c r="I317" s="862"/>
      <c r="J317" s="862"/>
      <c r="K317" s="862"/>
      <c r="L317" s="862"/>
      <c r="M317" s="862"/>
      <c r="N317" s="862"/>
      <c r="O317" s="862"/>
      <c r="P317" s="862"/>
      <c r="Q317" s="862"/>
      <c r="R317" s="862"/>
      <c r="S317" s="875"/>
      <c r="T317" s="862"/>
      <c r="U317" s="862"/>
      <c r="V317" s="862"/>
      <c r="W317" s="862"/>
      <c r="X317" s="862"/>
      <c r="Y317" s="862"/>
      <c r="Z317" s="862"/>
      <c r="AA317" s="862"/>
      <c r="AB317" s="862"/>
      <c r="AC317" s="862"/>
      <c r="AD317" s="862"/>
      <c r="AE317" s="862"/>
      <c r="AF317" s="862"/>
      <c r="AG317" s="862"/>
      <c r="AH317" s="446"/>
      <c r="AI317" s="446"/>
      <c r="AJ317" s="446"/>
      <c r="AK317" s="446"/>
      <c r="AL317" s="446"/>
      <c r="AM317" s="446"/>
      <c r="AN317" s="446"/>
      <c r="AO317" s="446"/>
      <c r="AP317" s="446"/>
      <c r="AQ317" s="446"/>
      <c r="AR317" s="446"/>
      <c r="AS317" s="446"/>
      <c r="AT317" s="446"/>
      <c r="AU317" s="446"/>
      <c r="AV317" s="446"/>
      <c r="AW317" s="446"/>
      <c r="AX317" s="446"/>
      <c r="AY317" s="446"/>
      <c r="AZ317" s="446"/>
      <c r="BA317" s="446"/>
      <c r="BB317" s="446"/>
      <c r="BC317" s="446"/>
      <c r="BD317" s="446"/>
      <c r="BE317" s="446"/>
      <c r="BF317" s="446"/>
      <c r="BG317" s="446"/>
      <c r="BH317" s="446"/>
      <c r="BI317" s="446"/>
      <c r="BJ317" s="446"/>
      <c r="BK317" s="446"/>
      <c r="BL317" s="446"/>
      <c r="BM317" s="446"/>
      <c r="BN317" s="446"/>
      <c r="BO317" s="446"/>
      <c r="BP317" s="446"/>
      <c r="BQ317" s="446"/>
      <c r="BR317" s="446"/>
      <c r="BS317" s="446"/>
      <c r="BT317" s="446"/>
      <c r="BU317" s="562"/>
      <c r="BV317" s="446"/>
      <c r="BW317" s="446"/>
      <c r="BX317" s="446"/>
      <c r="BY317" s="446"/>
      <c r="BZ317" s="446"/>
      <c r="CA317" s="446"/>
      <c r="CB317" s="446"/>
      <c r="CC317" s="446"/>
      <c r="CD317" s="446"/>
      <c r="CE317" s="446"/>
      <c r="CF317" s="446"/>
      <c r="CG317" s="446"/>
      <c r="CH317" s="446"/>
      <c r="CI317" s="446"/>
      <c r="CJ317" s="446"/>
      <c r="CK317" s="446"/>
      <c r="CL317" s="446"/>
      <c r="CM317" s="446"/>
      <c r="CN317" s="446"/>
      <c r="CO317" s="446"/>
      <c r="CP317" s="446"/>
      <c r="CQ317" s="446"/>
      <c r="CR317" s="446"/>
      <c r="CS317" s="446"/>
      <c r="CT317" s="446"/>
      <c r="CU317" s="446"/>
      <c r="CV317" s="446"/>
      <c r="CW317" s="851"/>
      <c r="CX317" s="446"/>
      <c r="CY317" s="446"/>
      <c r="CZ317" s="446"/>
      <c r="DA317" s="446"/>
      <c r="DB317" s="446"/>
      <c r="DC317" s="446"/>
      <c r="DD317" s="446"/>
      <c r="DE317" s="446"/>
      <c r="DF317" s="446"/>
      <c r="DG317" s="446"/>
      <c r="DH317" s="446"/>
      <c r="DI317" s="446"/>
      <c r="DJ317" s="446"/>
      <c r="DK317" s="446"/>
      <c r="DL317" s="446"/>
      <c r="DM317" s="446"/>
      <c r="DN317" s="446"/>
      <c r="DO317" s="446"/>
      <c r="DP317" s="446"/>
      <c r="DQ317" s="446"/>
      <c r="DR317" s="446"/>
      <c r="DS317" s="446"/>
      <c r="DT317" s="446"/>
      <c r="DU317" s="446"/>
      <c r="DV317" s="446"/>
      <c r="DW317" s="446"/>
      <c r="DX317" s="446"/>
      <c r="DY317" s="446"/>
      <c r="DZ317" s="283"/>
    </row>
    <row r="318" spans="2:130" s="223" customFormat="1" ht="14.25" customHeight="1" x14ac:dyDescent="0.2">
      <c r="B318" s="851"/>
      <c r="C318" s="851"/>
      <c r="D318" s="851"/>
      <c r="E318" s="820"/>
      <c r="F318" s="820"/>
      <c r="G318" s="853"/>
      <c r="H318" s="853"/>
      <c r="I318" s="853"/>
      <c r="J318" s="853"/>
      <c r="K318" s="853"/>
      <c r="L318" s="853"/>
      <c r="M318" s="853"/>
      <c r="N318" s="853"/>
      <c r="O318" s="853"/>
      <c r="P318" s="853"/>
      <c r="Q318" s="853"/>
      <c r="R318" s="853"/>
      <c r="S318" s="854"/>
      <c r="T318" s="853"/>
      <c r="U318" s="853"/>
      <c r="V318" s="853"/>
      <c r="W318" s="853"/>
      <c r="X318" s="853"/>
      <c r="Y318" s="853"/>
      <c r="Z318" s="853"/>
      <c r="AA318" s="853"/>
      <c r="AB318" s="853"/>
      <c r="AC318" s="853"/>
      <c r="AD318" s="853"/>
      <c r="AE318" s="853"/>
      <c r="AF318" s="853"/>
      <c r="AG318" s="853"/>
      <c r="AH318" s="446"/>
      <c r="AI318" s="446"/>
      <c r="AJ318" s="446"/>
      <c r="AK318" s="446"/>
      <c r="AL318" s="446"/>
      <c r="AM318" s="446"/>
      <c r="AN318" s="446"/>
      <c r="AO318" s="446"/>
      <c r="AP318" s="446"/>
      <c r="AQ318" s="446"/>
      <c r="AR318" s="446"/>
      <c r="AS318" s="446"/>
      <c r="AT318" s="446"/>
      <c r="AU318" s="446"/>
      <c r="AV318" s="446"/>
      <c r="AW318" s="446"/>
      <c r="AX318" s="446"/>
      <c r="AY318" s="446"/>
      <c r="AZ318" s="446"/>
      <c r="BA318" s="446"/>
      <c r="BB318" s="446"/>
      <c r="BC318" s="446"/>
      <c r="BD318" s="446"/>
      <c r="BE318" s="446"/>
      <c r="BF318" s="446"/>
      <c r="BG318" s="446"/>
      <c r="BH318" s="446"/>
      <c r="BI318" s="446"/>
      <c r="BJ318" s="446"/>
      <c r="BK318" s="446"/>
      <c r="BL318" s="446"/>
      <c r="BM318" s="446"/>
      <c r="BN318" s="446"/>
      <c r="BO318" s="446"/>
      <c r="BP318" s="446"/>
      <c r="BQ318" s="446"/>
      <c r="BR318" s="446"/>
      <c r="BS318" s="446"/>
      <c r="BT318" s="446"/>
      <c r="BU318" s="562"/>
      <c r="BV318" s="446"/>
      <c r="BW318" s="446"/>
      <c r="BX318" s="446"/>
      <c r="BY318" s="446"/>
      <c r="BZ318" s="446"/>
      <c r="CA318" s="446"/>
      <c r="CB318" s="446"/>
      <c r="CC318" s="446"/>
      <c r="CD318" s="446"/>
      <c r="CE318" s="446"/>
      <c r="CF318" s="446"/>
      <c r="CG318" s="446"/>
      <c r="CH318" s="446"/>
      <c r="CI318" s="446"/>
      <c r="CJ318" s="446"/>
      <c r="CK318" s="446"/>
      <c r="CL318" s="446"/>
      <c r="CM318" s="446"/>
      <c r="CN318" s="446"/>
      <c r="CO318" s="446"/>
      <c r="CP318" s="446"/>
      <c r="CQ318" s="446"/>
      <c r="CR318" s="446"/>
      <c r="CS318" s="446"/>
      <c r="CT318" s="446"/>
      <c r="CU318" s="446"/>
      <c r="CV318" s="446"/>
      <c r="CW318" s="851"/>
      <c r="CX318" s="446"/>
      <c r="CY318" s="446"/>
      <c r="CZ318" s="446"/>
      <c r="DA318" s="446"/>
      <c r="DB318" s="446"/>
      <c r="DC318" s="446"/>
      <c r="DD318" s="446"/>
      <c r="DE318" s="446"/>
      <c r="DF318" s="446"/>
      <c r="DG318" s="446"/>
      <c r="DH318" s="446"/>
      <c r="DI318" s="446"/>
      <c r="DJ318" s="446"/>
      <c r="DK318" s="446"/>
      <c r="DL318" s="446"/>
      <c r="DM318" s="446"/>
      <c r="DN318" s="446"/>
      <c r="DO318" s="446"/>
      <c r="DP318" s="446"/>
      <c r="DQ318" s="446"/>
      <c r="DR318" s="446"/>
      <c r="DS318" s="446"/>
      <c r="DT318" s="446"/>
      <c r="DU318" s="446"/>
      <c r="DV318" s="446"/>
      <c r="DW318" s="446"/>
      <c r="DX318" s="446"/>
      <c r="DY318" s="446"/>
      <c r="DZ318" s="283"/>
    </row>
    <row r="319" spans="2:130" s="223" customFormat="1" ht="14.25" customHeight="1" x14ac:dyDescent="0.2">
      <c r="B319" s="851"/>
      <c r="C319" s="851"/>
      <c r="D319" s="851"/>
      <c r="E319" s="820"/>
      <c r="F319" s="820"/>
      <c r="G319" s="853"/>
      <c r="H319" s="853"/>
      <c r="I319" s="853"/>
      <c r="J319" s="853"/>
      <c r="K319" s="853"/>
      <c r="L319" s="853"/>
      <c r="M319" s="853"/>
      <c r="N319" s="853"/>
      <c r="O319" s="853"/>
      <c r="P319" s="853"/>
      <c r="Q319" s="853"/>
      <c r="R319" s="853"/>
      <c r="S319" s="854"/>
      <c r="T319" s="853"/>
      <c r="U319" s="853"/>
      <c r="V319" s="853"/>
      <c r="W319" s="853"/>
      <c r="X319" s="853"/>
      <c r="Y319" s="853"/>
      <c r="Z319" s="853"/>
      <c r="AA319" s="853"/>
      <c r="AB319" s="853"/>
      <c r="AC319" s="853"/>
      <c r="AD319" s="853"/>
      <c r="AE319" s="853"/>
      <c r="AF319" s="853"/>
      <c r="AG319" s="853"/>
      <c r="AH319" s="446"/>
      <c r="AI319" s="446"/>
      <c r="AJ319" s="446"/>
      <c r="AK319" s="446"/>
      <c r="AL319" s="446"/>
      <c r="AM319" s="446"/>
      <c r="AN319" s="446"/>
      <c r="AO319" s="446"/>
      <c r="AP319" s="446"/>
      <c r="AQ319" s="446"/>
      <c r="AR319" s="446"/>
      <c r="AS319" s="446"/>
      <c r="AT319" s="446"/>
      <c r="AU319" s="446"/>
      <c r="AV319" s="446"/>
      <c r="AW319" s="446"/>
      <c r="AX319" s="446"/>
      <c r="AY319" s="446"/>
      <c r="AZ319" s="446"/>
      <c r="BA319" s="446"/>
      <c r="BB319" s="446"/>
      <c r="BC319" s="446"/>
      <c r="BD319" s="446"/>
      <c r="BE319" s="446"/>
      <c r="BF319" s="446"/>
      <c r="BG319" s="446"/>
      <c r="BH319" s="446"/>
      <c r="BI319" s="446"/>
      <c r="BJ319" s="446"/>
      <c r="BK319" s="446"/>
      <c r="BL319" s="446"/>
      <c r="BM319" s="446"/>
      <c r="BN319" s="446"/>
      <c r="BO319" s="446"/>
      <c r="BP319" s="446"/>
      <c r="BQ319" s="446"/>
      <c r="BR319" s="446"/>
      <c r="BS319" s="446"/>
      <c r="BT319" s="446"/>
      <c r="BU319" s="562"/>
      <c r="BV319" s="446"/>
      <c r="BW319" s="446"/>
      <c r="BX319" s="446"/>
      <c r="BY319" s="446"/>
      <c r="BZ319" s="446"/>
      <c r="CA319" s="446"/>
      <c r="CB319" s="446"/>
      <c r="CC319" s="446"/>
      <c r="CD319" s="446"/>
      <c r="CE319" s="446"/>
      <c r="CF319" s="446"/>
      <c r="CG319" s="446"/>
      <c r="CH319" s="446"/>
      <c r="CI319" s="446"/>
      <c r="CJ319" s="446"/>
      <c r="CK319" s="446"/>
      <c r="CL319" s="446"/>
      <c r="CM319" s="446"/>
      <c r="CN319" s="446"/>
      <c r="CO319" s="446"/>
      <c r="CP319" s="446"/>
      <c r="CQ319" s="446"/>
      <c r="CR319" s="446"/>
      <c r="CS319" s="446"/>
      <c r="CT319" s="446"/>
      <c r="CU319" s="446"/>
      <c r="CV319" s="446"/>
      <c r="CW319" s="851"/>
      <c r="CX319" s="446"/>
      <c r="CY319" s="446"/>
      <c r="CZ319" s="446"/>
      <c r="DA319" s="446"/>
      <c r="DB319" s="446"/>
      <c r="DC319" s="446"/>
      <c r="DD319" s="446"/>
      <c r="DE319" s="446"/>
      <c r="DF319" s="446"/>
      <c r="DG319" s="446"/>
      <c r="DH319" s="446"/>
      <c r="DI319" s="446"/>
      <c r="DJ319" s="446"/>
      <c r="DK319" s="446"/>
      <c r="DL319" s="446"/>
      <c r="DM319" s="446"/>
      <c r="DN319" s="446"/>
      <c r="DO319" s="446"/>
      <c r="DP319" s="446"/>
      <c r="DQ319" s="446"/>
      <c r="DR319" s="446"/>
      <c r="DS319" s="446"/>
      <c r="DT319" s="446"/>
      <c r="DU319" s="446"/>
      <c r="DV319" s="446"/>
      <c r="DW319" s="446"/>
      <c r="DX319" s="446"/>
      <c r="DY319" s="446"/>
      <c r="DZ319" s="283"/>
    </row>
    <row r="320" spans="2:130" s="223" customFormat="1" ht="14.25" customHeight="1" x14ac:dyDescent="0.2">
      <c r="B320" s="851"/>
      <c r="C320" s="851"/>
      <c r="D320" s="851"/>
      <c r="E320" s="820"/>
      <c r="F320" s="820"/>
      <c r="G320" s="853"/>
      <c r="H320" s="853"/>
      <c r="I320" s="853"/>
      <c r="J320" s="853"/>
      <c r="K320" s="853"/>
      <c r="L320" s="853"/>
      <c r="M320" s="853"/>
      <c r="N320" s="853"/>
      <c r="O320" s="853"/>
      <c r="P320" s="853"/>
      <c r="Q320" s="853"/>
      <c r="R320" s="853"/>
      <c r="S320" s="854"/>
      <c r="T320" s="853"/>
      <c r="U320" s="853"/>
      <c r="V320" s="853"/>
      <c r="W320" s="853"/>
      <c r="X320" s="853"/>
      <c r="Y320" s="853"/>
      <c r="Z320" s="853"/>
      <c r="AA320" s="853"/>
      <c r="AB320" s="853"/>
      <c r="AC320" s="853"/>
      <c r="AD320" s="853"/>
      <c r="AE320" s="853"/>
      <c r="AF320" s="853"/>
      <c r="AG320" s="853"/>
      <c r="AH320" s="446"/>
      <c r="AI320" s="446"/>
      <c r="AJ320" s="446"/>
      <c r="AK320" s="446"/>
      <c r="AL320" s="446"/>
      <c r="AM320" s="446"/>
      <c r="AN320" s="446"/>
      <c r="AO320" s="446"/>
      <c r="AP320" s="446"/>
      <c r="AQ320" s="446"/>
      <c r="AR320" s="446"/>
      <c r="AS320" s="446"/>
      <c r="AT320" s="446"/>
      <c r="AU320" s="446"/>
      <c r="AV320" s="446"/>
      <c r="AW320" s="446"/>
      <c r="AX320" s="446"/>
      <c r="AY320" s="446"/>
      <c r="AZ320" s="446"/>
      <c r="BA320" s="446"/>
      <c r="BB320" s="446"/>
      <c r="BC320" s="446"/>
      <c r="BD320" s="446"/>
      <c r="BE320" s="446"/>
      <c r="BF320" s="446"/>
      <c r="BG320" s="446"/>
      <c r="BH320" s="446"/>
      <c r="BI320" s="446"/>
      <c r="BJ320" s="446"/>
      <c r="BK320" s="446"/>
      <c r="BL320" s="446"/>
      <c r="BM320" s="446"/>
      <c r="BN320" s="446"/>
      <c r="BO320" s="446"/>
      <c r="BP320" s="446"/>
      <c r="BQ320" s="446"/>
      <c r="BR320" s="446"/>
      <c r="BS320" s="446"/>
      <c r="BT320" s="446"/>
      <c r="BU320" s="562"/>
      <c r="BV320" s="446"/>
      <c r="BW320" s="446"/>
      <c r="BX320" s="446"/>
      <c r="BY320" s="446"/>
      <c r="BZ320" s="446"/>
      <c r="CA320" s="446"/>
      <c r="CB320" s="446"/>
      <c r="CC320" s="446"/>
      <c r="CD320" s="446"/>
      <c r="CE320" s="446"/>
      <c r="CF320" s="446"/>
      <c r="CG320" s="446"/>
      <c r="CH320" s="446"/>
      <c r="CI320" s="446"/>
      <c r="CJ320" s="446"/>
      <c r="CK320" s="446"/>
      <c r="CL320" s="446"/>
      <c r="CM320" s="446"/>
      <c r="CN320" s="446"/>
      <c r="CO320" s="446"/>
      <c r="CP320" s="446"/>
      <c r="CQ320" s="446"/>
      <c r="CR320" s="446"/>
      <c r="CS320" s="446"/>
      <c r="CT320" s="446"/>
      <c r="CU320" s="446"/>
      <c r="CV320" s="446"/>
      <c r="CW320" s="851"/>
      <c r="CX320" s="446"/>
      <c r="CY320" s="446"/>
      <c r="CZ320" s="446"/>
      <c r="DA320" s="446"/>
      <c r="DB320" s="446"/>
      <c r="DC320" s="446"/>
      <c r="DD320" s="446"/>
      <c r="DE320" s="446"/>
      <c r="DF320" s="446"/>
      <c r="DG320" s="446"/>
      <c r="DH320" s="446"/>
      <c r="DI320" s="446"/>
      <c r="DJ320" s="446"/>
      <c r="DK320" s="446"/>
      <c r="DL320" s="446"/>
      <c r="DM320" s="446"/>
      <c r="DN320" s="446"/>
      <c r="DO320" s="446"/>
      <c r="DP320" s="446"/>
      <c r="DQ320" s="446"/>
      <c r="DR320" s="446"/>
      <c r="DS320" s="446"/>
      <c r="DT320" s="446"/>
      <c r="DU320" s="446"/>
      <c r="DV320" s="446"/>
      <c r="DW320" s="446"/>
      <c r="DX320" s="446"/>
      <c r="DY320" s="446"/>
      <c r="DZ320" s="283"/>
    </row>
    <row r="321" spans="2:130" s="223" customFormat="1" ht="14.25" customHeight="1" x14ac:dyDescent="0.2">
      <c r="B321" s="851"/>
      <c r="C321" s="851"/>
      <c r="D321" s="851"/>
      <c r="E321" s="820"/>
      <c r="F321" s="820"/>
      <c r="G321" s="853"/>
      <c r="H321" s="853"/>
      <c r="I321" s="853"/>
      <c r="J321" s="853"/>
      <c r="K321" s="853"/>
      <c r="L321" s="853"/>
      <c r="M321" s="853"/>
      <c r="N321" s="853"/>
      <c r="O321" s="853"/>
      <c r="P321" s="853"/>
      <c r="Q321" s="853"/>
      <c r="R321" s="853"/>
      <c r="S321" s="854"/>
      <c r="T321" s="853"/>
      <c r="U321" s="853"/>
      <c r="V321" s="853"/>
      <c r="W321" s="853"/>
      <c r="X321" s="853"/>
      <c r="Y321" s="853"/>
      <c r="Z321" s="853"/>
      <c r="AA321" s="853"/>
      <c r="AB321" s="853"/>
      <c r="AC321" s="853"/>
      <c r="AD321" s="853"/>
      <c r="AE321" s="853"/>
      <c r="AF321" s="853"/>
      <c r="AG321" s="853"/>
      <c r="AH321" s="446"/>
      <c r="AI321" s="446"/>
      <c r="AJ321" s="446"/>
      <c r="AK321" s="446"/>
      <c r="AL321" s="446"/>
      <c r="AM321" s="446"/>
      <c r="AN321" s="446"/>
      <c r="AO321" s="446"/>
      <c r="AP321" s="446"/>
      <c r="AQ321" s="446"/>
      <c r="AR321" s="446"/>
      <c r="AS321" s="446"/>
      <c r="AT321" s="446"/>
      <c r="AU321" s="446"/>
      <c r="AV321" s="446"/>
      <c r="AW321" s="446"/>
      <c r="AX321" s="446"/>
      <c r="AY321" s="446"/>
      <c r="AZ321" s="446"/>
      <c r="BA321" s="446"/>
      <c r="BB321" s="446"/>
      <c r="BC321" s="446"/>
      <c r="BD321" s="446"/>
      <c r="BE321" s="446"/>
      <c r="BF321" s="446"/>
      <c r="BG321" s="446"/>
      <c r="BH321" s="446"/>
      <c r="BI321" s="446"/>
      <c r="BJ321" s="446"/>
      <c r="BK321" s="446"/>
      <c r="BL321" s="446"/>
      <c r="BM321" s="446"/>
      <c r="BN321" s="446"/>
      <c r="BO321" s="446"/>
      <c r="BP321" s="446"/>
      <c r="BQ321" s="446"/>
      <c r="BR321" s="446"/>
      <c r="BS321" s="446"/>
      <c r="BT321" s="446"/>
      <c r="BU321" s="562"/>
      <c r="BV321" s="446"/>
      <c r="BW321" s="446"/>
      <c r="BX321" s="446"/>
      <c r="BY321" s="446"/>
      <c r="BZ321" s="446"/>
      <c r="CA321" s="446"/>
      <c r="CB321" s="446"/>
      <c r="CC321" s="446"/>
      <c r="CD321" s="446"/>
      <c r="CE321" s="446"/>
      <c r="CF321" s="446"/>
      <c r="CG321" s="446"/>
      <c r="CH321" s="446"/>
      <c r="CI321" s="446"/>
      <c r="CJ321" s="446"/>
      <c r="CK321" s="446"/>
      <c r="CL321" s="446"/>
      <c r="CM321" s="446"/>
      <c r="CN321" s="446"/>
      <c r="CO321" s="446"/>
      <c r="CP321" s="446"/>
      <c r="CQ321" s="446"/>
      <c r="CR321" s="446"/>
      <c r="CS321" s="446"/>
      <c r="CT321" s="446"/>
      <c r="CU321" s="446"/>
      <c r="CV321" s="446"/>
      <c r="CW321" s="851"/>
      <c r="CX321" s="446"/>
      <c r="CY321" s="446"/>
      <c r="CZ321" s="446"/>
      <c r="DA321" s="446"/>
      <c r="DB321" s="446"/>
      <c r="DC321" s="446"/>
      <c r="DD321" s="446"/>
      <c r="DE321" s="446"/>
      <c r="DF321" s="446"/>
      <c r="DG321" s="446"/>
      <c r="DH321" s="446"/>
      <c r="DI321" s="446"/>
      <c r="DJ321" s="446"/>
      <c r="DK321" s="446"/>
      <c r="DL321" s="446"/>
      <c r="DM321" s="446"/>
      <c r="DN321" s="446"/>
      <c r="DO321" s="446"/>
      <c r="DP321" s="446"/>
      <c r="DQ321" s="446"/>
      <c r="DR321" s="446"/>
      <c r="DS321" s="446"/>
      <c r="DT321" s="446"/>
      <c r="DU321" s="446"/>
      <c r="DV321" s="446"/>
      <c r="DW321" s="446"/>
      <c r="DX321" s="446"/>
      <c r="DY321" s="446"/>
      <c r="DZ321" s="283"/>
    </row>
    <row r="322" spans="2:130" s="223" customFormat="1" ht="14.25" customHeight="1" x14ac:dyDescent="0.2">
      <c r="B322" s="851"/>
      <c r="C322" s="851"/>
      <c r="D322" s="851"/>
      <c r="E322" s="820"/>
      <c r="F322" s="820"/>
      <c r="G322" s="853"/>
      <c r="H322" s="853"/>
      <c r="I322" s="853"/>
      <c r="J322" s="853"/>
      <c r="K322" s="853"/>
      <c r="L322" s="853"/>
      <c r="M322" s="853"/>
      <c r="N322" s="853"/>
      <c r="O322" s="853"/>
      <c r="P322" s="853"/>
      <c r="Q322" s="853"/>
      <c r="R322" s="853"/>
      <c r="S322" s="854"/>
      <c r="T322" s="853"/>
      <c r="U322" s="853"/>
      <c r="V322" s="853"/>
      <c r="W322" s="853"/>
      <c r="X322" s="853"/>
      <c r="Y322" s="853"/>
      <c r="Z322" s="853"/>
      <c r="AA322" s="853"/>
      <c r="AB322" s="853"/>
      <c r="AC322" s="853"/>
      <c r="AD322" s="853"/>
      <c r="AE322" s="853"/>
      <c r="AF322" s="853"/>
      <c r="AG322" s="853"/>
      <c r="AH322" s="446"/>
      <c r="AI322" s="446"/>
      <c r="AJ322" s="446"/>
      <c r="AK322" s="446"/>
      <c r="AL322" s="446"/>
      <c r="AM322" s="446"/>
      <c r="AN322" s="446"/>
      <c r="AO322" s="446"/>
      <c r="AP322" s="446"/>
      <c r="AQ322" s="446"/>
      <c r="AR322" s="446"/>
      <c r="AS322" s="446"/>
      <c r="AT322" s="446"/>
      <c r="AU322" s="446"/>
      <c r="AV322" s="446"/>
      <c r="AW322" s="446"/>
      <c r="AX322" s="446"/>
      <c r="AY322" s="446"/>
      <c r="AZ322" s="446"/>
      <c r="BA322" s="446"/>
      <c r="BB322" s="446"/>
      <c r="BC322" s="446"/>
      <c r="BD322" s="446"/>
      <c r="BE322" s="446"/>
      <c r="BF322" s="446"/>
      <c r="BG322" s="446"/>
      <c r="BH322" s="446"/>
      <c r="BI322" s="446"/>
      <c r="BJ322" s="446"/>
      <c r="BK322" s="446"/>
      <c r="BL322" s="446"/>
      <c r="BM322" s="446"/>
      <c r="BN322" s="446"/>
      <c r="BO322" s="446"/>
      <c r="BP322" s="446"/>
      <c r="BQ322" s="446"/>
      <c r="BR322" s="446"/>
      <c r="BS322" s="446"/>
      <c r="BT322" s="446"/>
      <c r="BU322" s="562"/>
      <c r="BV322" s="446"/>
      <c r="BW322" s="446"/>
      <c r="BX322" s="446"/>
      <c r="BY322" s="446"/>
      <c r="BZ322" s="446"/>
      <c r="CA322" s="446"/>
      <c r="CB322" s="446"/>
      <c r="CC322" s="446"/>
      <c r="CD322" s="446"/>
      <c r="CE322" s="446"/>
      <c r="CF322" s="446"/>
      <c r="CG322" s="446"/>
      <c r="CH322" s="446"/>
      <c r="CI322" s="446"/>
      <c r="CJ322" s="446"/>
      <c r="CK322" s="446"/>
      <c r="CL322" s="446"/>
      <c r="CM322" s="446"/>
      <c r="CN322" s="446"/>
      <c r="CO322" s="446"/>
      <c r="CP322" s="446"/>
      <c r="CQ322" s="446"/>
      <c r="CR322" s="446"/>
      <c r="CS322" s="446"/>
      <c r="CT322" s="446"/>
      <c r="CU322" s="446"/>
      <c r="CV322" s="446"/>
      <c r="CW322" s="851"/>
      <c r="CX322" s="446"/>
      <c r="CY322" s="446"/>
      <c r="CZ322" s="446"/>
      <c r="DA322" s="446"/>
      <c r="DB322" s="446"/>
      <c r="DC322" s="446"/>
      <c r="DD322" s="446"/>
      <c r="DE322" s="446"/>
      <c r="DF322" s="446"/>
      <c r="DG322" s="446"/>
      <c r="DH322" s="446"/>
      <c r="DI322" s="446"/>
      <c r="DJ322" s="446"/>
      <c r="DK322" s="446"/>
      <c r="DL322" s="446"/>
      <c r="DM322" s="446"/>
      <c r="DN322" s="446"/>
      <c r="DO322" s="446"/>
      <c r="DP322" s="446"/>
      <c r="DQ322" s="446"/>
      <c r="DR322" s="446"/>
      <c r="DS322" s="446"/>
      <c r="DT322" s="446"/>
      <c r="DU322" s="446"/>
      <c r="DV322" s="446"/>
      <c r="DW322" s="446"/>
      <c r="DX322" s="446"/>
      <c r="DY322" s="446"/>
      <c r="DZ322" s="283"/>
    </row>
    <row r="323" spans="2:130" s="223" customFormat="1" ht="14.25" customHeight="1" x14ac:dyDescent="0.2">
      <c r="B323" s="851"/>
      <c r="C323" s="851"/>
      <c r="D323" s="851"/>
      <c r="E323" s="820"/>
      <c r="F323" s="820"/>
      <c r="G323" s="853"/>
      <c r="H323" s="853"/>
      <c r="I323" s="853"/>
      <c r="J323" s="853"/>
      <c r="K323" s="853"/>
      <c r="L323" s="853"/>
      <c r="M323" s="853"/>
      <c r="N323" s="853"/>
      <c r="O323" s="853"/>
      <c r="P323" s="853"/>
      <c r="Q323" s="853"/>
      <c r="R323" s="853"/>
      <c r="S323" s="854"/>
      <c r="T323" s="853"/>
      <c r="U323" s="853"/>
      <c r="V323" s="853"/>
      <c r="W323" s="853"/>
      <c r="X323" s="853"/>
      <c r="Y323" s="853"/>
      <c r="Z323" s="853"/>
      <c r="AA323" s="853"/>
      <c r="AB323" s="853"/>
      <c r="AC323" s="853"/>
      <c r="AD323" s="853"/>
      <c r="AE323" s="853"/>
      <c r="AF323" s="853"/>
      <c r="AG323" s="853"/>
      <c r="AH323" s="446"/>
      <c r="AI323" s="446"/>
      <c r="AJ323" s="446"/>
      <c r="AK323" s="446"/>
      <c r="AL323" s="446"/>
      <c r="AM323" s="446"/>
      <c r="AN323" s="446"/>
      <c r="AO323" s="446"/>
      <c r="AP323" s="446"/>
      <c r="AQ323" s="446"/>
      <c r="AR323" s="446"/>
      <c r="AS323" s="446"/>
      <c r="AT323" s="446"/>
      <c r="AU323" s="446"/>
      <c r="AV323" s="446"/>
      <c r="AW323" s="446"/>
      <c r="AX323" s="446"/>
      <c r="AY323" s="446"/>
      <c r="AZ323" s="446"/>
      <c r="BA323" s="446"/>
      <c r="BB323" s="446"/>
      <c r="BC323" s="446"/>
      <c r="BD323" s="446"/>
      <c r="BE323" s="446"/>
      <c r="BF323" s="446"/>
      <c r="BG323" s="446"/>
      <c r="BH323" s="446"/>
      <c r="BI323" s="446"/>
      <c r="BJ323" s="446"/>
      <c r="BK323" s="446"/>
      <c r="BL323" s="446"/>
      <c r="BM323" s="446"/>
      <c r="BN323" s="446"/>
      <c r="BO323" s="446"/>
      <c r="BP323" s="446"/>
      <c r="BQ323" s="446"/>
      <c r="BR323" s="446"/>
      <c r="BS323" s="446"/>
      <c r="BT323" s="446"/>
      <c r="BU323" s="562"/>
      <c r="BV323" s="446"/>
      <c r="BW323" s="446"/>
      <c r="BX323" s="446"/>
      <c r="BY323" s="446"/>
      <c r="BZ323" s="446"/>
      <c r="CA323" s="446"/>
      <c r="CB323" s="446"/>
      <c r="CC323" s="446"/>
      <c r="CD323" s="446"/>
      <c r="CE323" s="446"/>
      <c r="CF323" s="446"/>
      <c r="CG323" s="446"/>
      <c r="CH323" s="446"/>
      <c r="CI323" s="446"/>
      <c r="CJ323" s="446"/>
      <c r="CK323" s="446"/>
      <c r="CL323" s="446"/>
      <c r="CM323" s="446"/>
      <c r="CN323" s="446"/>
      <c r="CO323" s="446"/>
      <c r="CP323" s="446"/>
      <c r="CQ323" s="446"/>
      <c r="CR323" s="446"/>
      <c r="CS323" s="446"/>
      <c r="CT323" s="446"/>
      <c r="CU323" s="446"/>
      <c r="CV323" s="446"/>
      <c r="CW323" s="851"/>
      <c r="CX323" s="446"/>
      <c r="CY323" s="446"/>
      <c r="CZ323" s="446"/>
      <c r="DA323" s="446"/>
      <c r="DB323" s="446"/>
      <c r="DC323" s="446"/>
      <c r="DD323" s="446"/>
      <c r="DE323" s="446"/>
      <c r="DF323" s="446"/>
      <c r="DG323" s="446"/>
      <c r="DH323" s="446"/>
      <c r="DI323" s="446"/>
      <c r="DJ323" s="446"/>
      <c r="DK323" s="446"/>
      <c r="DL323" s="446"/>
      <c r="DM323" s="446"/>
      <c r="DN323" s="446"/>
      <c r="DO323" s="446"/>
      <c r="DP323" s="446"/>
      <c r="DQ323" s="446"/>
      <c r="DR323" s="446"/>
      <c r="DS323" s="446"/>
      <c r="DT323" s="446"/>
      <c r="DU323" s="446"/>
      <c r="DV323" s="446"/>
      <c r="DW323" s="446"/>
      <c r="DX323" s="446"/>
      <c r="DY323" s="446"/>
      <c r="DZ323" s="283"/>
    </row>
    <row r="324" spans="2:130" s="223" customFormat="1" ht="14.25" customHeight="1" x14ac:dyDescent="0.2">
      <c r="B324" s="851"/>
      <c r="C324" s="851"/>
      <c r="D324" s="851"/>
      <c r="E324" s="820"/>
      <c r="F324" s="820"/>
      <c r="G324" s="853"/>
      <c r="H324" s="853"/>
      <c r="I324" s="853"/>
      <c r="J324" s="853"/>
      <c r="K324" s="853"/>
      <c r="L324" s="853"/>
      <c r="M324" s="853"/>
      <c r="N324" s="853"/>
      <c r="O324" s="853"/>
      <c r="P324" s="853"/>
      <c r="Q324" s="853"/>
      <c r="R324" s="853"/>
      <c r="S324" s="854"/>
      <c r="T324" s="853"/>
      <c r="U324" s="853"/>
      <c r="V324" s="853"/>
      <c r="W324" s="853"/>
      <c r="X324" s="853"/>
      <c r="Y324" s="853"/>
      <c r="Z324" s="853"/>
      <c r="AA324" s="853"/>
      <c r="AB324" s="853"/>
      <c r="AC324" s="853"/>
      <c r="AD324" s="853"/>
      <c r="AE324" s="853"/>
      <c r="AF324" s="853"/>
      <c r="AG324" s="853"/>
      <c r="AH324" s="446"/>
      <c r="AI324" s="446"/>
      <c r="AJ324" s="446"/>
      <c r="AK324" s="446"/>
      <c r="AL324" s="446"/>
      <c r="AM324" s="446"/>
      <c r="AN324" s="446"/>
      <c r="AO324" s="446"/>
      <c r="AP324" s="446"/>
      <c r="AQ324" s="446"/>
      <c r="AR324" s="446"/>
      <c r="AS324" s="446"/>
      <c r="AT324" s="446"/>
      <c r="AU324" s="446"/>
      <c r="AV324" s="446"/>
      <c r="AW324" s="446"/>
      <c r="AX324" s="446"/>
      <c r="AY324" s="446"/>
      <c r="AZ324" s="446"/>
      <c r="BA324" s="446"/>
      <c r="BB324" s="446"/>
      <c r="BC324" s="446"/>
      <c r="BD324" s="446"/>
      <c r="BE324" s="446"/>
      <c r="BF324" s="446"/>
      <c r="BG324" s="446"/>
      <c r="BH324" s="446"/>
      <c r="BI324" s="446"/>
      <c r="BJ324" s="446"/>
      <c r="BK324" s="446"/>
      <c r="BL324" s="446"/>
      <c r="BM324" s="446"/>
      <c r="BN324" s="446"/>
      <c r="BO324" s="446"/>
      <c r="BP324" s="446"/>
      <c r="BQ324" s="446"/>
      <c r="BR324" s="446"/>
      <c r="BS324" s="446"/>
      <c r="BT324" s="446"/>
      <c r="BU324" s="562"/>
      <c r="BV324" s="446"/>
      <c r="BW324" s="446"/>
      <c r="BX324" s="446"/>
      <c r="BY324" s="446"/>
      <c r="BZ324" s="446"/>
      <c r="CA324" s="446"/>
      <c r="CB324" s="446"/>
      <c r="CC324" s="446"/>
      <c r="CD324" s="446"/>
      <c r="CE324" s="446"/>
      <c r="CF324" s="446"/>
      <c r="CG324" s="446"/>
      <c r="CH324" s="446"/>
      <c r="CI324" s="446"/>
      <c r="CJ324" s="446"/>
      <c r="CK324" s="446"/>
      <c r="CL324" s="446"/>
      <c r="CM324" s="446"/>
      <c r="CN324" s="446"/>
      <c r="CO324" s="446"/>
      <c r="CP324" s="446"/>
      <c r="CQ324" s="446"/>
      <c r="CR324" s="446"/>
      <c r="CS324" s="446"/>
      <c r="CT324" s="446"/>
      <c r="CU324" s="446"/>
      <c r="CV324" s="446"/>
      <c r="CW324" s="851"/>
      <c r="CX324" s="446"/>
      <c r="CY324" s="446"/>
      <c r="CZ324" s="446"/>
      <c r="DA324" s="446"/>
      <c r="DB324" s="446"/>
      <c r="DC324" s="446"/>
      <c r="DD324" s="446"/>
      <c r="DE324" s="446"/>
      <c r="DF324" s="446"/>
      <c r="DG324" s="446"/>
      <c r="DH324" s="446"/>
      <c r="DI324" s="446"/>
      <c r="DJ324" s="446"/>
      <c r="DK324" s="446"/>
      <c r="DL324" s="446"/>
      <c r="DM324" s="446"/>
      <c r="DN324" s="446"/>
      <c r="DO324" s="446"/>
      <c r="DP324" s="446"/>
      <c r="DQ324" s="446"/>
      <c r="DR324" s="446"/>
      <c r="DS324" s="446"/>
      <c r="DT324" s="446"/>
      <c r="DU324" s="446"/>
      <c r="DV324" s="446"/>
      <c r="DW324" s="446"/>
      <c r="DX324" s="446"/>
      <c r="DY324" s="446"/>
      <c r="DZ324" s="283"/>
    </row>
    <row r="325" spans="2:130" s="223" customFormat="1" ht="14.25" customHeight="1" x14ac:dyDescent="0.2">
      <c r="B325" s="851"/>
      <c r="C325" s="851"/>
      <c r="D325" s="851"/>
      <c r="E325" s="820"/>
      <c r="F325" s="820"/>
      <c r="G325" s="853"/>
      <c r="H325" s="853"/>
      <c r="I325" s="853"/>
      <c r="J325" s="853"/>
      <c r="K325" s="853"/>
      <c r="L325" s="853"/>
      <c r="M325" s="853"/>
      <c r="N325" s="853"/>
      <c r="O325" s="853"/>
      <c r="P325" s="853"/>
      <c r="Q325" s="853"/>
      <c r="R325" s="853"/>
      <c r="S325" s="854"/>
      <c r="T325" s="853"/>
      <c r="U325" s="853"/>
      <c r="V325" s="853"/>
      <c r="W325" s="853"/>
      <c r="X325" s="853"/>
      <c r="Y325" s="853"/>
      <c r="Z325" s="853"/>
      <c r="AA325" s="853"/>
      <c r="AB325" s="853"/>
      <c r="AC325" s="853"/>
      <c r="AD325" s="853"/>
      <c r="AE325" s="853"/>
      <c r="AF325" s="853"/>
      <c r="AG325" s="853"/>
      <c r="AH325" s="446"/>
      <c r="AI325" s="446"/>
      <c r="AJ325" s="446"/>
      <c r="AK325" s="446"/>
      <c r="AL325" s="446"/>
      <c r="AM325" s="446"/>
      <c r="AN325" s="446"/>
      <c r="AO325" s="446"/>
      <c r="AP325" s="446"/>
      <c r="AQ325" s="446"/>
      <c r="AR325" s="446"/>
      <c r="AS325" s="446"/>
      <c r="AT325" s="446"/>
      <c r="AU325" s="446"/>
      <c r="AV325" s="446"/>
      <c r="AW325" s="446"/>
      <c r="AX325" s="446"/>
      <c r="AY325" s="446"/>
      <c r="AZ325" s="446"/>
      <c r="BA325" s="446"/>
      <c r="BB325" s="446"/>
      <c r="BC325" s="446"/>
      <c r="BD325" s="446"/>
      <c r="BE325" s="446"/>
      <c r="BF325" s="446"/>
      <c r="BG325" s="446"/>
      <c r="BH325" s="446"/>
      <c r="BI325" s="446"/>
      <c r="BJ325" s="446"/>
      <c r="BK325" s="446"/>
      <c r="BL325" s="446"/>
      <c r="BM325" s="446"/>
      <c r="BN325" s="446"/>
      <c r="BO325" s="446"/>
      <c r="BP325" s="446"/>
      <c r="BQ325" s="446"/>
      <c r="BR325" s="446"/>
      <c r="BS325" s="446"/>
      <c r="BT325" s="446"/>
      <c r="BU325" s="562"/>
      <c r="BV325" s="446"/>
      <c r="BW325" s="446"/>
      <c r="BX325" s="446"/>
      <c r="BY325" s="446"/>
      <c r="BZ325" s="446"/>
      <c r="CA325" s="446"/>
      <c r="CB325" s="446"/>
      <c r="CC325" s="446"/>
      <c r="CD325" s="446"/>
      <c r="CE325" s="446"/>
      <c r="CF325" s="446"/>
      <c r="CG325" s="446"/>
      <c r="CH325" s="446"/>
      <c r="CI325" s="446"/>
      <c r="CJ325" s="446"/>
      <c r="CK325" s="446"/>
      <c r="CL325" s="446"/>
      <c r="CM325" s="446"/>
      <c r="CN325" s="446"/>
      <c r="CO325" s="446"/>
      <c r="CP325" s="446"/>
      <c r="CQ325" s="446"/>
      <c r="CR325" s="446"/>
      <c r="CS325" s="446"/>
      <c r="CT325" s="446"/>
      <c r="CU325" s="446"/>
      <c r="CV325" s="446"/>
      <c r="CW325" s="851"/>
      <c r="CX325" s="446"/>
      <c r="CY325" s="446"/>
      <c r="CZ325" s="446"/>
      <c r="DA325" s="446"/>
      <c r="DB325" s="446"/>
      <c r="DC325" s="446"/>
      <c r="DD325" s="446"/>
      <c r="DE325" s="446"/>
      <c r="DF325" s="446"/>
      <c r="DG325" s="446"/>
      <c r="DH325" s="446"/>
      <c r="DI325" s="446"/>
      <c r="DJ325" s="446"/>
      <c r="DK325" s="446"/>
      <c r="DL325" s="446"/>
      <c r="DM325" s="446"/>
      <c r="DN325" s="446"/>
      <c r="DO325" s="446"/>
      <c r="DP325" s="446"/>
      <c r="DQ325" s="446"/>
      <c r="DR325" s="446"/>
      <c r="DS325" s="446"/>
      <c r="DT325" s="446"/>
      <c r="DU325" s="446"/>
      <c r="DV325" s="446"/>
      <c r="DW325" s="446"/>
      <c r="DX325" s="446"/>
      <c r="DY325" s="446"/>
      <c r="DZ325" s="283"/>
    </row>
    <row r="326" spans="2:130" s="223" customFormat="1" ht="14.25" customHeight="1" x14ac:dyDescent="0.2">
      <c r="B326" s="851"/>
      <c r="C326" s="851"/>
      <c r="D326" s="851"/>
      <c r="E326" s="820"/>
      <c r="F326" s="820"/>
      <c r="G326" s="853"/>
      <c r="H326" s="853"/>
      <c r="I326" s="853"/>
      <c r="J326" s="853"/>
      <c r="K326" s="853"/>
      <c r="L326" s="853"/>
      <c r="M326" s="853"/>
      <c r="N326" s="853"/>
      <c r="O326" s="853"/>
      <c r="P326" s="853"/>
      <c r="Q326" s="853"/>
      <c r="R326" s="853"/>
      <c r="S326" s="854"/>
      <c r="T326" s="853"/>
      <c r="U326" s="853"/>
      <c r="V326" s="853"/>
      <c r="W326" s="853"/>
      <c r="X326" s="853"/>
      <c r="Y326" s="853"/>
      <c r="Z326" s="853"/>
      <c r="AA326" s="853"/>
      <c r="AB326" s="853"/>
      <c r="AC326" s="853"/>
      <c r="AD326" s="853"/>
      <c r="AE326" s="853"/>
      <c r="AF326" s="853"/>
      <c r="AG326" s="853"/>
      <c r="AH326" s="446"/>
      <c r="AI326" s="446"/>
      <c r="AJ326" s="446"/>
      <c r="AK326" s="446"/>
      <c r="AL326" s="446"/>
      <c r="AM326" s="446"/>
      <c r="AN326" s="446"/>
      <c r="AO326" s="446"/>
      <c r="AP326" s="446"/>
      <c r="AQ326" s="446"/>
      <c r="AR326" s="446"/>
      <c r="AS326" s="446"/>
      <c r="AT326" s="446"/>
      <c r="AU326" s="446"/>
      <c r="AV326" s="446"/>
      <c r="AW326" s="446"/>
      <c r="AX326" s="446"/>
      <c r="AY326" s="446"/>
      <c r="AZ326" s="446"/>
      <c r="BA326" s="446"/>
      <c r="BB326" s="446"/>
      <c r="BC326" s="446"/>
      <c r="BD326" s="446"/>
      <c r="BE326" s="446"/>
      <c r="BF326" s="446"/>
      <c r="BG326" s="446"/>
      <c r="BH326" s="446"/>
      <c r="BI326" s="446"/>
      <c r="BJ326" s="446"/>
      <c r="BK326" s="446"/>
      <c r="BL326" s="446"/>
      <c r="BM326" s="446"/>
      <c r="BN326" s="446"/>
      <c r="BO326" s="446"/>
      <c r="BP326" s="446"/>
      <c r="BQ326" s="446"/>
      <c r="BR326" s="446"/>
      <c r="BS326" s="446"/>
      <c r="BT326" s="446"/>
      <c r="BU326" s="562"/>
      <c r="BV326" s="446"/>
      <c r="BW326" s="446"/>
      <c r="BX326" s="446"/>
      <c r="BY326" s="446"/>
      <c r="BZ326" s="446"/>
      <c r="CA326" s="446"/>
      <c r="CB326" s="446"/>
      <c r="CC326" s="446"/>
      <c r="CD326" s="446"/>
      <c r="CE326" s="446"/>
      <c r="CF326" s="446"/>
      <c r="CG326" s="446"/>
      <c r="CH326" s="446"/>
      <c r="CI326" s="446"/>
      <c r="CJ326" s="446"/>
      <c r="CK326" s="446"/>
      <c r="CL326" s="446"/>
      <c r="CM326" s="446"/>
      <c r="CN326" s="446"/>
      <c r="CO326" s="446"/>
      <c r="CP326" s="446"/>
      <c r="CQ326" s="446"/>
      <c r="CR326" s="446"/>
      <c r="CS326" s="446"/>
      <c r="CT326" s="446"/>
      <c r="CU326" s="446"/>
      <c r="CV326" s="446"/>
      <c r="CW326" s="851"/>
      <c r="CX326" s="446"/>
      <c r="CY326" s="446"/>
      <c r="CZ326" s="446"/>
      <c r="DA326" s="446"/>
      <c r="DB326" s="446"/>
      <c r="DC326" s="446"/>
      <c r="DD326" s="446"/>
      <c r="DE326" s="446"/>
      <c r="DF326" s="446"/>
      <c r="DG326" s="446"/>
      <c r="DH326" s="446"/>
      <c r="DI326" s="446"/>
      <c r="DJ326" s="446"/>
      <c r="DK326" s="446"/>
      <c r="DL326" s="446"/>
      <c r="DM326" s="446"/>
      <c r="DN326" s="446"/>
      <c r="DO326" s="446"/>
      <c r="DP326" s="446"/>
      <c r="DQ326" s="446"/>
      <c r="DR326" s="446"/>
      <c r="DS326" s="446"/>
      <c r="DT326" s="446"/>
      <c r="DU326" s="446"/>
      <c r="DV326" s="446"/>
      <c r="DW326" s="446"/>
      <c r="DX326" s="446"/>
      <c r="DY326" s="446"/>
      <c r="DZ326" s="283"/>
    </row>
    <row r="327" spans="2:130" s="223" customFormat="1" ht="14.25" customHeight="1" x14ac:dyDescent="0.2">
      <c r="B327" s="851"/>
      <c r="C327" s="851"/>
      <c r="D327" s="851"/>
      <c r="E327" s="820"/>
      <c r="F327" s="820"/>
      <c r="G327" s="853"/>
      <c r="H327" s="853"/>
      <c r="I327" s="853"/>
      <c r="J327" s="853"/>
      <c r="K327" s="853"/>
      <c r="L327" s="853"/>
      <c r="M327" s="853"/>
      <c r="N327" s="853"/>
      <c r="O327" s="853"/>
      <c r="P327" s="853"/>
      <c r="Q327" s="853"/>
      <c r="R327" s="853"/>
      <c r="S327" s="854"/>
      <c r="T327" s="853"/>
      <c r="U327" s="853"/>
      <c r="V327" s="853"/>
      <c r="W327" s="853"/>
      <c r="X327" s="853"/>
      <c r="Y327" s="853"/>
      <c r="Z327" s="853"/>
      <c r="AA327" s="853"/>
      <c r="AB327" s="853"/>
      <c r="AC327" s="853"/>
      <c r="AD327" s="853"/>
      <c r="AE327" s="853"/>
      <c r="AF327" s="853"/>
      <c r="AG327" s="853"/>
      <c r="AH327" s="446"/>
      <c r="AI327" s="446"/>
      <c r="AJ327" s="446"/>
      <c r="AK327" s="446"/>
      <c r="AL327" s="446"/>
      <c r="AM327" s="446"/>
      <c r="AN327" s="446"/>
      <c r="AO327" s="446"/>
      <c r="AP327" s="446"/>
      <c r="AQ327" s="446"/>
      <c r="AR327" s="446"/>
      <c r="AS327" s="446"/>
      <c r="AT327" s="446"/>
      <c r="AU327" s="446"/>
      <c r="AV327" s="446"/>
      <c r="AW327" s="446"/>
      <c r="AX327" s="446"/>
      <c r="AY327" s="446"/>
      <c r="AZ327" s="446"/>
      <c r="BA327" s="446"/>
      <c r="BB327" s="446"/>
      <c r="BC327" s="446"/>
      <c r="BD327" s="446"/>
      <c r="BE327" s="446"/>
      <c r="BF327" s="446"/>
      <c r="BG327" s="446"/>
      <c r="BH327" s="446"/>
      <c r="BI327" s="446"/>
      <c r="BJ327" s="446"/>
      <c r="BK327" s="446"/>
      <c r="BL327" s="446"/>
      <c r="BM327" s="446"/>
      <c r="BN327" s="446"/>
      <c r="BO327" s="446"/>
      <c r="BP327" s="446"/>
      <c r="BQ327" s="446"/>
      <c r="BR327" s="446"/>
      <c r="BS327" s="446"/>
      <c r="BT327" s="446"/>
      <c r="BU327" s="562"/>
      <c r="BV327" s="446"/>
      <c r="BW327" s="446"/>
      <c r="BX327" s="446"/>
      <c r="BY327" s="446"/>
      <c r="BZ327" s="446"/>
      <c r="CA327" s="446"/>
      <c r="CB327" s="446"/>
      <c r="CC327" s="446"/>
      <c r="CD327" s="446"/>
      <c r="CE327" s="446"/>
      <c r="CF327" s="446"/>
      <c r="CG327" s="446"/>
      <c r="CH327" s="446"/>
      <c r="CI327" s="446"/>
      <c r="CJ327" s="446"/>
      <c r="CK327" s="446"/>
      <c r="CL327" s="446"/>
      <c r="CM327" s="446"/>
      <c r="CN327" s="446"/>
      <c r="CO327" s="446"/>
      <c r="CP327" s="446"/>
      <c r="CQ327" s="446"/>
      <c r="CR327" s="446"/>
      <c r="CS327" s="446"/>
      <c r="CT327" s="446"/>
      <c r="CU327" s="446"/>
      <c r="CV327" s="446"/>
      <c r="CW327" s="851"/>
      <c r="CX327" s="446"/>
      <c r="CY327" s="446"/>
      <c r="CZ327" s="446"/>
      <c r="DA327" s="446"/>
      <c r="DB327" s="446"/>
      <c r="DC327" s="446"/>
      <c r="DD327" s="446"/>
      <c r="DE327" s="446"/>
      <c r="DF327" s="446"/>
      <c r="DG327" s="446"/>
      <c r="DH327" s="446"/>
      <c r="DI327" s="446"/>
      <c r="DJ327" s="446"/>
      <c r="DK327" s="446"/>
      <c r="DL327" s="446"/>
      <c r="DM327" s="446"/>
      <c r="DN327" s="446"/>
      <c r="DO327" s="446"/>
      <c r="DP327" s="446"/>
      <c r="DQ327" s="446"/>
      <c r="DR327" s="446"/>
      <c r="DS327" s="446"/>
      <c r="DT327" s="446"/>
      <c r="DU327" s="446"/>
      <c r="DV327" s="446"/>
      <c r="DW327" s="446"/>
      <c r="DX327" s="446"/>
      <c r="DY327" s="446"/>
      <c r="DZ327" s="283"/>
    </row>
    <row r="328" spans="2:130" s="223" customFormat="1" ht="14.25" customHeight="1" x14ac:dyDescent="0.2">
      <c r="B328" s="851"/>
      <c r="C328" s="851"/>
      <c r="D328" s="851"/>
      <c r="E328" s="820"/>
      <c r="F328" s="820"/>
      <c r="G328" s="853"/>
      <c r="H328" s="853"/>
      <c r="I328" s="853"/>
      <c r="J328" s="853"/>
      <c r="K328" s="853"/>
      <c r="L328" s="853"/>
      <c r="M328" s="853"/>
      <c r="N328" s="853"/>
      <c r="O328" s="853"/>
      <c r="P328" s="853"/>
      <c r="Q328" s="853"/>
      <c r="R328" s="853"/>
      <c r="S328" s="854"/>
      <c r="T328" s="853"/>
      <c r="U328" s="853"/>
      <c r="V328" s="853"/>
      <c r="W328" s="853"/>
      <c r="X328" s="853"/>
      <c r="Y328" s="853"/>
      <c r="Z328" s="853"/>
      <c r="AA328" s="853"/>
      <c r="AB328" s="853"/>
      <c r="AC328" s="853"/>
      <c r="AD328" s="853"/>
      <c r="AE328" s="853"/>
      <c r="AF328" s="853"/>
      <c r="AG328" s="853"/>
      <c r="AH328" s="446"/>
      <c r="AI328" s="446"/>
      <c r="AJ328" s="446"/>
      <c r="AK328" s="446"/>
      <c r="AL328" s="446"/>
      <c r="AM328" s="446"/>
      <c r="AN328" s="446"/>
      <c r="AO328" s="446"/>
      <c r="AP328" s="446"/>
      <c r="AQ328" s="446"/>
      <c r="AR328" s="446"/>
      <c r="AS328" s="446"/>
      <c r="AT328" s="446"/>
      <c r="AU328" s="446"/>
      <c r="AV328" s="446"/>
      <c r="AW328" s="446"/>
      <c r="AX328" s="446"/>
      <c r="AY328" s="446"/>
      <c r="AZ328" s="446"/>
      <c r="BA328" s="446"/>
      <c r="BB328" s="446"/>
      <c r="BC328" s="446"/>
      <c r="BD328" s="446"/>
      <c r="BE328" s="446"/>
      <c r="BF328" s="446"/>
      <c r="BG328" s="446"/>
      <c r="BH328" s="446"/>
      <c r="BI328" s="446"/>
      <c r="BJ328" s="446"/>
      <c r="BK328" s="446"/>
      <c r="BL328" s="446"/>
      <c r="BM328" s="446"/>
      <c r="BN328" s="446"/>
      <c r="BO328" s="446"/>
      <c r="BP328" s="446"/>
      <c r="BQ328" s="446"/>
      <c r="BR328" s="446"/>
      <c r="BS328" s="446"/>
      <c r="BT328" s="446"/>
      <c r="BU328" s="562"/>
      <c r="BV328" s="446"/>
      <c r="BW328" s="446"/>
      <c r="BX328" s="446"/>
      <c r="BY328" s="446"/>
      <c r="BZ328" s="446"/>
      <c r="CA328" s="446"/>
      <c r="CB328" s="446"/>
      <c r="CC328" s="446"/>
      <c r="CD328" s="446"/>
      <c r="CE328" s="446"/>
      <c r="CF328" s="446"/>
      <c r="CG328" s="446"/>
      <c r="CH328" s="446"/>
      <c r="CI328" s="446"/>
      <c r="CJ328" s="446"/>
      <c r="CK328" s="446"/>
      <c r="CL328" s="446"/>
      <c r="CM328" s="446"/>
      <c r="CN328" s="446"/>
      <c r="CO328" s="446"/>
      <c r="CP328" s="446"/>
      <c r="CQ328" s="446"/>
      <c r="CR328" s="446"/>
      <c r="CS328" s="446"/>
      <c r="CT328" s="446"/>
      <c r="CU328" s="446"/>
      <c r="CV328" s="446"/>
      <c r="CW328" s="851"/>
      <c r="CX328" s="446"/>
      <c r="CY328" s="446"/>
      <c r="CZ328" s="446"/>
      <c r="DA328" s="446"/>
      <c r="DB328" s="446"/>
      <c r="DC328" s="446"/>
      <c r="DD328" s="446"/>
      <c r="DE328" s="446"/>
      <c r="DF328" s="446"/>
      <c r="DG328" s="446"/>
      <c r="DH328" s="446"/>
      <c r="DI328" s="446"/>
      <c r="DJ328" s="446"/>
      <c r="DK328" s="446"/>
      <c r="DL328" s="446"/>
      <c r="DM328" s="446"/>
      <c r="DN328" s="446"/>
      <c r="DO328" s="446"/>
      <c r="DP328" s="446"/>
      <c r="DQ328" s="446"/>
      <c r="DR328" s="446"/>
      <c r="DS328" s="446"/>
      <c r="DT328" s="446"/>
      <c r="DU328" s="446"/>
      <c r="DV328" s="446"/>
      <c r="DW328" s="446"/>
      <c r="DX328" s="446"/>
      <c r="DY328" s="446"/>
      <c r="DZ328" s="283"/>
    </row>
    <row r="329" spans="2:130" s="223" customFormat="1" ht="14.25" customHeight="1" x14ac:dyDescent="0.2">
      <c r="B329" s="851"/>
      <c r="C329" s="851"/>
      <c r="D329" s="851"/>
      <c r="E329" s="820"/>
      <c r="F329" s="820"/>
      <c r="G329" s="853"/>
      <c r="H329" s="853"/>
      <c r="I329" s="853"/>
      <c r="J329" s="853"/>
      <c r="K329" s="853"/>
      <c r="L329" s="853"/>
      <c r="M329" s="853"/>
      <c r="N329" s="853"/>
      <c r="O329" s="853"/>
      <c r="P329" s="853"/>
      <c r="Q329" s="853"/>
      <c r="R329" s="853"/>
      <c r="S329" s="854"/>
      <c r="T329" s="853"/>
      <c r="U329" s="853"/>
      <c r="V329" s="853"/>
      <c r="W329" s="853"/>
      <c r="X329" s="853"/>
      <c r="Y329" s="853"/>
      <c r="Z329" s="853"/>
      <c r="AA329" s="853"/>
      <c r="AB329" s="853"/>
      <c r="AC329" s="853"/>
      <c r="AD329" s="853"/>
      <c r="AE329" s="853"/>
      <c r="AF329" s="853"/>
      <c r="AG329" s="853"/>
      <c r="AH329" s="446"/>
      <c r="AI329" s="446"/>
      <c r="AJ329" s="446"/>
      <c r="AK329" s="446"/>
      <c r="AL329" s="446"/>
      <c r="AM329" s="446"/>
      <c r="AN329" s="446"/>
      <c r="AO329" s="446"/>
      <c r="AP329" s="446"/>
      <c r="AQ329" s="446"/>
      <c r="AR329" s="446"/>
      <c r="AS329" s="446"/>
      <c r="AT329" s="446"/>
      <c r="AU329" s="446"/>
      <c r="AV329" s="446"/>
      <c r="AW329" s="446"/>
      <c r="AX329" s="446"/>
      <c r="AY329" s="446"/>
      <c r="AZ329" s="446"/>
      <c r="BA329" s="446"/>
      <c r="BB329" s="446"/>
      <c r="BC329" s="446"/>
      <c r="BD329" s="446"/>
      <c r="BE329" s="446"/>
      <c r="BF329" s="446"/>
      <c r="BG329" s="446"/>
      <c r="BH329" s="446"/>
      <c r="BI329" s="446"/>
      <c r="BJ329" s="446"/>
      <c r="BK329" s="446"/>
      <c r="BL329" s="446"/>
      <c r="BM329" s="446"/>
      <c r="BN329" s="446"/>
      <c r="BO329" s="446"/>
      <c r="BP329" s="446"/>
      <c r="BQ329" s="446"/>
      <c r="BR329" s="446"/>
      <c r="BS329" s="446"/>
      <c r="BT329" s="446"/>
      <c r="BU329" s="562"/>
      <c r="BV329" s="446"/>
      <c r="BW329" s="446"/>
      <c r="BX329" s="446"/>
      <c r="BY329" s="446"/>
      <c r="BZ329" s="446"/>
      <c r="CA329" s="446"/>
      <c r="CB329" s="446"/>
      <c r="CC329" s="446"/>
      <c r="CD329" s="446"/>
      <c r="CE329" s="446"/>
      <c r="CF329" s="446"/>
      <c r="CG329" s="446"/>
      <c r="CH329" s="446"/>
      <c r="CI329" s="446"/>
      <c r="CJ329" s="446"/>
      <c r="CK329" s="446"/>
      <c r="CL329" s="446"/>
      <c r="CM329" s="446"/>
      <c r="CN329" s="446"/>
      <c r="CO329" s="446"/>
      <c r="CP329" s="446"/>
      <c r="CQ329" s="446"/>
      <c r="CR329" s="446"/>
      <c r="CS329" s="446"/>
      <c r="CT329" s="446"/>
      <c r="CU329" s="446"/>
      <c r="CV329" s="446"/>
      <c r="CW329" s="851"/>
      <c r="CX329" s="446"/>
      <c r="CY329" s="446"/>
      <c r="CZ329" s="446"/>
      <c r="DA329" s="446"/>
      <c r="DB329" s="446"/>
      <c r="DC329" s="446"/>
      <c r="DD329" s="446"/>
      <c r="DE329" s="446"/>
      <c r="DF329" s="446"/>
      <c r="DG329" s="446"/>
      <c r="DH329" s="446"/>
      <c r="DI329" s="446"/>
      <c r="DJ329" s="446"/>
      <c r="DK329" s="446"/>
      <c r="DL329" s="446"/>
      <c r="DM329" s="446"/>
      <c r="DN329" s="446"/>
      <c r="DO329" s="446"/>
      <c r="DP329" s="446"/>
      <c r="DQ329" s="446"/>
      <c r="DR329" s="446"/>
      <c r="DS329" s="446"/>
      <c r="DT329" s="446"/>
      <c r="DU329" s="446"/>
      <c r="DV329" s="446"/>
      <c r="DW329" s="446"/>
      <c r="DX329" s="446"/>
      <c r="DY329" s="446"/>
      <c r="DZ329" s="283"/>
    </row>
    <row r="330" spans="2:130" s="223" customFormat="1" ht="14.25" customHeight="1" x14ac:dyDescent="0.2">
      <c r="B330" s="851"/>
      <c r="C330" s="851"/>
      <c r="D330" s="851"/>
      <c r="E330" s="820"/>
      <c r="F330" s="820"/>
      <c r="G330" s="853"/>
      <c r="H330" s="853"/>
      <c r="I330" s="853"/>
      <c r="J330" s="853"/>
      <c r="K330" s="853"/>
      <c r="L330" s="853"/>
      <c r="M330" s="853"/>
      <c r="N330" s="853"/>
      <c r="O330" s="853"/>
      <c r="P330" s="853"/>
      <c r="Q330" s="853"/>
      <c r="R330" s="853"/>
      <c r="S330" s="854"/>
      <c r="T330" s="853"/>
      <c r="U330" s="853"/>
      <c r="V330" s="853"/>
      <c r="W330" s="853"/>
      <c r="X330" s="853"/>
      <c r="Y330" s="853"/>
      <c r="Z330" s="853"/>
      <c r="AA330" s="853"/>
      <c r="AB330" s="853"/>
      <c r="AC330" s="853"/>
      <c r="AD330" s="853"/>
      <c r="AE330" s="853"/>
      <c r="AF330" s="853"/>
      <c r="AG330" s="853"/>
      <c r="AH330" s="446"/>
      <c r="AI330" s="446"/>
      <c r="AJ330" s="446"/>
      <c r="AK330" s="446"/>
      <c r="AL330" s="446"/>
      <c r="AM330" s="446"/>
      <c r="AN330" s="446"/>
      <c r="AO330" s="446"/>
      <c r="AP330" s="446"/>
      <c r="AQ330" s="446"/>
      <c r="AR330" s="446"/>
      <c r="AS330" s="446"/>
      <c r="AT330" s="446"/>
      <c r="AU330" s="446"/>
      <c r="AV330" s="446"/>
      <c r="AW330" s="446"/>
      <c r="AX330" s="446"/>
      <c r="AY330" s="446"/>
      <c r="AZ330" s="446"/>
      <c r="BA330" s="446"/>
      <c r="BB330" s="446"/>
      <c r="BC330" s="446"/>
      <c r="BD330" s="446"/>
      <c r="BE330" s="446"/>
      <c r="BF330" s="446"/>
      <c r="BG330" s="446"/>
      <c r="BH330" s="446"/>
      <c r="BI330" s="446"/>
      <c r="BJ330" s="446"/>
      <c r="BK330" s="446"/>
      <c r="BL330" s="446"/>
      <c r="BM330" s="446"/>
      <c r="BN330" s="446"/>
      <c r="BO330" s="446"/>
      <c r="BP330" s="446"/>
      <c r="BQ330" s="446"/>
      <c r="BR330" s="446"/>
      <c r="BS330" s="446"/>
      <c r="BT330" s="446"/>
      <c r="BU330" s="562"/>
      <c r="BV330" s="446"/>
      <c r="BW330" s="446"/>
      <c r="BX330" s="446"/>
      <c r="BY330" s="446"/>
      <c r="BZ330" s="446"/>
      <c r="CA330" s="446"/>
      <c r="CB330" s="446"/>
      <c r="CC330" s="446"/>
      <c r="CD330" s="446"/>
      <c r="CE330" s="446"/>
      <c r="CF330" s="446"/>
      <c r="CG330" s="446"/>
      <c r="CH330" s="446"/>
      <c r="CI330" s="446"/>
      <c r="CJ330" s="446"/>
      <c r="CK330" s="446"/>
      <c r="CL330" s="446"/>
      <c r="CM330" s="446"/>
      <c r="CN330" s="446"/>
      <c r="CO330" s="446"/>
      <c r="CP330" s="446"/>
      <c r="CQ330" s="446"/>
      <c r="CR330" s="446"/>
      <c r="CS330" s="446"/>
      <c r="CT330" s="446"/>
      <c r="CU330" s="446"/>
      <c r="CV330" s="446"/>
      <c r="CW330" s="851"/>
      <c r="CX330" s="446"/>
      <c r="CY330" s="446"/>
      <c r="CZ330" s="446"/>
      <c r="DA330" s="446"/>
      <c r="DB330" s="446"/>
      <c r="DC330" s="446"/>
      <c r="DD330" s="446"/>
      <c r="DE330" s="446"/>
      <c r="DF330" s="446"/>
      <c r="DG330" s="446"/>
      <c r="DH330" s="446"/>
      <c r="DI330" s="446"/>
      <c r="DJ330" s="446"/>
      <c r="DK330" s="446"/>
      <c r="DL330" s="446"/>
      <c r="DM330" s="446"/>
      <c r="DN330" s="446"/>
      <c r="DO330" s="446"/>
      <c r="DP330" s="446"/>
      <c r="DQ330" s="446"/>
      <c r="DR330" s="446"/>
      <c r="DS330" s="446"/>
      <c r="DT330" s="446"/>
      <c r="DU330" s="446"/>
      <c r="DV330" s="446"/>
      <c r="DW330" s="446"/>
      <c r="DX330" s="446"/>
      <c r="DY330" s="446"/>
      <c r="DZ330" s="283"/>
    </row>
    <row r="331" spans="2:130" s="223" customFormat="1" ht="14.25" customHeight="1" x14ac:dyDescent="0.2">
      <c r="B331" s="851"/>
      <c r="C331" s="851"/>
      <c r="D331" s="851"/>
      <c r="E331" s="820"/>
      <c r="F331" s="820"/>
      <c r="G331" s="853"/>
      <c r="H331" s="853"/>
      <c r="I331" s="853"/>
      <c r="J331" s="853"/>
      <c r="K331" s="853"/>
      <c r="L331" s="853"/>
      <c r="M331" s="853"/>
      <c r="N331" s="853"/>
      <c r="O331" s="853"/>
      <c r="P331" s="853"/>
      <c r="Q331" s="853"/>
      <c r="R331" s="853"/>
      <c r="S331" s="854"/>
      <c r="T331" s="853"/>
      <c r="U331" s="853"/>
      <c r="V331" s="853"/>
      <c r="W331" s="853"/>
      <c r="X331" s="853"/>
      <c r="Y331" s="853"/>
      <c r="Z331" s="853"/>
      <c r="AA331" s="853"/>
      <c r="AB331" s="853"/>
      <c r="AC331" s="853"/>
      <c r="AD331" s="853"/>
      <c r="AE331" s="853"/>
      <c r="AF331" s="853"/>
      <c r="AG331" s="853"/>
      <c r="AH331" s="446"/>
      <c r="AI331" s="446"/>
      <c r="AJ331" s="446"/>
      <c r="AK331" s="446"/>
      <c r="AL331" s="446"/>
      <c r="AM331" s="446"/>
      <c r="AN331" s="446"/>
      <c r="AO331" s="446"/>
      <c r="AP331" s="446"/>
      <c r="AQ331" s="446"/>
      <c r="AR331" s="446"/>
      <c r="AS331" s="446"/>
      <c r="AT331" s="446"/>
      <c r="AU331" s="446"/>
      <c r="AV331" s="446"/>
      <c r="AW331" s="446"/>
      <c r="AX331" s="446"/>
      <c r="AY331" s="446"/>
      <c r="AZ331" s="446"/>
      <c r="BA331" s="446"/>
      <c r="BB331" s="446"/>
      <c r="BC331" s="446"/>
      <c r="BD331" s="446"/>
      <c r="BE331" s="446"/>
      <c r="BF331" s="446"/>
      <c r="BG331" s="446"/>
      <c r="BH331" s="446"/>
      <c r="BI331" s="446"/>
      <c r="BJ331" s="446"/>
      <c r="BK331" s="446"/>
      <c r="BL331" s="446"/>
      <c r="BM331" s="446"/>
      <c r="BN331" s="446"/>
      <c r="BO331" s="446"/>
      <c r="BP331" s="446"/>
      <c r="BQ331" s="446"/>
      <c r="BR331" s="446"/>
      <c r="BS331" s="446"/>
      <c r="BT331" s="446"/>
      <c r="BU331" s="562"/>
      <c r="BV331" s="446"/>
      <c r="BW331" s="446"/>
      <c r="BX331" s="446"/>
      <c r="BY331" s="446"/>
      <c r="BZ331" s="446"/>
      <c r="CA331" s="446"/>
      <c r="CB331" s="446"/>
      <c r="CC331" s="446"/>
      <c r="CD331" s="446"/>
      <c r="CE331" s="446"/>
      <c r="CF331" s="446"/>
      <c r="CG331" s="446"/>
      <c r="CH331" s="446"/>
      <c r="CI331" s="446"/>
      <c r="CJ331" s="446"/>
      <c r="CK331" s="446"/>
      <c r="CL331" s="446"/>
      <c r="CM331" s="446"/>
      <c r="CN331" s="446"/>
      <c r="CO331" s="446"/>
      <c r="CP331" s="446"/>
      <c r="CQ331" s="446"/>
      <c r="CR331" s="446"/>
      <c r="CS331" s="446"/>
      <c r="CT331" s="446"/>
      <c r="CU331" s="446"/>
      <c r="CV331" s="446"/>
      <c r="CW331" s="851"/>
      <c r="CX331" s="446"/>
      <c r="CY331" s="446"/>
      <c r="CZ331" s="446"/>
      <c r="DA331" s="446"/>
      <c r="DB331" s="446"/>
      <c r="DC331" s="446"/>
      <c r="DD331" s="446"/>
      <c r="DE331" s="446"/>
      <c r="DF331" s="446"/>
      <c r="DG331" s="446"/>
      <c r="DH331" s="446"/>
      <c r="DI331" s="446"/>
      <c r="DJ331" s="446"/>
      <c r="DK331" s="446"/>
      <c r="DL331" s="446"/>
      <c r="DM331" s="446"/>
      <c r="DN331" s="446"/>
      <c r="DO331" s="446"/>
      <c r="DP331" s="446"/>
      <c r="DQ331" s="446"/>
      <c r="DR331" s="446"/>
      <c r="DS331" s="446"/>
      <c r="DT331" s="446"/>
      <c r="DU331" s="446"/>
      <c r="DV331" s="446"/>
      <c r="DW331" s="446"/>
      <c r="DX331" s="446"/>
      <c r="DY331" s="446"/>
      <c r="DZ331" s="283"/>
    </row>
    <row r="332" spans="2:130" s="223" customFormat="1" ht="14.25" customHeight="1" x14ac:dyDescent="0.2">
      <c r="B332" s="851"/>
      <c r="C332" s="851"/>
      <c r="D332" s="851"/>
      <c r="E332" s="820"/>
      <c r="F332" s="820"/>
      <c r="G332" s="853"/>
      <c r="H332" s="853"/>
      <c r="I332" s="853"/>
      <c r="J332" s="853"/>
      <c r="K332" s="853"/>
      <c r="L332" s="853"/>
      <c r="M332" s="853"/>
      <c r="N332" s="853"/>
      <c r="O332" s="853"/>
      <c r="P332" s="853"/>
      <c r="Q332" s="853"/>
      <c r="R332" s="853"/>
      <c r="S332" s="854"/>
      <c r="T332" s="853"/>
      <c r="U332" s="853"/>
      <c r="V332" s="853"/>
      <c r="W332" s="853"/>
      <c r="X332" s="853"/>
      <c r="Y332" s="853"/>
      <c r="Z332" s="853"/>
      <c r="AA332" s="853"/>
      <c r="AB332" s="853"/>
      <c r="AC332" s="853"/>
      <c r="AD332" s="853"/>
      <c r="AE332" s="853"/>
      <c r="AF332" s="853"/>
      <c r="AG332" s="853"/>
      <c r="AH332" s="446"/>
      <c r="AI332" s="446"/>
      <c r="AJ332" s="446"/>
      <c r="AK332" s="446"/>
      <c r="AL332" s="446"/>
      <c r="AM332" s="446"/>
      <c r="AN332" s="446"/>
      <c r="AO332" s="446"/>
      <c r="AP332" s="446"/>
      <c r="AQ332" s="446"/>
      <c r="AR332" s="446"/>
      <c r="AS332" s="446"/>
      <c r="AT332" s="446"/>
      <c r="AU332" s="446"/>
      <c r="AV332" s="446"/>
      <c r="AW332" s="446"/>
      <c r="AX332" s="446"/>
      <c r="AY332" s="446"/>
      <c r="AZ332" s="446"/>
      <c r="BA332" s="446"/>
      <c r="BB332" s="446"/>
      <c r="BC332" s="446"/>
      <c r="BD332" s="446"/>
      <c r="BE332" s="446"/>
      <c r="BF332" s="446"/>
      <c r="BG332" s="446"/>
      <c r="BH332" s="446"/>
      <c r="BI332" s="446"/>
      <c r="BJ332" s="446"/>
      <c r="BK332" s="446"/>
      <c r="BL332" s="446"/>
      <c r="BM332" s="446"/>
      <c r="BN332" s="446"/>
      <c r="BO332" s="446"/>
      <c r="BP332" s="446"/>
      <c r="BQ332" s="446"/>
      <c r="BR332" s="446"/>
      <c r="BS332" s="446"/>
      <c r="BT332" s="446"/>
      <c r="BU332" s="562"/>
      <c r="BV332" s="446"/>
      <c r="BW332" s="446"/>
      <c r="BX332" s="446"/>
      <c r="BY332" s="446"/>
      <c r="BZ332" s="446"/>
      <c r="CA332" s="446"/>
      <c r="CB332" s="446"/>
      <c r="CC332" s="446"/>
      <c r="CD332" s="446"/>
      <c r="CE332" s="446"/>
      <c r="CF332" s="446"/>
      <c r="CG332" s="446"/>
      <c r="CH332" s="446"/>
      <c r="CI332" s="446"/>
      <c r="CJ332" s="446"/>
      <c r="CK332" s="446"/>
      <c r="CL332" s="446"/>
      <c r="CM332" s="446"/>
      <c r="CN332" s="446"/>
      <c r="CO332" s="446"/>
      <c r="CP332" s="446"/>
      <c r="CQ332" s="446"/>
      <c r="CR332" s="446"/>
      <c r="CS332" s="446"/>
      <c r="CT332" s="446"/>
      <c r="CU332" s="446"/>
      <c r="CV332" s="446"/>
      <c r="CW332" s="851"/>
      <c r="CX332" s="446"/>
      <c r="CY332" s="446"/>
      <c r="CZ332" s="446"/>
      <c r="DA332" s="446"/>
      <c r="DB332" s="446"/>
      <c r="DC332" s="446"/>
      <c r="DD332" s="446"/>
      <c r="DE332" s="446"/>
      <c r="DF332" s="446"/>
      <c r="DG332" s="446"/>
      <c r="DH332" s="446"/>
      <c r="DI332" s="446"/>
      <c r="DJ332" s="446"/>
      <c r="DK332" s="446"/>
      <c r="DL332" s="446"/>
      <c r="DM332" s="446"/>
      <c r="DN332" s="446"/>
      <c r="DO332" s="446"/>
      <c r="DP332" s="446"/>
      <c r="DQ332" s="446"/>
      <c r="DR332" s="446"/>
      <c r="DS332" s="446"/>
      <c r="DT332" s="446"/>
      <c r="DU332" s="446"/>
      <c r="DV332" s="446"/>
      <c r="DW332" s="446"/>
      <c r="DX332" s="446"/>
      <c r="DY332" s="446"/>
      <c r="DZ332" s="283"/>
    </row>
    <row r="333" spans="2:130" s="223" customFormat="1" ht="14.25" customHeight="1" x14ac:dyDescent="0.2">
      <c r="B333" s="851"/>
      <c r="C333" s="851"/>
      <c r="D333" s="851"/>
      <c r="E333" s="820"/>
      <c r="F333" s="820"/>
      <c r="G333" s="853"/>
      <c r="H333" s="853"/>
      <c r="I333" s="853"/>
      <c r="J333" s="853"/>
      <c r="K333" s="853"/>
      <c r="L333" s="853"/>
      <c r="M333" s="853"/>
      <c r="N333" s="853"/>
      <c r="O333" s="853"/>
      <c r="P333" s="853"/>
      <c r="Q333" s="853"/>
      <c r="R333" s="853"/>
      <c r="S333" s="854"/>
      <c r="T333" s="853"/>
      <c r="U333" s="853"/>
      <c r="V333" s="853"/>
      <c r="W333" s="853"/>
      <c r="X333" s="853"/>
      <c r="Y333" s="853"/>
      <c r="Z333" s="853"/>
      <c r="AA333" s="853"/>
      <c r="AB333" s="853"/>
      <c r="AC333" s="853"/>
      <c r="AD333" s="853"/>
      <c r="AE333" s="853"/>
      <c r="AF333" s="853"/>
      <c r="AG333" s="853"/>
      <c r="AH333" s="446"/>
      <c r="AI333" s="446"/>
      <c r="AJ333" s="446"/>
      <c r="AK333" s="446"/>
      <c r="AL333" s="446"/>
      <c r="AM333" s="446"/>
      <c r="AN333" s="446"/>
      <c r="AO333" s="446"/>
      <c r="AP333" s="446"/>
      <c r="AQ333" s="446"/>
      <c r="AR333" s="446"/>
      <c r="AS333" s="446"/>
      <c r="AT333" s="446"/>
      <c r="AU333" s="446"/>
      <c r="AV333" s="446"/>
      <c r="AW333" s="446"/>
      <c r="AX333" s="446"/>
      <c r="AY333" s="446"/>
      <c r="AZ333" s="446"/>
      <c r="BA333" s="446"/>
      <c r="BB333" s="446"/>
      <c r="BC333" s="446"/>
      <c r="BD333" s="446"/>
      <c r="BE333" s="446"/>
      <c r="BF333" s="446"/>
      <c r="BG333" s="446"/>
      <c r="BH333" s="446"/>
      <c r="BI333" s="446"/>
      <c r="BJ333" s="446"/>
      <c r="BK333" s="446"/>
      <c r="BL333" s="446"/>
      <c r="BM333" s="446"/>
      <c r="BN333" s="446"/>
      <c r="BO333" s="446"/>
      <c r="BP333" s="446"/>
      <c r="BQ333" s="446"/>
      <c r="BR333" s="446"/>
      <c r="BS333" s="446"/>
      <c r="BT333" s="446"/>
      <c r="BU333" s="562"/>
      <c r="BV333" s="446"/>
      <c r="BW333" s="446"/>
      <c r="BX333" s="446"/>
      <c r="BY333" s="446"/>
      <c r="BZ333" s="446"/>
      <c r="CA333" s="446"/>
      <c r="CB333" s="446"/>
      <c r="CC333" s="446"/>
      <c r="CD333" s="446"/>
      <c r="CE333" s="446"/>
      <c r="CF333" s="446"/>
      <c r="CG333" s="446"/>
      <c r="CH333" s="446"/>
      <c r="CI333" s="446"/>
      <c r="CJ333" s="446"/>
      <c r="CK333" s="446"/>
      <c r="CL333" s="446"/>
      <c r="CM333" s="446"/>
      <c r="CN333" s="446"/>
      <c r="CO333" s="446"/>
      <c r="CP333" s="446"/>
      <c r="CQ333" s="446"/>
      <c r="CR333" s="446"/>
      <c r="CS333" s="446"/>
      <c r="CT333" s="446"/>
      <c r="CU333" s="446"/>
      <c r="CV333" s="446"/>
      <c r="CW333" s="851"/>
      <c r="CX333" s="446"/>
      <c r="CY333" s="446"/>
      <c r="CZ333" s="446"/>
      <c r="DA333" s="446"/>
      <c r="DB333" s="446"/>
      <c r="DC333" s="446"/>
      <c r="DD333" s="446"/>
      <c r="DE333" s="446"/>
      <c r="DF333" s="446"/>
      <c r="DG333" s="446"/>
      <c r="DH333" s="446"/>
      <c r="DI333" s="446"/>
      <c r="DJ333" s="446"/>
      <c r="DK333" s="446"/>
      <c r="DL333" s="446"/>
      <c r="DM333" s="446"/>
      <c r="DN333" s="446"/>
      <c r="DO333" s="446"/>
      <c r="DP333" s="446"/>
      <c r="DQ333" s="446"/>
      <c r="DR333" s="446"/>
      <c r="DS333" s="446"/>
      <c r="DT333" s="446"/>
      <c r="DU333" s="446"/>
      <c r="DV333" s="446"/>
      <c r="DW333" s="446"/>
      <c r="DX333" s="446"/>
      <c r="DY333" s="446"/>
      <c r="DZ333" s="283"/>
    </row>
    <row r="334" spans="2:130" s="223" customFormat="1" ht="14.25" customHeight="1" x14ac:dyDescent="0.2">
      <c r="B334" s="851"/>
      <c r="C334" s="851"/>
      <c r="D334" s="851"/>
      <c r="E334" s="820"/>
      <c r="F334" s="820"/>
      <c r="G334" s="853"/>
      <c r="H334" s="853"/>
      <c r="I334" s="853"/>
      <c r="J334" s="853"/>
      <c r="K334" s="853"/>
      <c r="L334" s="853"/>
      <c r="M334" s="853"/>
      <c r="N334" s="853"/>
      <c r="O334" s="853"/>
      <c r="P334" s="853"/>
      <c r="Q334" s="853"/>
      <c r="R334" s="853"/>
      <c r="S334" s="854"/>
      <c r="T334" s="853"/>
      <c r="U334" s="853"/>
      <c r="V334" s="853"/>
      <c r="W334" s="853"/>
      <c r="X334" s="853"/>
      <c r="Y334" s="853"/>
      <c r="Z334" s="853"/>
      <c r="AA334" s="853"/>
      <c r="AB334" s="853"/>
      <c r="AC334" s="853"/>
      <c r="AD334" s="853"/>
      <c r="AE334" s="853"/>
      <c r="AF334" s="853"/>
      <c r="AG334" s="853"/>
      <c r="AH334" s="446"/>
      <c r="AI334" s="446"/>
      <c r="AJ334" s="446"/>
      <c r="AK334" s="446"/>
      <c r="AL334" s="446"/>
      <c r="AM334" s="446"/>
      <c r="AN334" s="446"/>
      <c r="AO334" s="446"/>
      <c r="AP334" s="446"/>
      <c r="AQ334" s="446"/>
      <c r="AR334" s="446"/>
      <c r="AS334" s="446"/>
      <c r="AT334" s="446"/>
      <c r="AU334" s="446"/>
      <c r="AV334" s="446"/>
      <c r="AW334" s="446"/>
      <c r="AX334" s="446"/>
      <c r="AY334" s="446"/>
      <c r="AZ334" s="446"/>
      <c r="BA334" s="446"/>
      <c r="BB334" s="446"/>
      <c r="BC334" s="446"/>
      <c r="BD334" s="446"/>
      <c r="BE334" s="446"/>
      <c r="BF334" s="446"/>
      <c r="BG334" s="446"/>
      <c r="BH334" s="446"/>
      <c r="BI334" s="446"/>
      <c r="BJ334" s="446"/>
      <c r="BK334" s="446"/>
      <c r="BL334" s="446"/>
      <c r="BM334" s="446"/>
      <c r="BN334" s="446"/>
      <c r="BO334" s="446"/>
      <c r="BP334" s="446"/>
      <c r="BQ334" s="446"/>
      <c r="BR334" s="446"/>
      <c r="BS334" s="446"/>
      <c r="BT334" s="446"/>
      <c r="BU334" s="562"/>
      <c r="BV334" s="446"/>
      <c r="BW334" s="446"/>
      <c r="BX334" s="446"/>
      <c r="BY334" s="446"/>
      <c r="BZ334" s="446"/>
      <c r="CA334" s="446"/>
      <c r="CB334" s="446"/>
      <c r="CC334" s="446"/>
      <c r="CD334" s="446"/>
      <c r="CE334" s="446"/>
      <c r="CF334" s="446"/>
      <c r="CG334" s="446"/>
      <c r="CH334" s="446"/>
      <c r="CI334" s="446"/>
      <c r="CJ334" s="446"/>
      <c r="CK334" s="446"/>
      <c r="CL334" s="446"/>
      <c r="CM334" s="446"/>
      <c r="CN334" s="446"/>
      <c r="CO334" s="446"/>
      <c r="CP334" s="446"/>
      <c r="CQ334" s="446"/>
      <c r="CR334" s="446"/>
      <c r="CS334" s="446"/>
      <c r="CT334" s="446"/>
      <c r="CU334" s="446"/>
      <c r="CV334" s="446"/>
      <c r="CW334" s="851"/>
      <c r="CX334" s="446"/>
      <c r="CY334" s="446"/>
      <c r="CZ334" s="446"/>
      <c r="DA334" s="446"/>
      <c r="DB334" s="446"/>
      <c r="DC334" s="446"/>
      <c r="DD334" s="446"/>
      <c r="DE334" s="446"/>
      <c r="DF334" s="446"/>
      <c r="DG334" s="446"/>
      <c r="DH334" s="446"/>
      <c r="DI334" s="446"/>
      <c r="DJ334" s="446"/>
      <c r="DK334" s="446"/>
      <c r="DL334" s="446"/>
      <c r="DM334" s="446"/>
      <c r="DN334" s="446"/>
      <c r="DO334" s="446"/>
      <c r="DP334" s="446"/>
      <c r="DQ334" s="446"/>
      <c r="DR334" s="446"/>
      <c r="DS334" s="446"/>
      <c r="DT334" s="446"/>
      <c r="DU334" s="446"/>
      <c r="DV334" s="446"/>
      <c r="DW334" s="446"/>
      <c r="DX334" s="446"/>
      <c r="DY334" s="446"/>
      <c r="DZ334" s="283"/>
    </row>
    <row r="335" spans="2:130" s="223" customFormat="1" ht="14.25" customHeight="1" x14ac:dyDescent="0.2">
      <c r="B335" s="851"/>
      <c r="C335" s="851"/>
      <c r="D335" s="851"/>
      <c r="E335" s="820"/>
      <c r="F335" s="820"/>
      <c r="G335" s="853"/>
      <c r="H335" s="853"/>
      <c r="I335" s="853"/>
      <c r="J335" s="853"/>
      <c r="K335" s="853"/>
      <c r="L335" s="853"/>
      <c r="M335" s="853"/>
      <c r="N335" s="853"/>
      <c r="O335" s="853"/>
      <c r="P335" s="853"/>
      <c r="Q335" s="853"/>
      <c r="R335" s="853"/>
      <c r="S335" s="854"/>
      <c r="T335" s="853"/>
      <c r="U335" s="853"/>
      <c r="V335" s="853"/>
      <c r="W335" s="853"/>
      <c r="X335" s="853"/>
      <c r="Y335" s="853"/>
      <c r="Z335" s="853"/>
      <c r="AA335" s="853"/>
      <c r="AB335" s="853"/>
      <c r="AC335" s="853"/>
      <c r="AD335" s="853"/>
      <c r="AE335" s="853"/>
      <c r="AF335" s="853"/>
      <c r="AG335" s="853"/>
      <c r="AH335" s="446"/>
      <c r="AI335" s="446"/>
      <c r="AJ335" s="446"/>
      <c r="AK335" s="446"/>
      <c r="AL335" s="446"/>
      <c r="AM335" s="446"/>
      <c r="AN335" s="446"/>
      <c r="AO335" s="446"/>
      <c r="AP335" s="446"/>
      <c r="AQ335" s="446"/>
      <c r="AR335" s="446"/>
      <c r="AS335" s="446"/>
      <c r="AT335" s="446"/>
      <c r="AU335" s="446"/>
      <c r="AV335" s="446"/>
      <c r="AW335" s="446"/>
      <c r="AX335" s="446"/>
      <c r="AY335" s="446"/>
      <c r="AZ335" s="446"/>
      <c r="BA335" s="446"/>
      <c r="BB335" s="446"/>
      <c r="BC335" s="446"/>
      <c r="BD335" s="446"/>
      <c r="BE335" s="446"/>
      <c r="BF335" s="446"/>
      <c r="BG335" s="446"/>
      <c r="BH335" s="446"/>
      <c r="BI335" s="446"/>
      <c r="BJ335" s="446"/>
      <c r="BK335" s="446"/>
      <c r="BL335" s="446"/>
      <c r="BM335" s="446"/>
      <c r="BN335" s="446"/>
      <c r="BO335" s="446"/>
      <c r="BP335" s="446"/>
      <c r="BQ335" s="446"/>
      <c r="BR335" s="446"/>
      <c r="BS335" s="446"/>
      <c r="BT335" s="446"/>
      <c r="BU335" s="562"/>
      <c r="BV335" s="446"/>
      <c r="BW335" s="446"/>
      <c r="BX335" s="446"/>
      <c r="BY335" s="446"/>
      <c r="BZ335" s="446"/>
      <c r="CA335" s="446"/>
      <c r="CB335" s="446"/>
      <c r="CC335" s="446"/>
      <c r="CD335" s="446"/>
      <c r="CE335" s="446"/>
      <c r="CF335" s="446"/>
      <c r="CG335" s="446"/>
      <c r="CH335" s="446"/>
      <c r="CI335" s="446"/>
      <c r="CJ335" s="446"/>
      <c r="CK335" s="446"/>
      <c r="CL335" s="446"/>
      <c r="CM335" s="446"/>
      <c r="CN335" s="446"/>
      <c r="CO335" s="446"/>
      <c r="CP335" s="446"/>
      <c r="CQ335" s="446"/>
      <c r="CR335" s="446"/>
      <c r="CS335" s="446"/>
      <c r="CT335" s="446"/>
      <c r="CU335" s="446"/>
      <c r="CV335" s="446"/>
      <c r="CW335" s="851"/>
      <c r="CX335" s="446"/>
      <c r="CY335" s="446"/>
      <c r="CZ335" s="446"/>
      <c r="DA335" s="446"/>
      <c r="DB335" s="446"/>
      <c r="DC335" s="446"/>
      <c r="DD335" s="446"/>
      <c r="DE335" s="446"/>
      <c r="DF335" s="446"/>
      <c r="DG335" s="446"/>
      <c r="DH335" s="446"/>
      <c r="DI335" s="446"/>
      <c r="DJ335" s="446"/>
      <c r="DK335" s="446"/>
      <c r="DL335" s="446"/>
      <c r="DM335" s="446"/>
      <c r="DN335" s="446"/>
      <c r="DO335" s="446"/>
      <c r="DP335" s="446"/>
      <c r="DQ335" s="446"/>
      <c r="DR335" s="446"/>
      <c r="DS335" s="446"/>
      <c r="DT335" s="446"/>
      <c r="DU335" s="446"/>
      <c r="DV335" s="446"/>
      <c r="DW335" s="446"/>
      <c r="DX335" s="446"/>
      <c r="DY335" s="446"/>
      <c r="DZ335" s="283"/>
    </row>
    <row r="336" spans="2:130" s="223" customFormat="1" ht="14.25" customHeight="1" x14ac:dyDescent="0.2">
      <c r="B336" s="851"/>
      <c r="C336" s="851"/>
      <c r="D336" s="851"/>
      <c r="E336" s="820"/>
      <c r="F336" s="820"/>
      <c r="G336" s="853"/>
      <c r="H336" s="853"/>
      <c r="I336" s="853"/>
      <c r="J336" s="853"/>
      <c r="K336" s="853"/>
      <c r="L336" s="853"/>
      <c r="M336" s="853"/>
      <c r="N336" s="853"/>
      <c r="O336" s="853"/>
      <c r="P336" s="853"/>
      <c r="Q336" s="853"/>
      <c r="R336" s="853"/>
      <c r="S336" s="854"/>
      <c r="T336" s="853"/>
      <c r="U336" s="853"/>
      <c r="V336" s="853"/>
      <c r="W336" s="853"/>
      <c r="X336" s="853"/>
      <c r="Y336" s="853"/>
      <c r="Z336" s="853"/>
      <c r="AA336" s="853"/>
      <c r="AB336" s="853"/>
      <c r="AC336" s="853"/>
      <c r="AD336" s="853"/>
      <c r="AE336" s="853"/>
      <c r="AF336" s="853"/>
      <c r="AG336" s="853"/>
      <c r="AH336" s="446"/>
      <c r="AI336" s="446"/>
      <c r="AJ336" s="446"/>
      <c r="AK336" s="446"/>
      <c r="AL336" s="446"/>
      <c r="AM336" s="446"/>
      <c r="AN336" s="446"/>
      <c r="AO336" s="446"/>
      <c r="AP336" s="446"/>
      <c r="AQ336" s="446"/>
      <c r="AR336" s="446"/>
      <c r="AS336" s="446"/>
      <c r="AT336" s="446"/>
      <c r="AU336" s="446"/>
      <c r="AV336" s="446"/>
      <c r="AW336" s="446"/>
      <c r="AX336" s="446"/>
      <c r="AY336" s="446"/>
      <c r="AZ336" s="446"/>
      <c r="BA336" s="446"/>
      <c r="BB336" s="446"/>
      <c r="BC336" s="446"/>
      <c r="BD336" s="446"/>
      <c r="BE336" s="446"/>
      <c r="BF336" s="446"/>
      <c r="BG336" s="446"/>
      <c r="BH336" s="446"/>
      <c r="BI336" s="446"/>
      <c r="BJ336" s="446"/>
      <c r="BK336" s="446"/>
      <c r="BL336" s="446"/>
      <c r="BM336" s="446"/>
      <c r="BN336" s="446"/>
      <c r="BO336" s="446"/>
      <c r="BP336" s="446"/>
      <c r="BQ336" s="446"/>
      <c r="BR336" s="446"/>
      <c r="BS336" s="446"/>
      <c r="BT336" s="446"/>
      <c r="BU336" s="562"/>
      <c r="BV336" s="446"/>
      <c r="BW336" s="446"/>
      <c r="BX336" s="446"/>
      <c r="BY336" s="446"/>
      <c r="BZ336" s="446"/>
      <c r="CA336" s="446"/>
      <c r="CB336" s="446"/>
      <c r="CC336" s="446"/>
      <c r="CD336" s="446"/>
      <c r="CE336" s="446"/>
      <c r="CF336" s="446"/>
      <c r="CG336" s="446"/>
      <c r="CH336" s="446"/>
      <c r="CI336" s="446"/>
      <c r="CJ336" s="446"/>
      <c r="CK336" s="446"/>
      <c r="CL336" s="446"/>
      <c r="CM336" s="446"/>
      <c r="CN336" s="446"/>
      <c r="CO336" s="446"/>
      <c r="CP336" s="446"/>
      <c r="CQ336" s="446"/>
      <c r="CR336" s="446"/>
      <c r="CS336" s="446"/>
      <c r="CT336" s="446"/>
      <c r="CU336" s="446"/>
      <c r="CV336" s="446"/>
      <c r="CW336" s="851"/>
      <c r="CX336" s="446"/>
      <c r="CY336" s="446"/>
      <c r="CZ336" s="446"/>
      <c r="DA336" s="446"/>
      <c r="DB336" s="446"/>
      <c r="DC336" s="446"/>
      <c r="DD336" s="446"/>
      <c r="DE336" s="446"/>
      <c r="DF336" s="446"/>
      <c r="DG336" s="446"/>
      <c r="DH336" s="446"/>
      <c r="DI336" s="446"/>
      <c r="DJ336" s="446"/>
      <c r="DK336" s="446"/>
      <c r="DL336" s="446"/>
      <c r="DM336" s="446"/>
      <c r="DN336" s="446"/>
      <c r="DO336" s="446"/>
      <c r="DP336" s="446"/>
      <c r="DQ336" s="446"/>
      <c r="DR336" s="446"/>
      <c r="DS336" s="446"/>
      <c r="DT336" s="446"/>
      <c r="DU336" s="446"/>
      <c r="DV336" s="446"/>
      <c r="DW336" s="446"/>
      <c r="DX336" s="446"/>
      <c r="DY336" s="446"/>
      <c r="DZ336" s="283"/>
    </row>
    <row r="337" spans="2:130" s="223" customFormat="1" ht="14.25" customHeight="1" x14ac:dyDescent="0.2">
      <c r="B337" s="851"/>
      <c r="C337" s="851"/>
      <c r="D337" s="851"/>
      <c r="E337" s="820"/>
      <c r="F337" s="820"/>
      <c r="G337" s="853"/>
      <c r="H337" s="853"/>
      <c r="I337" s="853"/>
      <c r="J337" s="853"/>
      <c r="K337" s="853"/>
      <c r="L337" s="853"/>
      <c r="M337" s="853"/>
      <c r="N337" s="853"/>
      <c r="O337" s="853"/>
      <c r="P337" s="853"/>
      <c r="Q337" s="853"/>
      <c r="R337" s="853"/>
      <c r="S337" s="854"/>
      <c r="T337" s="853"/>
      <c r="U337" s="853"/>
      <c r="V337" s="853"/>
      <c r="W337" s="853"/>
      <c r="X337" s="853"/>
      <c r="Y337" s="853"/>
      <c r="Z337" s="853"/>
      <c r="AA337" s="853"/>
      <c r="AB337" s="853"/>
      <c r="AC337" s="853"/>
      <c r="AD337" s="853"/>
      <c r="AE337" s="853"/>
      <c r="AF337" s="853"/>
      <c r="AG337" s="853"/>
      <c r="AH337" s="446"/>
      <c r="AI337" s="446"/>
      <c r="AJ337" s="446"/>
      <c r="AK337" s="446"/>
      <c r="AL337" s="446"/>
      <c r="AM337" s="446"/>
      <c r="AN337" s="446"/>
      <c r="AO337" s="446"/>
      <c r="AP337" s="446"/>
      <c r="AQ337" s="446"/>
      <c r="AR337" s="446"/>
      <c r="AS337" s="446"/>
      <c r="AT337" s="446"/>
      <c r="AU337" s="446"/>
      <c r="AV337" s="446"/>
      <c r="AW337" s="446"/>
      <c r="AX337" s="446"/>
      <c r="AY337" s="446"/>
      <c r="AZ337" s="446"/>
      <c r="BA337" s="446"/>
      <c r="BB337" s="446"/>
      <c r="BC337" s="446"/>
      <c r="BD337" s="446"/>
      <c r="BE337" s="446"/>
      <c r="BF337" s="446"/>
      <c r="BG337" s="446"/>
      <c r="BH337" s="446"/>
      <c r="BI337" s="446"/>
      <c r="BJ337" s="446"/>
      <c r="BK337" s="446"/>
      <c r="BL337" s="446"/>
      <c r="BM337" s="446"/>
      <c r="BN337" s="446"/>
      <c r="BO337" s="446"/>
      <c r="BP337" s="446"/>
      <c r="BQ337" s="446"/>
      <c r="BR337" s="446"/>
      <c r="BS337" s="446"/>
      <c r="BT337" s="446"/>
      <c r="BU337" s="562"/>
      <c r="BV337" s="446"/>
      <c r="BW337" s="446"/>
      <c r="BX337" s="446"/>
      <c r="BY337" s="446"/>
      <c r="BZ337" s="446"/>
      <c r="CA337" s="446"/>
      <c r="CB337" s="446"/>
      <c r="CC337" s="446"/>
      <c r="CD337" s="446"/>
      <c r="CE337" s="446"/>
      <c r="CF337" s="446"/>
      <c r="CG337" s="446"/>
      <c r="CH337" s="446"/>
      <c r="CI337" s="446"/>
      <c r="CJ337" s="446"/>
      <c r="CK337" s="446"/>
      <c r="CL337" s="446"/>
      <c r="CM337" s="446"/>
      <c r="CN337" s="446"/>
      <c r="CO337" s="446"/>
      <c r="CP337" s="446"/>
      <c r="CQ337" s="446"/>
      <c r="CR337" s="446"/>
      <c r="CS337" s="446"/>
      <c r="CT337" s="446"/>
      <c r="CU337" s="446"/>
      <c r="CV337" s="446"/>
      <c r="CW337" s="851"/>
      <c r="CX337" s="446"/>
      <c r="CY337" s="446"/>
      <c r="CZ337" s="446"/>
      <c r="DA337" s="446"/>
      <c r="DB337" s="446"/>
      <c r="DC337" s="446"/>
      <c r="DD337" s="446"/>
      <c r="DE337" s="446"/>
      <c r="DF337" s="446"/>
      <c r="DG337" s="446"/>
      <c r="DH337" s="446"/>
      <c r="DI337" s="446"/>
      <c r="DJ337" s="446"/>
      <c r="DK337" s="446"/>
      <c r="DL337" s="446"/>
      <c r="DM337" s="446"/>
      <c r="DN337" s="446"/>
      <c r="DO337" s="446"/>
      <c r="DP337" s="446"/>
      <c r="DQ337" s="446"/>
      <c r="DR337" s="446"/>
      <c r="DS337" s="446"/>
      <c r="DT337" s="446"/>
      <c r="DU337" s="446"/>
      <c r="DV337" s="446"/>
      <c r="DW337" s="446"/>
      <c r="DX337" s="446"/>
      <c r="DY337" s="446"/>
      <c r="DZ337" s="283"/>
    </row>
    <row r="338" spans="2:130" s="223" customFormat="1" ht="14.25" customHeight="1" x14ac:dyDescent="0.2">
      <c r="B338" s="851"/>
      <c r="C338" s="851"/>
      <c r="D338" s="851"/>
      <c r="E338" s="820"/>
      <c r="F338" s="820"/>
      <c r="G338" s="853"/>
      <c r="H338" s="853"/>
      <c r="I338" s="853"/>
      <c r="J338" s="853"/>
      <c r="K338" s="853"/>
      <c r="L338" s="853"/>
      <c r="M338" s="853"/>
      <c r="N338" s="853"/>
      <c r="O338" s="853"/>
      <c r="P338" s="853"/>
      <c r="Q338" s="853"/>
      <c r="R338" s="853"/>
      <c r="S338" s="854"/>
      <c r="T338" s="853"/>
      <c r="U338" s="853"/>
      <c r="V338" s="853"/>
      <c r="W338" s="853"/>
      <c r="X338" s="853"/>
      <c r="Y338" s="853"/>
      <c r="Z338" s="853"/>
      <c r="AA338" s="853"/>
      <c r="AB338" s="853"/>
      <c r="AC338" s="853"/>
      <c r="AD338" s="853"/>
      <c r="AE338" s="853"/>
      <c r="AF338" s="853"/>
      <c r="AG338" s="853"/>
      <c r="AH338" s="446"/>
      <c r="AI338" s="446"/>
      <c r="AJ338" s="446"/>
      <c r="AK338" s="446"/>
      <c r="AL338" s="446"/>
      <c r="AM338" s="446"/>
      <c r="AN338" s="446"/>
      <c r="AO338" s="446"/>
      <c r="AP338" s="446"/>
      <c r="AQ338" s="446"/>
      <c r="AR338" s="446"/>
      <c r="AS338" s="446"/>
      <c r="AT338" s="446"/>
      <c r="AU338" s="446"/>
      <c r="AV338" s="446"/>
      <c r="AW338" s="446"/>
      <c r="AX338" s="446"/>
      <c r="AY338" s="446"/>
      <c r="AZ338" s="446"/>
      <c r="BA338" s="446"/>
      <c r="BB338" s="446"/>
      <c r="BC338" s="446"/>
      <c r="BD338" s="446"/>
      <c r="BE338" s="446"/>
      <c r="BF338" s="446"/>
      <c r="BG338" s="446"/>
      <c r="BH338" s="446"/>
      <c r="BI338" s="446"/>
      <c r="BJ338" s="446"/>
      <c r="BK338" s="446"/>
      <c r="BL338" s="446"/>
      <c r="BM338" s="446"/>
      <c r="BN338" s="446"/>
      <c r="BO338" s="446"/>
      <c r="BP338" s="446"/>
      <c r="BQ338" s="446"/>
      <c r="BR338" s="446"/>
      <c r="BS338" s="446"/>
      <c r="BT338" s="446"/>
      <c r="BU338" s="562"/>
      <c r="BV338" s="446"/>
      <c r="BW338" s="446"/>
      <c r="BX338" s="446"/>
      <c r="BY338" s="446"/>
      <c r="BZ338" s="446"/>
      <c r="CA338" s="446"/>
      <c r="CB338" s="446"/>
      <c r="CC338" s="446"/>
      <c r="CD338" s="446"/>
      <c r="CE338" s="446"/>
      <c r="CF338" s="446"/>
      <c r="CG338" s="446"/>
      <c r="CH338" s="446"/>
      <c r="CI338" s="446"/>
      <c r="CJ338" s="446"/>
      <c r="CK338" s="446"/>
      <c r="CL338" s="446"/>
      <c r="CM338" s="446"/>
      <c r="CN338" s="446"/>
      <c r="CO338" s="446"/>
      <c r="CP338" s="446"/>
      <c r="CQ338" s="446"/>
      <c r="CR338" s="446"/>
      <c r="CS338" s="446"/>
      <c r="CT338" s="446"/>
      <c r="CU338" s="446"/>
      <c r="CV338" s="446"/>
      <c r="CW338" s="851"/>
      <c r="CX338" s="446"/>
      <c r="CY338" s="446"/>
      <c r="CZ338" s="446"/>
      <c r="DA338" s="446"/>
      <c r="DB338" s="446"/>
      <c r="DC338" s="446"/>
      <c r="DD338" s="446"/>
      <c r="DE338" s="446"/>
      <c r="DF338" s="446"/>
      <c r="DG338" s="446"/>
      <c r="DH338" s="446"/>
      <c r="DI338" s="446"/>
      <c r="DJ338" s="446"/>
      <c r="DK338" s="446"/>
      <c r="DL338" s="446"/>
      <c r="DM338" s="446"/>
      <c r="DN338" s="446"/>
      <c r="DO338" s="446"/>
      <c r="DP338" s="446"/>
      <c r="DQ338" s="446"/>
      <c r="DR338" s="446"/>
      <c r="DS338" s="446"/>
      <c r="DT338" s="446"/>
      <c r="DU338" s="446"/>
      <c r="DV338" s="446"/>
      <c r="DW338" s="446"/>
      <c r="DX338" s="446"/>
      <c r="DY338" s="446"/>
      <c r="DZ338" s="283"/>
    </row>
    <row r="339" spans="2:130" s="223" customFormat="1" ht="14.25" customHeight="1" x14ac:dyDescent="0.2">
      <c r="B339" s="851"/>
      <c r="C339" s="851"/>
      <c r="D339" s="851"/>
      <c r="E339" s="820"/>
      <c r="F339" s="820"/>
      <c r="G339" s="853"/>
      <c r="H339" s="853"/>
      <c r="I339" s="853"/>
      <c r="J339" s="853"/>
      <c r="K339" s="853"/>
      <c r="L339" s="853"/>
      <c r="M339" s="853"/>
      <c r="N339" s="853"/>
      <c r="O339" s="853"/>
      <c r="P339" s="853"/>
      <c r="Q339" s="853"/>
      <c r="R339" s="853"/>
      <c r="S339" s="854"/>
      <c r="T339" s="853"/>
      <c r="U339" s="853"/>
      <c r="V339" s="853"/>
      <c r="W339" s="853"/>
      <c r="X339" s="853"/>
      <c r="Y339" s="853"/>
      <c r="Z339" s="853"/>
      <c r="AA339" s="853"/>
      <c r="AB339" s="853"/>
      <c r="AC339" s="853"/>
      <c r="AD339" s="853"/>
      <c r="AE339" s="853"/>
      <c r="AF339" s="853"/>
      <c r="AG339" s="853"/>
      <c r="AH339" s="446"/>
      <c r="AI339" s="446"/>
      <c r="AJ339" s="446"/>
      <c r="AK339" s="446"/>
      <c r="AL339" s="446"/>
      <c r="AM339" s="446"/>
      <c r="AN339" s="446"/>
      <c r="AO339" s="446"/>
      <c r="AP339" s="446"/>
      <c r="AQ339" s="446"/>
      <c r="AR339" s="446"/>
      <c r="AS339" s="446"/>
      <c r="AT339" s="446"/>
      <c r="AU339" s="446"/>
      <c r="AV339" s="446"/>
      <c r="AW339" s="446"/>
      <c r="AX339" s="446"/>
      <c r="AY339" s="446"/>
      <c r="AZ339" s="446"/>
      <c r="BA339" s="446"/>
      <c r="BB339" s="446"/>
      <c r="BC339" s="446"/>
      <c r="BD339" s="446"/>
      <c r="BE339" s="446"/>
      <c r="BF339" s="446"/>
      <c r="BG339" s="446"/>
      <c r="BH339" s="446"/>
      <c r="BI339" s="446"/>
      <c r="BJ339" s="446"/>
      <c r="BK339" s="446"/>
      <c r="BL339" s="446"/>
      <c r="BM339" s="446"/>
      <c r="BN339" s="446"/>
      <c r="BO339" s="446"/>
      <c r="BP339" s="446"/>
      <c r="BQ339" s="446"/>
      <c r="BR339" s="446"/>
      <c r="BS339" s="446"/>
      <c r="BT339" s="446"/>
      <c r="BU339" s="562"/>
      <c r="BV339" s="446"/>
      <c r="BW339" s="446"/>
      <c r="BX339" s="446"/>
      <c r="BY339" s="446"/>
      <c r="BZ339" s="446"/>
      <c r="CA339" s="446"/>
      <c r="CB339" s="446"/>
      <c r="CC339" s="446"/>
      <c r="CD339" s="446"/>
      <c r="CE339" s="446"/>
      <c r="CF339" s="446"/>
      <c r="CG339" s="446"/>
      <c r="CH339" s="446"/>
      <c r="CI339" s="446"/>
      <c r="CJ339" s="446"/>
      <c r="CK339" s="446"/>
      <c r="CL339" s="446"/>
      <c r="CM339" s="446"/>
      <c r="CN339" s="446"/>
      <c r="CO339" s="446"/>
      <c r="CP339" s="446"/>
      <c r="CQ339" s="446"/>
      <c r="CR339" s="446"/>
      <c r="CS339" s="446"/>
      <c r="CT339" s="446"/>
      <c r="CU339" s="446"/>
      <c r="CV339" s="446"/>
      <c r="CW339" s="851"/>
      <c r="CX339" s="446"/>
      <c r="CY339" s="446"/>
      <c r="CZ339" s="446"/>
      <c r="DA339" s="446"/>
      <c r="DB339" s="446"/>
      <c r="DC339" s="446"/>
      <c r="DD339" s="446"/>
      <c r="DE339" s="446"/>
      <c r="DF339" s="446"/>
      <c r="DG339" s="446"/>
      <c r="DH339" s="446"/>
      <c r="DI339" s="446"/>
      <c r="DJ339" s="446"/>
      <c r="DK339" s="446"/>
      <c r="DL339" s="446"/>
      <c r="DM339" s="446"/>
      <c r="DN339" s="446"/>
      <c r="DO339" s="446"/>
      <c r="DP339" s="446"/>
      <c r="DQ339" s="446"/>
      <c r="DR339" s="446"/>
      <c r="DS339" s="446"/>
      <c r="DT339" s="446"/>
      <c r="DU339" s="446"/>
      <c r="DV339" s="446"/>
      <c r="DW339" s="446"/>
      <c r="DX339" s="446"/>
      <c r="DY339" s="446"/>
      <c r="DZ339" s="283"/>
    </row>
    <row r="340" spans="2:130" s="223" customFormat="1" ht="14.25" customHeight="1" x14ac:dyDescent="0.2">
      <c r="B340" s="851"/>
      <c r="C340" s="851"/>
      <c r="D340" s="851"/>
      <c r="E340" s="820"/>
      <c r="F340" s="820"/>
      <c r="G340" s="853"/>
      <c r="H340" s="853"/>
      <c r="I340" s="853"/>
      <c r="J340" s="853"/>
      <c r="K340" s="853"/>
      <c r="L340" s="853"/>
      <c r="M340" s="853"/>
      <c r="N340" s="853"/>
      <c r="O340" s="853"/>
      <c r="P340" s="853"/>
      <c r="Q340" s="853"/>
      <c r="R340" s="853"/>
      <c r="S340" s="854"/>
      <c r="T340" s="853"/>
      <c r="U340" s="853"/>
      <c r="V340" s="853"/>
      <c r="W340" s="853"/>
      <c r="X340" s="853"/>
      <c r="Y340" s="853"/>
      <c r="Z340" s="853"/>
      <c r="AA340" s="853"/>
      <c r="AB340" s="853"/>
      <c r="AC340" s="853"/>
      <c r="AD340" s="853"/>
      <c r="AE340" s="853"/>
      <c r="AF340" s="853"/>
      <c r="AG340" s="853"/>
      <c r="AH340" s="446"/>
      <c r="AI340" s="446"/>
      <c r="AJ340" s="446"/>
      <c r="AK340" s="446"/>
      <c r="AL340" s="446"/>
      <c r="AM340" s="446"/>
      <c r="AN340" s="446"/>
      <c r="AO340" s="446"/>
      <c r="AP340" s="446"/>
      <c r="AQ340" s="446"/>
      <c r="AR340" s="446"/>
      <c r="AS340" s="446"/>
      <c r="AT340" s="446"/>
      <c r="AU340" s="446"/>
      <c r="AV340" s="446"/>
      <c r="AW340" s="446"/>
      <c r="AX340" s="446"/>
      <c r="AY340" s="446"/>
      <c r="AZ340" s="446"/>
      <c r="BA340" s="446"/>
      <c r="BB340" s="446"/>
      <c r="BC340" s="446"/>
      <c r="BD340" s="446"/>
      <c r="BE340" s="446"/>
      <c r="BF340" s="446"/>
      <c r="BG340" s="446"/>
      <c r="BH340" s="446"/>
      <c r="BI340" s="446"/>
      <c r="BJ340" s="446"/>
      <c r="BK340" s="446"/>
      <c r="BL340" s="446"/>
      <c r="BM340" s="446"/>
      <c r="BN340" s="446"/>
      <c r="BO340" s="446"/>
      <c r="BP340" s="446"/>
      <c r="BQ340" s="446"/>
      <c r="BR340" s="446"/>
      <c r="BS340" s="446"/>
      <c r="BT340" s="446"/>
      <c r="BU340" s="562"/>
      <c r="BV340" s="446"/>
      <c r="BW340" s="446"/>
      <c r="BX340" s="446"/>
      <c r="BY340" s="446"/>
      <c r="BZ340" s="446"/>
      <c r="CA340" s="446"/>
      <c r="CB340" s="446"/>
      <c r="CC340" s="446"/>
      <c r="CD340" s="446"/>
      <c r="CE340" s="446"/>
      <c r="CF340" s="446"/>
      <c r="CG340" s="446"/>
      <c r="CH340" s="446"/>
      <c r="CI340" s="446"/>
      <c r="CJ340" s="446"/>
      <c r="CK340" s="446"/>
      <c r="CL340" s="446"/>
      <c r="CM340" s="446"/>
      <c r="CN340" s="446"/>
      <c r="CO340" s="446"/>
      <c r="CP340" s="446"/>
      <c r="CQ340" s="446"/>
      <c r="CR340" s="446"/>
      <c r="CS340" s="446"/>
      <c r="CT340" s="446"/>
      <c r="CU340" s="446"/>
      <c r="CV340" s="446"/>
      <c r="CW340" s="851"/>
      <c r="CX340" s="446"/>
      <c r="CY340" s="446"/>
      <c r="CZ340" s="446"/>
      <c r="DA340" s="446"/>
      <c r="DB340" s="446"/>
      <c r="DC340" s="446"/>
      <c r="DD340" s="446"/>
      <c r="DE340" s="446"/>
      <c r="DF340" s="446"/>
      <c r="DG340" s="446"/>
      <c r="DH340" s="446"/>
      <c r="DI340" s="446"/>
      <c r="DJ340" s="446"/>
      <c r="DK340" s="446"/>
      <c r="DL340" s="446"/>
      <c r="DM340" s="446"/>
      <c r="DN340" s="446"/>
      <c r="DO340" s="446"/>
      <c r="DP340" s="446"/>
      <c r="DQ340" s="446"/>
      <c r="DR340" s="446"/>
      <c r="DS340" s="446"/>
      <c r="DT340" s="446"/>
      <c r="DU340" s="446"/>
      <c r="DV340" s="446"/>
      <c r="DW340" s="446"/>
      <c r="DX340" s="446"/>
      <c r="DY340" s="446"/>
      <c r="DZ340" s="283"/>
    </row>
    <row r="341" spans="2:130" s="223" customFormat="1" ht="14.25" customHeight="1" x14ac:dyDescent="0.2">
      <c r="B341" s="851"/>
      <c r="C341" s="851"/>
      <c r="D341" s="851"/>
      <c r="E341" s="820"/>
      <c r="F341" s="820"/>
      <c r="G341" s="853"/>
      <c r="H341" s="853"/>
      <c r="I341" s="853"/>
      <c r="J341" s="853"/>
      <c r="K341" s="853"/>
      <c r="L341" s="853"/>
      <c r="M341" s="853"/>
      <c r="N341" s="853"/>
      <c r="O341" s="853"/>
      <c r="P341" s="853"/>
      <c r="Q341" s="853"/>
      <c r="R341" s="853"/>
      <c r="S341" s="854"/>
      <c r="T341" s="853"/>
      <c r="U341" s="853"/>
      <c r="V341" s="853"/>
      <c r="W341" s="853"/>
      <c r="X341" s="853"/>
      <c r="Y341" s="853"/>
      <c r="Z341" s="853"/>
      <c r="AA341" s="853"/>
      <c r="AB341" s="853"/>
      <c r="AC341" s="853"/>
      <c r="AD341" s="853"/>
      <c r="AE341" s="853"/>
      <c r="AF341" s="853"/>
      <c r="AG341" s="853"/>
      <c r="AH341" s="446"/>
      <c r="AI341" s="446"/>
      <c r="AJ341" s="446"/>
      <c r="AK341" s="446"/>
      <c r="AL341" s="446"/>
      <c r="AM341" s="446"/>
      <c r="AN341" s="446"/>
      <c r="AO341" s="446"/>
      <c r="AP341" s="446"/>
      <c r="AQ341" s="446"/>
      <c r="AR341" s="446"/>
      <c r="AS341" s="446"/>
      <c r="AT341" s="446"/>
      <c r="AU341" s="446"/>
      <c r="AV341" s="446"/>
      <c r="AW341" s="446"/>
      <c r="AX341" s="446"/>
      <c r="AY341" s="446"/>
      <c r="AZ341" s="446"/>
      <c r="BA341" s="446"/>
      <c r="BB341" s="446"/>
      <c r="BC341" s="446"/>
      <c r="BD341" s="446"/>
      <c r="BE341" s="446"/>
      <c r="BF341" s="446"/>
      <c r="BG341" s="446"/>
      <c r="BH341" s="446"/>
      <c r="BI341" s="446"/>
      <c r="BJ341" s="446"/>
      <c r="BK341" s="446"/>
      <c r="BL341" s="446"/>
      <c r="BM341" s="446"/>
      <c r="BN341" s="446"/>
      <c r="BO341" s="446"/>
      <c r="BP341" s="446"/>
      <c r="BQ341" s="446"/>
      <c r="BR341" s="446"/>
      <c r="BS341" s="446"/>
      <c r="BT341" s="446"/>
      <c r="BU341" s="562"/>
      <c r="BV341" s="446"/>
      <c r="BW341" s="446"/>
      <c r="BX341" s="446"/>
      <c r="BY341" s="446"/>
      <c r="BZ341" s="446"/>
      <c r="CA341" s="446"/>
      <c r="CB341" s="446"/>
      <c r="CC341" s="446"/>
      <c r="CD341" s="446"/>
      <c r="CE341" s="446"/>
      <c r="CF341" s="446"/>
      <c r="CG341" s="446"/>
      <c r="CH341" s="446"/>
      <c r="CI341" s="446"/>
      <c r="CJ341" s="446"/>
      <c r="CK341" s="446"/>
      <c r="CL341" s="446"/>
      <c r="CM341" s="446"/>
      <c r="CN341" s="446"/>
      <c r="CO341" s="446"/>
      <c r="CP341" s="446"/>
      <c r="CQ341" s="446"/>
      <c r="CR341" s="446"/>
      <c r="CS341" s="446"/>
      <c r="CT341" s="446"/>
      <c r="CU341" s="446"/>
      <c r="CV341" s="446"/>
      <c r="CW341" s="851"/>
      <c r="CX341" s="446"/>
      <c r="CY341" s="446"/>
      <c r="CZ341" s="446"/>
      <c r="DA341" s="446"/>
      <c r="DB341" s="446"/>
      <c r="DC341" s="446"/>
      <c r="DD341" s="446"/>
      <c r="DE341" s="446"/>
      <c r="DF341" s="446"/>
      <c r="DG341" s="446"/>
      <c r="DH341" s="446"/>
      <c r="DI341" s="446"/>
      <c r="DJ341" s="446"/>
      <c r="DK341" s="446"/>
      <c r="DL341" s="446"/>
      <c r="DM341" s="446"/>
      <c r="DN341" s="446"/>
      <c r="DO341" s="446"/>
      <c r="DP341" s="446"/>
      <c r="DQ341" s="446"/>
      <c r="DR341" s="446"/>
      <c r="DS341" s="446"/>
      <c r="DT341" s="446"/>
      <c r="DU341" s="446"/>
      <c r="DV341" s="446"/>
      <c r="DW341" s="446"/>
      <c r="DX341" s="446"/>
      <c r="DY341" s="446"/>
      <c r="DZ341" s="283"/>
    </row>
    <row r="342" spans="2:130" s="223" customFormat="1" ht="14.25" customHeight="1" x14ac:dyDescent="0.2">
      <c r="B342" s="851"/>
      <c r="C342" s="851"/>
      <c r="D342" s="851"/>
      <c r="E342" s="820"/>
      <c r="F342" s="820"/>
      <c r="G342" s="853"/>
      <c r="H342" s="853"/>
      <c r="I342" s="853"/>
      <c r="J342" s="853"/>
      <c r="K342" s="853"/>
      <c r="L342" s="853"/>
      <c r="M342" s="853"/>
      <c r="N342" s="853"/>
      <c r="O342" s="853"/>
      <c r="P342" s="853"/>
      <c r="Q342" s="853"/>
      <c r="R342" s="853"/>
      <c r="S342" s="854"/>
      <c r="T342" s="853"/>
      <c r="U342" s="853"/>
      <c r="V342" s="853"/>
      <c r="W342" s="853"/>
      <c r="X342" s="853"/>
      <c r="Y342" s="853"/>
      <c r="Z342" s="853"/>
      <c r="AA342" s="853"/>
      <c r="AB342" s="853"/>
      <c r="AC342" s="853"/>
      <c r="AD342" s="853"/>
      <c r="AE342" s="853"/>
      <c r="AF342" s="853"/>
      <c r="AG342" s="853"/>
      <c r="AH342" s="446"/>
      <c r="AI342" s="446"/>
      <c r="AJ342" s="446"/>
      <c r="AK342" s="446"/>
      <c r="AL342" s="446"/>
      <c r="AM342" s="446"/>
      <c r="AN342" s="446"/>
      <c r="AO342" s="446"/>
      <c r="AP342" s="446"/>
      <c r="AQ342" s="446"/>
      <c r="AR342" s="446"/>
      <c r="AS342" s="446"/>
      <c r="AT342" s="446"/>
      <c r="AU342" s="446"/>
      <c r="AV342" s="446"/>
      <c r="AW342" s="446"/>
      <c r="AX342" s="446"/>
      <c r="AY342" s="446"/>
      <c r="AZ342" s="446"/>
      <c r="BA342" s="446"/>
      <c r="BB342" s="446"/>
      <c r="BC342" s="446"/>
      <c r="BD342" s="446"/>
      <c r="BE342" s="446"/>
      <c r="BF342" s="446"/>
      <c r="BG342" s="446"/>
      <c r="BH342" s="446"/>
      <c r="BI342" s="446"/>
      <c r="BJ342" s="446"/>
      <c r="BK342" s="446"/>
      <c r="BL342" s="446"/>
      <c r="BM342" s="446"/>
      <c r="BN342" s="446"/>
      <c r="BO342" s="446"/>
      <c r="BP342" s="446"/>
      <c r="BQ342" s="446"/>
      <c r="BR342" s="446"/>
      <c r="BS342" s="446"/>
      <c r="BT342" s="446"/>
      <c r="BU342" s="562"/>
      <c r="BV342" s="446"/>
      <c r="BW342" s="446"/>
      <c r="BX342" s="446"/>
      <c r="BY342" s="446"/>
      <c r="BZ342" s="446"/>
      <c r="CA342" s="446"/>
      <c r="CB342" s="446"/>
      <c r="CC342" s="446"/>
      <c r="CD342" s="446"/>
      <c r="CE342" s="446"/>
      <c r="CF342" s="446"/>
      <c r="CG342" s="446"/>
      <c r="CH342" s="446"/>
      <c r="CI342" s="446"/>
      <c r="CJ342" s="446"/>
      <c r="CK342" s="446"/>
      <c r="CL342" s="446"/>
      <c r="CM342" s="446"/>
      <c r="CN342" s="446"/>
      <c r="CO342" s="446"/>
      <c r="CP342" s="446"/>
      <c r="CQ342" s="446"/>
      <c r="CR342" s="446"/>
      <c r="CS342" s="446"/>
      <c r="CT342" s="446"/>
      <c r="CU342" s="446"/>
      <c r="CV342" s="446"/>
      <c r="CW342" s="851"/>
      <c r="CX342" s="446"/>
      <c r="CY342" s="446"/>
      <c r="CZ342" s="446"/>
      <c r="DA342" s="446"/>
      <c r="DB342" s="446"/>
      <c r="DC342" s="446"/>
      <c r="DD342" s="446"/>
      <c r="DE342" s="446"/>
      <c r="DF342" s="446"/>
      <c r="DG342" s="446"/>
      <c r="DH342" s="446"/>
      <c r="DI342" s="446"/>
      <c r="DJ342" s="446"/>
      <c r="DK342" s="446"/>
      <c r="DL342" s="446"/>
      <c r="DM342" s="446"/>
      <c r="DN342" s="446"/>
      <c r="DO342" s="446"/>
      <c r="DP342" s="446"/>
      <c r="DQ342" s="446"/>
      <c r="DR342" s="446"/>
      <c r="DS342" s="446"/>
      <c r="DT342" s="446"/>
      <c r="DU342" s="446"/>
      <c r="DV342" s="446"/>
      <c r="DW342" s="446"/>
      <c r="DX342" s="446"/>
      <c r="DY342" s="446"/>
      <c r="DZ342" s="283"/>
    </row>
    <row r="343" spans="2:130" s="223" customFormat="1" ht="14.25" customHeight="1" x14ac:dyDescent="0.2">
      <c r="B343" s="851"/>
      <c r="C343" s="851"/>
      <c r="D343" s="851"/>
      <c r="E343" s="820"/>
      <c r="F343" s="820"/>
      <c r="G343" s="853"/>
      <c r="H343" s="853"/>
      <c r="I343" s="853"/>
      <c r="J343" s="853"/>
      <c r="K343" s="853"/>
      <c r="L343" s="853"/>
      <c r="M343" s="853"/>
      <c r="N343" s="853"/>
      <c r="O343" s="853"/>
      <c r="P343" s="853"/>
      <c r="Q343" s="853"/>
      <c r="R343" s="853"/>
      <c r="S343" s="854"/>
      <c r="T343" s="853"/>
      <c r="U343" s="853"/>
      <c r="V343" s="853"/>
      <c r="W343" s="853"/>
      <c r="X343" s="853"/>
      <c r="Y343" s="853"/>
      <c r="Z343" s="853"/>
      <c r="AA343" s="853"/>
      <c r="AB343" s="853"/>
      <c r="AC343" s="853"/>
      <c r="AD343" s="853"/>
      <c r="AE343" s="853"/>
      <c r="AF343" s="853"/>
      <c r="AG343" s="853"/>
      <c r="AH343" s="446"/>
      <c r="AI343" s="446"/>
      <c r="AJ343" s="446"/>
      <c r="AK343" s="446"/>
      <c r="AL343" s="446"/>
      <c r="AM343" s="446"/>
      <c r="AN343" s="446"/>
      <c r="AO343" s="446"/>
      <c r="AP343" s="446"/>
      <c r="AQ343" s="446"/>
      <c r="AR343" s="446"/>
      <c r="AS343" s="446"/>
      <c r="AT343" s="446"/>
      <c r="AU343" s="446"/>
      <c r="AV343" s="446"/>
      <c r="AW343" s="446"/>
      <c r="AX343" s="446"/>
      <c r="AY343" s="446"/>
      <c r="AZ343" s="446"/>
      <c r="BA343" s="446"/>
      <c r="BB343" s="446"/>
      <c r="BC343" s="446"/>
      <c r="BD343" s="446"/>
      <c r="BE343" s="446"/>
      <c r="BF343" s="446"/>
      <c r="BG343" s="446"/>
      <c r="BH343" s="446"/>
      <c r="BI343" s="446"/>
      <c r="BJ343" s="446"/>
      <c r="BK343" s="446"/>
      <c r="BL343" s="446"/>
      <c r="BM343" s="446"/>
      <c r="BN343" s="446"/>
      <c r="BO343" s="446"/>
      <c r="BP343" s="446"/>
      <c r="BQ343" s="446"/>
      <c r="BR343" s="446"/>
      <c r="BS343" s="446"/>
      <c r="BT343" s="446"/>
      <c r="BU343" s="562"/>
      <c r="BV343" s="446"/>
      <c r="BW343" s="446"/>
      <c r="BX343" s="446"/>
      <c r="BY343" s="446"/>
      <c r="BZ343" s="446"/>
      <c r="CA343" s="446"/>
      <c r="CB343" s="446"/>
      <c r="CC343" s="446"/>
      <c r="CD343" s="446"/>
      <c r="CE343" s="446"/>
      <c r="CF343" s="446"/>
      <c r="CG343" s="446"/>
      <c r="CH343" s="446"/>
      <c r="CI343" s="446"/>
      <c r="CJ343" s="446"/>
      <c r="CK343" s="446"/>
      <c r="CL343" s="446"/>
      <c r="CM343" s="446"/>
      <c r="CN343" s="446"/>
      <c r="CO343" s="446"/>
      <c r="CP343" s="446"/>
      <c r="CQ343" s="446"/>
      <c r="CR343" s="446"/>
      <c r="CS343" s="446"/>
      <c r="CT343" s="446"/>
      <c r="CU343" s="446"/>
      <c r="CV343" s="446"/>
      <c r="CW343" s="851"/>
      <c r="CX343" s="446"/>
      <c r="CY343" s="446"/>
      <c r="CZ343" s="446"/>
      <c r="DA343" s="446"/>
      <c r="DB343" s="446"/>
      <c r="DC343" s="446"/>
      <c r="DD343" s="446"/>
      <c r="DE343" s="446"/>
      <c r="DF343" s="446"/>
      <c r="DG343" s="446"/>
      <c r="DH343" s="446"/>
      <c r="DI343" s="446"/>
      <c r="DJ343" s="446"/>
      <c r="DK343" s="446"/>
      <c r="DL343" s="446"/>
      <c r="DM343" s="446"/>
      <c r="DN343" s="446"/>
      <c r="DO343" s="446"/>
      <c r="DP343" s="446"/>
      <c r="DQ343" s="446"/>
      <c r="DR343" s="446"/>
      <c r="DS343" s="446"/>
      <c r="DT343" s="446"/>
      <c r="DU343" s="446"/>
      <c r="DV343" s="446"/>
      <c r="DW343" s="446"/>
      <c r="DX343" s="446"/>
      <c r="DY343" s="446"/>
      <c r="DZ343" s="283"/>
    </row>
    <row r="344" spans="2:130" s="223" customFormat="1" ht="14.25" customHeight="1" x14ac:dyDescent="0.2">
      <c r="B344" s="851"/>
      <c r="C344" s="851"/>
      <c r="D344" s="851"/>
      <c r="E344" s="820"/>
      <c r="F344" s="820"/>
      <c r="G344" s="853"/>
      <c r="H344" s="853"/>
      <c r="I344" s="853"/>
      <c r="J344" s="853"/>
      <c r="K344" s="853"/>
      <c r="L344" s="853"/>
      <c r="M344" s="853"/>
      <c r="N344" s="853"/>
      <c r="O344" s="853"/>
      <c r="P344" s="853"/>
      <c r="Q344" s="853"/>
      <c r="R344" s="853"/>
      <c r="S344" s="854"/>
      <c r="T344" s="853"/>
      <c r="U344" s="853"/>
      <c r="V344" s="853"/>
      <c r="W344" s="853"/>
      <c r="X344" s="853"/>
      <c r="Y344" s="853"/>
      <c r="Z344" s="853"/>
      <c r="AA344" s="853"/>
      <c r="AB344" s="853"/>
      <c r="AC344" s="853"/>
      <c r="AD344" s="853"/>
      <c r="AE344" s="853"/>
      <c r="AF344" s="853"/>
      <c r="AG344" s="853"/>
      <c r="AH344" s="446"/>
      <c r="AI344" s="446"/>
      <c r="AJ344" s="446"/>
      <c r="AK344" s="446"/>
      <c r="AL344" s="446"/>
      <c r="AM344" s="446"/>
      <c r="AN344" s="446"/>
      <c r="AO344" s="446"/>
      <c r="AP344" s="446"/>
      <c r="AQ344" s="446"/>
      <c r="AR344" s="446"/>
      <c r="AS344" s="446"/>
      <c r="AT344" s="446"/>
      <c r="AU344" s="446"/>
      <c r="AV344" s="446"/>
      <c r="AW344" s="446"/>
      <c r="AX344" s="446"/>
      <c r="AY344" s="446"/>
      <c r="AZ344" s="446"/>
      <c r="BA344" s="446"/>
      <c r="BB344" s="446"/>
      <c r="BC344" s="446"/>
      <c r="BD344" s="446"/>
      <c r="BE344" s="446"/>
      <c r="BF344" s="446"/>
      <c r="BG344" s="446"/>
      <c r="BH344" s="446"/>
      <c r="BI344" s="446"/>
      <c r="BJ344" s="446"/>
      <c r="BK344" s="446"/>
      <c r="BL344" s="446"/>
      <c r="BM344" s="446"/>
      <c r="BN344" s="446"/>
      <c r="BO344" s="446"/>
      <c r="BP344" s="446"/>
      <c r="BQ344" s="446"/>
      <c r="BR344" s="446"/>
      <c r="BS344" s="446"/>
      <c r="BT344" s="446"/>
      <c r="BU344" s="562"/>
      <c r="BV344" s="446"/>
      <c r="BW344" s="446"/>
      <c r="BX344" s="446"/>
      <c r="BY344" s="446"/>
      <c r="BZ344" s="446"/>
      <c r="CA344" s="446"/>
      <c r="CB344" s="446"/>
      <c r="CC344" s="446"/>
      <c r="CD344" s="446"/>
      <c r="CE344" s="446"/>
      <c r="CF344" s="446"/>
      <c r="CG344" s="446"/>
      <c r="CH344" s="446"/>
      <c r="CI344" s="446"/>
      <c r="CJ344" s="446"/>
      <c r="CK344" s="446"/>
      <c r="CL344" s="446"/>
      <c r="CM344" s="446"/>
      <c r="CN344" s="446"/>
      <c r="CO344" s="446"/>
      <c r="CP344" s="446"/>
      <c r="CQ344" s="446"/>
      <c r="CR344" s="446"/>
      <c r="CS344" s="446"/>
      <c r="CT344" s="446"/>
      <c r="CU344" s="446"/>
      <c r="CV344" s="446"/>
      <c r="CW344" s="851"/>
      <c r="CX344" s="446"/>
      <c r="CY344" s="446"/>
      <c r="CZ344" s="446"/>
      <c r="DA344" s="446"/>
      <c r="DB344" s="446"/>
      <c r="DC344" s="446"/>
      <c r="DD344" s="446"/>
      <c r="DE344" s="446"/>
      <c r="DF344" s="446"/>
      <c r="DG344" s="446"/>
      <c r="DH344" s="446"/>
      <c r="DI344" s="446"/>
      <c r="DJ344" s="446"/>
      <c r="DK344" s="446"/>
      <c r="DL344" s="446"/>
      <c r="DM344" s="446"/>
      <c r="DN344" s="446"/>
      <c r="DO344" s="446"/>
      <c r="DP344" s="446"/>
      <c r="DQ344" s="446"/>
      <c r="DR344" s="446"/>
      <c r="DS344" s="446"/>
      <c r="DT344" s="446"/>
      <c r="DU344" s="446"/>
      <c r="DV344" s="446"/>
      <c r="DW344" s="446"/>
      <c r="DX344" s="446"/>
      <c r="DY344" s="446"/>
      <c r="DZ344" s="283"/>
    </row>
    <row r="345" spans="2:130" s="223" customFormat="1" ht="14.25" customHeight="1" x14ac:dyDescent="0.2">
      <c r="B345" s="851"/>
      <c r="C345" s="851"/>
      <c r="D345" s="851"/>
      <c r="E345" s="820"/>
      <c r="F345" s="820"/>
      <c r="G345" s="853"/>
      <c r="H345" s="853"/>
      <c r="I345" s="853"/>
      <c r="J345" s="853"/>
      <c r="K345" s="853"/>
      <c r="L345" s="853"/>
      <c r="M345" s="853"/>
      <c r="N345" s="853"/>
      <c r="O345" s="853"/>
      <c r="P345" s="853"/>
      <c r="Q345" s="853"/>
      <c r="R345" s="853"/>
      <c r="S345" s="854"/>
      <c r="T345" s="853"/>
      <c r="U345" s="853"/>
      <c r="V345" s="853"/>
      <c r="W345" s="853"/>
      <c r="X345" s="853"/>
      <c r="Y345" s="853"/>
      <c r="Z345" s="853"/>
      <c r="AA345" s="853"/>
      <c r="AB345" s="853"/>
      <c r="AC345" s="853"/>
      <c r="AD345" s="853"/>
      <c r="AE345" s="853"/>
      <c r="AF345" s="853"/>
      <c r="AG345" s="853"/>
      <c r="AH345" s="446"/>
      <c r="AI345" s="446"/>
      <c r="AJ345" s="446"/>
      <c r="AK345" s="446"/>
      <c r="AL345" s="446"/>
      <c r="AM345" s="446"/>
      <c r="AN345" s="446"/>
      <c r="AO345" s="446"/>
      <c r="AP345" s="446"/>
      <c r="AQ345" s="446"/>
      <c r="AR345" s="446"/>
      <c r="AS345" s="446"/>
      <c r="AT345" s="446"/>
      <c r="AU345" s="446"/>
      <c r="AV345" s="446"/>
      <c r="AW345" s="446"/>
      <c r="AX345" s="446"/>
      <c r="AY345" s="446"/>
      <c r="AZ345" s="446"/>
      <c r="BA345" s="446"/>
      <c r="BB345" s="446"/>
      <c r="BC345" s="446"/>
      <c r="BD345" s="446"/>
      <c r="BE345" s="446"/>
      <c r="BF345" s="446"/>
      <c r="BG345" s="446"/>
      <c r="BH345" s="446"/>
      <c r="BI345" s="446"/>
      <c r="BJ345" s="446"/>
      <c r="BK345" s="446"/>
      <c r="BL345" s="446"/>
      <c r="BM345" s="446"/>
      <c r="BN345" s="446"/>
      <c r="BO345" s="446"/>
      <c r="BP345" s="446"/>
      <c r="BQ345" s="446"/>
      <c r="BR345" s="446"/>
      <c r="BS345" s="446"/>
      <c r="BT345" s="446"/>
      <c r="BU345" s="562"/>
      <c r="BV345" s="446"/>
      <c r="BW345" s="446"/>
      <c r="BX345" s="446"/>
      <c r="BY345" s="446"/>
      <c r="BZ345" s="446"/>
      <c r="CA345" s="446"/>
      <c r="CB345" s="446"/>
      <c r="CC345" s="446"/>
      <c r="CD345" s="446"/>
      <c r="CE345" s="446"/>
      <c r="CF345" s="446"/>
      <c r="CG345" s="446"/>
      <c r="CH345" s="446"/>
      <c r="CI345" s="446"/>
      <c r="CJ345" s="446"/>
      <c r="CK345" s="446"/>
      <c r="CL345" s="446"/>
      <c r="CM345" s="446"/>
      <c r="CN345" s="446"/>
      <c r="CO345" s="446"/>
      <c r="CP345" s="446"/>
      <c r="CQ345" s="446"/>
      <c r="CR345" s="446"/>
      <c r="CS345" s="446"/>
      <c r="CT345" s="446"/>
      <c r="CU345" s="446"/>
      <c r="CV345" s="446"/>
      <c r="CW345" s="851"/>
      <c r="CX345" s="446"/>
      <c r="CY345" s="446"/>
      <c r="CZ345" s="446"/>
      <c r="DA345" s="446"/>
      <c r="DB345" s="446"/>
      <c r="DC345" s="446"/>
      <c r="DD345" s="446"/>
      <c r="DE345" s="446"/>
      <c r="DF345" s="446"/>
      <c r="DG345" s="446"/>
      <c r="DH345" s="446"/>
      <c r="DI345" s="446"/>
      <c r="DJ345" s="446"/>
      <c r="DK345" s="446"/>
      <c r="DL345" s="446"/>
      <c r="DM345" s="446"/>
      <c r="DN345" s="446"/>
      <c r="DO345" s="446"/>
      <c r="DP345" s="446"/>
      <c r="DQ345" s="446"/>
      <c r="DR345" s="446"/>
      <c r="DS345" s="446"/>
      <c r="DT345" s="446"/>
      <c r="DU345" s="446"/>
      <c r="DV345" s="446"/>
      <c r="DW345" s="446"/>
      <c r="DX345" s="446"/>
      <c r="DY345" s="446"/>
      <c r="DZ345" s="283"/>
    </row>
    <row r="346" spans="2:130" s="223" customFormat="1" ht="14.25" customHeight="1" x14ac:dyDescent="0.2">
      <c r="B346" s="851"/>
      <c r="C346" s="851"/>
      <c r="D346" s="851"/>
      <c r="E346" s="820"/>
      <c r="F346" s="820"/>
      <c r="G346" s="853"/>
      <c r="H346" s="853"/>
      <c r="I346" s="853"/>
      <c r="J346" s="853"/>
      <c r="K346" s="853"/>
      <c r="L346" s="853"/>
      <c r="M346" s="853"/>
      <c r="N346" s="853"/>
      <c r="O346" s="853"/>
      <c r="P346" s="853"/>
      <c r="Q346" s="853"/>
      <c r="R346" s="853"/>
      <c r="S346" s="854"/>
      <c r="T346" s="853"/>
      <c r="U346" s="853"/>
      <c r="V346" s="853"/>
      <c r="W346" s="853"/>
      <c r="X346" s="853"/>
      <c r="Y346" s="853"/>
      <c r="Z346" s="853"/>
      <c r="AA346" s="853"/>
      <c r="AB346" s="853"/>
      <c r="AC346" s="853"/>
      <c r="AD346" s="853"/>
      <c r="AE346" s="853"/>
      <c r="AF346" s="853"/>
      <c r="AG346" s="853"/>
      <c r="AH346" s="446"/>
      <c r="AI346" s="446"/>
      <c r="AJ346" s="446"/>
      <c r="AK346" s="446"/>
      <c r="AL346" s="446"/>
      <c r="AM346" s="446"/>
      <c r="AN346" s="446"/>
      <c r="AO346" s="446"/>
      <c r="AP346" s="446"/>
      <c r="AQ346" s="446"/>
      <c r="AR346" s="446"/>
      <c r="AS346" s="446"/>
      <c r="AT346" s="446"/>
      <c r="AU346" s="446"/>
      <c r="AV346" s="446"/>
      <c r="AW346" s="446"/>
      <c r="AX346" s="446"/>
      <c r="AY346" s="446"/>
      <c r="AZ346" s="446"/>
      <c r="BA346" s="446"/>
      <c r="BB346" s="446"/>
      <c r="BC346" s="446"/>
      <c r="BD346" s="446"/>
      <c r="BE346" s="446"/>
      <c r="BF346" s="446"/>
      <c r="BG346" s="446"/>
      <c r="BH346" s="446"/>
      <c r="BI346" s="446"/>
      <c r="BJ346" s="446"/>
      <c r="BK346" s="446"/>
      <c r="BL346" s="446"/>
      <c r="BM346" s="446"/>
      <c r="BN346" s="446"/>
      <c r="BO346" s="446"/>
      <c r="BP346" s="446"/>
      <c r="BQ346" s="446"/>
      <c r="BR346" s="446"/>
      <c r="BS346" s="446"/>
      <c r="BT346" s="446"/>
      <c r="BU346" s="562"/>
      <c r="BV346" s="446"/>
      <c r="BW346" s="446"/>
      <c r="BX346" s="446"/>
      <c r="BY346" s="446"/>
      <c r="BZ346" s="446"/>
      <c r="CA346" s="446"/>
      <c r="CB346" s="446"/>
      <c r="CC346" s="446"/>
      <c r="CD346" s="446"/>
      <c r="CE346" s="446"/>
      <c r="CF346" s="446"/>
      <c r="CG346" s="446"/>
      <c r="CH346" s="446"/>
      <c r="CI346" s="446"/>
      <c r="CJ346" s="446"/>
      <c r="CK346" s="446"/>
      <c r="CL346" s="446"/>
      <c r="CM346" s="446"/>
      <c r="CN346" s="446"/>
      <c r="CO346" s="446"/>
      <c r="CP346" s="446"/>
      <c r="CQ346" s="446"/>
      <c r="CR346" s="446"/>
      <c r="CS346" s="446"/>
      <c r="CT346" s="446"/>
      <c r="CU346" s="446"/>
      <c r="CV346" s="446"/>
      <c r="CW346" s="851"/>
      <c r="CX346" s="446"/>
      <c r="CY346" s="446"/>
      <c r="CZ346" s="446"/>
      <c r="DA346" s="446"/>
      <c r="DB346" s="446"/>
      <c r="DC346" s="446"/>
      <c r="DD346" s="446"/>
      <c r="DE346" s="446"/>
      <c r="DF346" s="446"/>
      <c r="DG346" s="446"/>
      <c r="DH346" s="446"/>
      <c r="DI346" s="446"/>
      <c r="DJ346" s="446"/>
      <c r="DK346" s="446"/>
      <c r="DL346" s="446"/>
      <c r="DM346" s="446"/>
      <c r="DN346" s="446"/>
      <c r="DO346" s="446"/>
      <c r="DP346" s="446"/>
      <c r="DQ346" s="446"/>
      <c r="DR346" s="446"/>
      <c r="DS346" s="446"/>
      <c r="DT346" s="446"/>
      <c r="DU346" s="446"/>
      <c r="DV346" s="446"/>
      <c r="DW346" s="446"/>
      <c r="DX346" s="446"/>
      <c r="DY346" s="446"/>
      <c r="DZ346" s="283"/>
    </row>
    <row r="347" spans="2:130" s="223" customFormat="1" ht="14.25" customHeight="1" x14ac:dyDescent="0.2">
      <c r="B347" s="851"/>
      <c r="C347" s="851"/>
      <c r="D347" s="851"/>
      <c r="E347" s="820"/>
      <c r="F347" s="820"/>
      <c r="G347" s="853"/>
      <c r="H347" s="853"/>
      <c r="I347" s="853"/>
      <c r="J347" s="853"/>
      <c r="K347" s="853"/>
      <c r="L347" s="853"/>
      <c r="M347" s="853"/>
      <c r="N347" s="853"/>
      <c r="O347" s="853"/>
      <c r="P347" s="853"/>
      <c r="Q347" s="853"/>
      <c r="R347" s="853"/>
      <c r="S347" s="854"/>
      <c r="T347" s="853"/>
      <c r="U347" s="853"/>
      <c r="V347" s="853"/>
      <c r="W347" s="853"/>
      <c r="X347" s="853"/>
      <c r="Y347" s="853"/>
      <c r="Z347" s="853"/>
      <c r="AA347" s="853"/>
      <c r="AB347" s="853"/>
      <c r="AC347" s="853"/>
      <c r="AD347" s="853"/>
      <c r="AE347" s="853"/>
      <c r="AF347" s="853"/>
      <c r="AG347" s="853"/>
      <c r="AH347" s="446"/>
      <c r="AI347" s="446"/>
      <c r="AJ347" s="446"/>
      <c r="AK347" s="446"/>
      <c r="AL347" s="446"/>
      <c r="AM347" s="446"/>
      <c r="AN347" s="446"/>
      <c r="AO347" s="446"/>
      <c r="AP347" s="446"/>
      <c r="AQ347" s="446"/>
      <c r="AR347" s="446"/>
      <c r="AS347" s="446"/>
      <c r="AT347" s="446"/>
      <c r="AU347" s="446"/>
      <c r="AV347" s="446"/>
      <c r="AW347" s="446"/>
      <c r="AX347" s="446"/>
      <c r="AY347" s="446"/>
      <c r="AZ347" s="446"/>
      <c r="BA347" s="446"/>
      <c r="BB347" s="446"/>
      <c r="BC347" s="446"/>
      <c r="BD347" s="446"/>
      <c r="BE347" s="446"/>
      <c r="BF347" s="446"/>
      <c r="BG347" s="446"/>
      <c r="BH347" s="446"/>
      <c r="BI347" s="446"/>
      <c r="BJ347" s="446"/>
      <c r="BK347" s="446"/>
      <c r="BL347" s="446"/>
      <c r="BM347" s="446"/>
      <c r="BN347" s="446"/>
      <c r="BO347" s="446"/>
      <c r="BP347" s="446"/>
      <c r="BQ347" s="446"/>
      <c r="BR347" s="446"/>
      <c r="BS347" s="446"/>
      <c r="BT347" s="446"/>
      <c r="BU347" s="562"/>
      <c r="BV347" s="446"/>
      <c r="BW347" s="446"/>
      <c r="BX347" s="446"/>
      <c r="BY347" s="446"/>
      <c r="BZ347" s="446"/>
      <c r="CA347" s="446"/>
      <c r="CB347" s="446"/>
      <c r="CC347" s="446"/>
      <c r="CD347" s="446"/>
      <c r="CE347" s="446"/>
      <c r="CF347" s="446"/>
      <c r="CG347" s="446"/>
      <c r="CH347" s="446"/>
      <c r="CI347" s="446"/>
      <c r="CJ347" s="446"/>
      <c r="CK347" s="446"/>
      <c r="CL347" s="446"/>
      <c r="CM347" s="446"/>
      <c r="CN347" s="446"/>
      <c r="CO347" s="446"/>
      <c r="CP347" s="446"/>
      <c r="CQ347" s="446"/>
      <c r="CR347" s="446"/>
      <c r="CS347" s="446"/>
      <c r="CT347" s="446"/>
      <c r="CU347" s="446"/>
      <c r="CV347" s="446"/>
      <c r="CW347" s="851"/>
      <c r="CX347" s="446"/>
      <c r="CY347" s="446"/>
      <c r="CZ347" s="446"/>
      <c r="DA347" s="446"/>
      <c r="DB347" s="446"/>
      <c r="DC347" s="446"/>
      <c r="DD347" s="446"/>
      <c r="DE347" s="446"/>
      <c r="DF347" s="446"/>
      <c r="DG347" s="446"/>
      <c r="DH347" s="446"/>
      <c r="DI347" s="446"/>
      <c r="DJ347" s="446"/>
      <c r="DK347" s="446"/>
      <c r="DL347" s="446"/>
      <c r="DM347" s="446"/>
      <c r="DN347" s="446"/>
      <c r="DO347" s="446"/>
      <c r="DP347" s="446"/>
      <c r="DQ347" s="446"/>
      <c r="DR347" s="446"/>
      <c r="DS347" s="446"/>
      <c r="DT347" s="446"/>
      <c r="DU347" s="446"/>
      <c r="DV347" s="446"/>
      <c r="DW347" s="446"/>
      <c r="DX347" s="446"/>
      <c r="DY347" s="446"/>
      <c r="DZ347" s="283"/>
    </row>
    <row r="348" spans="2:130" s="223" customFormat="1" ht="14.25" customHeight="1" x14ac:dyDescent="0.2">
      <c r="B348" s="851"/>
      <c r="C348" s="851"/>
      <c r="D348" s="851"/>
      <c r="E348" s="820"/>
      <c r="F348" s="820"/>
      <c r="G348" s="853"/>
      <c r="H348" s="853"/>
      <c r="I348" s="853"/>
      <c r="J348" s="853"/>
      <c r="K348" s="853"/>
      <c r="L348" s="853"/>
      <c r="M348" s="853"/>
      <c r="N348" s="853"/>
      <c r="O348" s="853"/>
      <c r="P348" s="853"/>
      <c r="Q348" s="853"/>
      <c r="R348" s="853"/>
      <c r="S348" s="854"/>
      <c r="T348" s="853"/>
      <c r="U348" s="853"/>
      <c r="V348" s="853"/>
      <c r="W348" s="853"/>
      <c r="X348" s="853"/>
      <c r="Y348" s="853"/>
      <c r="Z348" s="853"/>
      <c r="AA348" s="853"/>
      <c r="AB348" s="853"/>
      <c r="AC348" s="853"/>
      <c r="AD348" s="853"/>
      <c r="AE348" s="853"/>
      <c r="AF348" s="853"/>
      <c r="AG348" s="853"/>
      <c r="AH348" s="446"/>
      <c r="AI348" s="446"/>
      <c r="AJ348" s="446"/>
      <c r="AK348" s="446"/>
      <c r="AL348" s="446"/>
      <c r="AM348" s="446"/>
      <c r="AN348" s="446"/>
      <c r="AO348" s="446"/>
      <c r="AP348" s="446"/>
      <c r="AQ348" s="446"/>
      <c r="AR348" s="446"/>
      <c r="AS348" s="446"/>
      <c r="AT348" s="446"/>
      <c r="AU348" s="446"/>
      <c r="AV348" s="446"/>
      <c r="AW348" s="446"/>
      <c r="AX348" s="446"/>
      <c r="AY348" s="446"/>
      <c r="AZ348" s="446"/>
      <c r="BA348" s="446"/>
      <c r="BB348" s="446"/>
      <c r="BC348" s="446"/>
      <c r="BD348" s="446"/>
      <c r="BE348" s="446"/>
      <c r="BF348" s="446"/>
      <c r="BG348" s="446"/>
      <c r="BH348" s="446"/>
      <c r="BI348" s="446"/>
      <c r="BJ348" s="446"/>
      <c r="BK348" s="446"/>
      <c r="BL348" s="446"/>
      <c r="BM348" s="446"/>
      <c r="BN348" s="446"/>
      <c r="BO348" s="446"/>
      <c r="BP348" s="446"/>
      <c r="BQ348" s="446"/>
      <c r="BR348" s="446"/>
      <c r="BS348" s="446"/>
      <c r="BT348" s="446"/>
      <c r="BU348" s="562"/>
      <c r="BV348" s="446"/>
      <c r="BW348" s="446"/>
      <c r="BX348" s="446"/>
      <c r="BY348" s="446"/>
      <c r="BZ348" s="446"/>
      <c r="CA348" s="446"/>
      <c r="CB348" s="446"/>
      <c r="CC348" s="446"/>
      <c r="CD348" s="446"/>
      <c r="CE348" s="446"/>
      <c r="CF348" s="446"/>
      <c r="CG348" s="446"/>
      <c r="CH348" s="446"/>
      <c r="CI348" s="446"/>
      <c r="CJ348" s="446"/>
      <c r="CK348" s="446"/>
      <c r="CL348" s="446"/>
      <c r="CM348" s="446"/>
      <c r="CN348" s="446"/>
      <c r="CO348" s="446"/>
      <c r="CP348" s="446"/>
      <c r="CQ348" s="446"/>
      <c r="CR348" s="446"/>
      <c r="CS348" s="446"/>
      <c r="CT348" s="446"/>
      <c r="CU348" s="446"/>
      <c r="CV348" s="446"/>
      <c r="CW348" s="851"/>
      <c r="CX348" s="446"/>
      <c r="CY348" s="446"/>
      <c r="CZ348" s="446"/>
      <c r="DA348" s="446"/>
      <c r="DB348" s="446"/>
      <c r="DC348" s="446"/>
      <c r="DD348" s="446"/>
      <c r="DE348" s="446"/>
      <c r="DF348" s="446"/>
      <c r="DG348" s="446"/>
      <c r="DH348" s="446"/>
      <c r="DI348" s="446"/>
      <c r="DJ348" s="446"/>
      <c r="DK348" s="446"/>
      <c r="DL348" s="446"/>
      <c r="DM348" s="446"/>
      <c r="DN348" s="446"/>
      <c r="DO348" s="446"/>
      <c r="DP348" s="446"/>
      <c r="DQ348" s="446"/>
      <c r="DR348" s="446"/>
      <c r="DS348" s="446"/>
      <c r="DT348" s="446"/>
      <c r="DU348" s="446"/>
      <c r="DV348" s="446"/>
      <c r="DW348" s="446"/>
      <c r="DX348" s="446"/>
      <c r="DY348" s="446"/>
      <c r="DZ348" s="283"/>
    </row>
    <row r="349" spans="2:130" s="223" customFormat="1" ht="14.25" customHeight="1" x14ac:dyDescent="0.2">
      <c r="B349" s="851"/>
      <c r="C349" s="851"/>
      <c r="D349" s="851"/>
      <c r="E349" s="820"/>
      <c r="F349" s="820"/>
      <c r="G349" s="853"/>
      <c r="H349" s="853"/>
      <c r="I349" s="853"/>
      <c r="J349" s="853"/>
      <c r="K349" s="853"/>
      <c r="L349" s="853"/>
      <c r="M349" s="853"/>
      <c r="N349" s="853"/>
      <c r="O349" s="853"/>
      <c r="P349" s="853"/>
      <c r="Q349" s="853"/>
      <c r="R349" s="853"/>
      <c r="S349" s="854"/>
      <c r="T349" s="853"/>
      <c r="U349" s="853"/>
      <c r="V349" s="853"/>
      <c r="W349" s="853"/>
      <c r="X349" s="853"/>
      <c r="Y349" s="853"/>
      <c r="Z349" s="853"/>
      <c r="AA349" s="853"/>
      <c r="AB349" s="853"/>
      <c r="AC349" s="853"/>
      <c r="AD349" s="853"/>
      <c r="AE349" s="853"/>
      <c r="AF349" s="853"/>
      <c r="AG349" s="853"/>
      <c r="AH349" s="446"/>
      <c r="AI349" s="446"/>
      <c r="AJ349" s="446"/>
      <c r="AK349" s="446"/>
      <c r="AL349" s="446"/>
      <c r="AM349" s="446"/>
      <c r="AN349" s="446"/>
      <c r="AO349" s="446"/>
      <c r="AP349" s="446"/>
      <c r="AQ349" s="446"/>
      <c r="AR349" s="446"/>
      <c r="AS349" s="446"/>
      <c r="AT349" s="446"/>
      <c r="AU349" s="446"/>
      <c r="AV349" s="446"/>
      <c r="AW349" s="446"/>
      <c r="AX349" s="446"/>
      <c r="AY349" s="446"/>
      <c r="AZ349" s="446"/>
      <c r="BA349" s="446"/>
      <c r="BB349" s="446"/>
      <c r="BC349" s="446"/>
      <c r="BD349" s="446"/>
      <c r="BE349" s="446"/>
      <c r="BF349" s="446"/>
      <c r="BG349" s="446"/>
      <c r="BH349" s="446"/>
      <c r="BI349" s="446"/>
      <c r="BJ349" s="446"/>
      <c r="BK349" s="446"/>
      <c r="BL349" s="446"/>
      <c r="BM349" s="446"/>
      <c r="BN349" s="446"/>
      <c r="BO349" s="446"/>
      <c r="BP349" s="446"/>
      <c r="BQ349" s="446"/>
      <c r="BR349" s="446"/>
      <c r="BS349" s="446"/>
      <c r="BT349" s="446"/>
      <c r="BU349" s="562"/>
      <c r="BV349" s="446"/>
      <c r="BW349" s="446"/>
      <c r="BX349" s="446"/>
      <c r="BY349" s="446"/>
      <c r="BZ349" s="446"/>
      <c r="CA349" s="446"/>
      <c r="CB349" s="446"/>
      <c r="CC349" s="446"/>
      <c r="CD349" s="446"/>
      <c r="CE349" s="446"/>
      <c r="CF349" s="446"/>
      <c r="CG349" s="446"/>
      <c r="CH349" s="446"/>
      <c r="CI349" s="446"/>
      <c r="CJ349" s="446"/>
      <c r="CK349" s="446"/>
      <c r="CL349" s="446"/>
      <c r="CM349" s="446"/>
      <c r="CN349" s="446"/>
      <c r="CO349" s="446"/>
      <c r="CP349" s="446"/>
      <c r="CQ349" s="446"/>
      <c r="CR349" s="446"/>
      <c r="CS349" s="446"/>
      <c r="CT349" s="446"/>
      <c r="CU349" s="446"/>
      <c r="CV349" s="446"/>
      <c r="CW349" s="851"/>
      <c r="CX349" s="446"/>
      <c r="CY349" s="446"/>
      <c r="CZ349" s="446"/>
      <c r="DA349" s="446"/>
      <c r="DB349" s="446"/>
      <c r="DC349" s="446"/>
      <c r="DD349" s="446"/>
      <c r="DE349" s="446"/>
      <c r="DF349" s="446"/>
      <c r="DG349" s="446"/>
      <c r="DH349" s="446"/>
      <c r="DI349" s="446"/>
      <c r="DJ349" s="446"/>
      <c r="DK349" s="446"/>
      <c r="DL349" s="446"/>
      <c r="DM349" s="446"/>
      <c r="DN349" s="446"/>
      <c r="DO349" s="446"/>
      <c r="DP349" s="446"/>
      <c r="DQ349" s="446"/>
      <c r="DR349" s="446"/>
      <c r="DS349" s="446"/>
      <c r="DT349" s="446"/>
      <c r="DU349" s="446"/>
      <c r="DV349" s="446"/>
      <c r="DW349" s="446"/>
      <c r="DX349" s="446"/>
      <c r="DY349" s="446"/>
      <c r="DZ349" s="283"/>
    </row>
    <row r="350" spans="2:130" s="223" customFormat="1" ht="14.25" customHeight="1" x14ac:dyDescent="0.2">
      <c r="B350" s="851"/>
      <c r="C350" s="851"/>
      <c r="D350" s="851"/>
      <c r="E350" s="820"/>
      <c r="F350" s="820"/>
      <c r="G350" s="853"/>
      <c r="H350" s="853"/>
      <c r="I350" s="853"/>
      <c r="J350" s="853"/>
      <c r="K350" s="853"/>
      <c r="L350" s="853"/>
      <c r="M350" s="853"/>
      <c r="N350" s="853"/>
      <c r="O350" s="853"/>
      <c r="P350" s="853"/>
      <c r="Q350" s="853"/>
      <c r="R350" s="853"/>
      <c r="S350" s="854"/>
      <c r="T350" s="853"/>
      <c r="U350" s="853"/>
      <c r="V350" s="853"/>
      <c r="W350" s="853"/>
      <c r="X350" s="853"/>
      <c r="Y350" s="853"/>
      <c r="Z350" s="853"/>
      <c r="AA350" s="853"/>
      <c r="AB350" s="853"/>
      <c r="AC350" s="853"/>
      <c r="AD350" s="853"/>
      <c r="AE350" s="853"/>
      <c r="AF350" s="853"/>
      <c r="AG350" s="853"/>
      <c r="AH350" s="446"/>
      <c r="AI350" s="446"/>
      <c r="AJ350" s="446"/>
      <c r="AK350" s="446"/>
      <c r="AL350" s="446"/>
      <c r="AM350" s="446"/>
      <c r="AN350" s="446"/>
      <c r="AO350" s="446"/>
      <c r="AP350" s="446"/>
      <c r="AQ350" s="446"/>
      <c r="AR350" s="446"/>
      <c r="AS350" s="446"/>
      <c r="AT350" s="446"/>
      <c r="AU350" s="446"/>
      <c r="AV350" s="446"/>
      <c r="AW350" s="446"/>
      <c r="AX350" s="446"/>
      <c r="AY350" s="446"/>
      <c r="AZ350" s="446"/>
      <c r="BA350" s="446"/>
      <c r="BB350" s="446"/>
      <c r="BC350" s="446"/>
      <c r="BD350" s="446"/>
      <c r="BE350" s="446"/>
      <c r="BF350" s="446"/>
      <c r="BG350" s="446"/>
      <c r="BH350" s="446"/>
      <c r="BI350" s="446"/>
      <c r="BJ350" s="446"/>
      <c r="BK350" s="446"/>
      <c r="BL350" s="446"/>
      <c r="BM350" s="446"/>
      <c r="BN350" s="446"/>
      <c r="BO350" s="446"/>
      <c r="BP350" s="446"/>
      <c r="BQ350" s="446"/>
      <c r="BR350" s="446"/>
      <c r="BS350" s="446"/>
      <c r="BT350" s="446"/>
      <c r="BU350" s="562"/>
      <c r="BV350" s="446"/>
      <c r="BW350" s="446"/>
      <c r="BX350" s="446"/>
      <c r="BY350" s="446"/>
      <c r="BZ350" s="446"/>
      <c r="CA350" s="446"/>
      <c r="CB350" s="446"/>
      <c r="CC350" s="446"/>
      <c r="CD350" s="446"/>
      <c r="CE350" s="446"/>
      <c r="CF350" s="446"/>
      <c r="CG350" s="446"/>
      <c r="CH350" s="446"/>
      <c r="CI350" s="446"/>
      <c r="CJ350" s="446"/>
      <c r="CK350" s="446"/>
      <c r="CL350" s="446"/>
      <c r="CM350" s="446"/>
      <c r="CN350" s="446"/>
      <c r="CO350" s="446"/>
      <c r="CP350" s="446"/>
      <c r="CQ350" s="446"/>
      <c r="CR350" s="446"/>
      <c r="CS350" s="446"/>
      <c r="CT350" s="446"/>
      <c r="CU350" s="446"/>
      <c r="CV350" s="446"/>
      <c r="CW350" s="851"/>
      <c r="CX350" s="446"/>
      <c r="CY350" s="446"/>
      <c r="CZ350" s="446"/>
      <c r="DA350" s="446"/>
      <c r="DB350" s="446"/>
      <c r="DC350" s="446"/>
      <c r="DD350" s="446"/>
      <c r="DE350" s="446"/>
      <c r="DF350" s="446"/>
      <c r="DG350" s="446"/>
      <c r="DH350" s="446"/>
      <c r="DI350" s="446"/>
      <c r="DJ350" s="446"/>
      <c r="DK350" s="446"/>
      <c r="DL350" s="446"/>
      <c r="DM350" s="446"/>
      <c r="DN350" s="446"/>
      <c r="DO350" s="446"/>
      <c r="DP350" s="446"/>
      <c r="DQ350" s="446"/>
      <c r="DR350" s="446"/>
      <c r="DS350" s="446"/>
      <c r="DT350" s="446"/>
      <c r="DU350" s="446"/>
      <c r="DV350" s="446"/>
      <c r="DW350" s="446"/>
      <c r="DX350" s="446"/>
      <c r="DY350" s="446"/>
      <c r="DZ350" s="283"/>
    </row>
    <row r="351" spans="2:130" s="223" customFormat="1" ht="14.25" customHeight="1" x14ac:dyDescent="0.2">
      <c r="B351" s="851"/>
      <c r="C351" s="851"/>
      <c r="D351" s="851"/>
      <c r="E351" s="820"/>
      <c r="F351" s="820"/>
      <c r="G351" s="853"/>
      <c r="H351" s="853"/>
      <c r="I351" s="853"/>
      <c r="J351" s="853"/>
      <c r="K351" s="853"/>
      <c r="L351" s="853"/>
      <c r="M351" s="853"/>
      <c r="N351" s="853"/>
      <c r="O351" s="853"/>
      <c r="P351" s="853"/>
      <c r="Q351" s="853"/>
      <c r="R351" s="853"/>
      <c r="S351" s="854"/>
      <c r="T351" s="853"/>
      <c r="U351" s="853"/>
      <c r="V351" s="853"/>
      <c r="W351" s="853"/>
      <c r="X351" s="853"/>
      <c r="Y351" s="853"/>
      <c r="Z351" s="853"/>
      <c r="AA351" s="853"/>
      <c r="AB351" s="853"/>
      <c r="AC351" s="853"/>
      <c r="AD351" s="853"/>
      <c r="AE351" s="853"/>
      <c r="AF351" s="853"/>
      <c r="AG351" s="853"/>
      <c r="AH351" s="446"/>
      <c r="AI351" s="446"/>
      <c r="AJ351" s="446"/>
      <c r="AK351" s="446"/>
      <c r="AL351" s="446"/>
      <c r="AM351" s="446"/>
      <c r="AN351" s="446"/>
      <c r="AO351" s="446"/>
      <c r="AP351" s="446"/>
      <c r="AQ351" s="446"/>
      <c r="AR351" s="446"/>
      <c r="AS351" s="446"/>
      <c r="AT351" s="446"/>
      <c r="AU351" s="446"/>
      <c r="AV351" s="446"/>
      <c r="AW351" s="446"/>
      <c r="AX351" s="446"/>
      <c r="AY351" s="446"/>
      <c r="AZ351" s="446"/>
      <c r="BA351" s="446"/>
      <c r="BB351" s="446"/>
      <c r="BC351" s="446"/>
      <c r="BD351" s="446"/>
      <c r="BE351" s="446"/>
      <c r="BF351" s="446"/>
      <c r="BG351" s="446"/>
      <c r="BH351" s="446"/>
      <c r="BI351" s="446"/>
      <c r="BJ351" s="446"/>
      <c r="BK351" s="446"/>
      <c r="BL351" s="446"/>
      <c r="BM351" s="446"/>
      <c r="BN351" s="446"/>
      <c r="BO351" s="446"/>
      <c r="BP351" s="446"/>
      <c r="BQ351" s="446"/>
      <c r="BR351" s="446"/>
      <c r="BS351" s="446"/>
      <c r="BT351" s="446"/>
      <c r="BU351" s="562"/>
      <c r="BV351" s="446"/>
      <c r="BW351" s="446"/>
      <c r="BX351" s="446"/>
      <c r="BY351" s="446"/>
      <c r="BZ351" s="446"/>
      <c r="CA351" s="446"/>
      <c r="CB351" s="446"/>
      <c r="CC351" s="446"/>
      <c r="CD351" s="446"/>
      <c r="CE351" s="446"/>
      <c r="CF351" s="446"/>
      <c r="CG351" s="446"/>
      <c r="CH351" s="446"/>
      <c r="CI351" s="446"/>
      <c r="CJ351" s="446"/>
      <c r="CK351" s="446"/>
      <c r="CL351" s="446"/>
      <c r="CM351" s="446"/>
      <c r="CN351" s="446"/>
      <c r="CO351" s="446"/>
      <c r="CP351" s="446"/>
      <c r="CQ351" s="446"/>
      <c r="CR351" s="446"/>
      <c r="CS351" s="446"/>
      <c r="CT351" s="446"/>
      <c r="CU351" s="446"/>
      <c r="CV351" s="446"/>
      <c r="CW351" s="851"/>
      <c r="CX351" s="446"/>
      <c r="CY351" s="446"/>
      <c r="CZ351" s="446"/>
      <c r="DA351" s="446"/>
      <c r="DB351" s="446"/>
      <c r="DC351" s="446"/>
      <c r="DD351" s="446"/>
      <c r="DE351" s="446"/>
      <c r="DF351" s="446"/>
      <c r="DG351" s="446"/>
      <c r="DH351" s="446"/>
      <c r="DI351" s="446"/>
      <c r="DJ351" s="446"/>
      <c r="DK351" s="446"/>
      <c r="DL351" s="446"/>
      <c r="DM351" s="446"/>
      <c r="DN351" s="446"/>
      <c r="DO351" s="446"/>
      <c r="DP351" s="446"/>
      <c r="DQ351" s="446"/>
      <c r="DR351" s="446"/>
      <c r="DS351" s="446"/>
      <c r="DT351" s="446"/>
      <c r="DU351" s="446"/>
      <c r="DV351" s="446"/>
      <c r="DW351" s="446"/>
      <c r="DX351" s="446"/>
      <c r="DY351" s="446"/>
      <c r="DZ351" s="283"/>
    </row>
    <row r="352" spans="2:130" s="223" customFormat="1" ht="14.25" customHeight="1" x14ac:dyDescent="0.2">
      <c r="B352" s="851"/>
      <c r="C352" s="851"/>
      <c r="D352" s="851"/>
      <c r="E352" s="820"/>
      <c r="F352" s="820"/>
      <c r="G352" s="853"/>
      <c r="H352" s="853"/>
      <c r="I352" s="853"/>
      <c r="J352" s="853"/>
      <c r="K352" s="853"/>
      <c r="L352" s="853"/>
      <c r="M352" s="853"/>
      <c r="N352" s="853"/>
      <c r="O352" s="853"/>
      <c r="P352" s="853"/>
      <c r="Q352" s="853"/>
      <c r="R352" s="853"/>
      <c r="S352" s="854"/>
      <c r="T352" s="853"/>
      <c r="U352" s="853"/>
      <c r="V352" s="853"/>
      <c r="W352" s="853"/>
      <c r="X352" s="853"/>
      <c r="Y352" s="853"/>
      <c r="Z352" s="853"/>
      <c r="AA352" s="853"/>
      <c r="AB352" s="853"/>
      <c r="AC352" s="853"/>
      <c r="AD352" s="853"/>
      <c r="AE352" s="853"/>
      <c r="AF352" s="853"/>
      <c r="AG352" s="853"/>
      <c r="AH352" s="446"/>
      <c r="AI352" s="446"/>
      <c r="AJ352" s="446"/>
      <c r="AK352" s="446"/>
      <c r="AL352" s="446"/>
      <c r="AM352" s="446"/>
      <c r="AN352" s="446"/>
      <c r="AO352" s="446"/>
      <c r="AP352" s="446"/>
      <c r="AQ352" s="446"/>
      <c r="AR352" s="446"/>
      <c r="AS352" s="446"/>
      <c r="AT352" s="446"/>
      <c r="AU352" s="446"/>
      <c r="AV352" s="446"/>
      <c r="AW352" s="446"/>
      <c r="AX352" s="446"/>
      <c r="AY352" s="446"/>
      <c r="AZ352" s="446"/>
      <c r="BA352" s="446"/>
      <c r="BB352" s="446"/>
      <c r="BC352" s="446"/>
      <c r="BD352" s="446"/>
      <c r="BE352" s="446"/>
      <c r="BF352" s="446"/>
      <c r="BG352" s="446"/>
      <c r="BH352" s="446"/>
      <c r="BI352" s="446"/>
      <c r="BJ352" s="446"/>
      <c r="BK352" s="446"/>
      <c r="BL352" s="446"/>
      <c r="BM352" s="446"/>
      <c r="BN352" s="446"/>
      <c r="BO352" s="446"/>
      <c r="BP352" s="446"/>
      <c r="BQ352" s="446"/>
      <c r="BR352" s="446"/>
      <c r="BS352" s="446"/>
      <c r="BT352" s="446"/>
      <c r="BU352" s="562"/>
      <c r="BV352" s="446"/>
      <c r="BW352" s="446"/>
      <c r="BX352" s="446"/>
      <c r="BY352" s="446"/>
      <c r="BZ352" s="446"/>
      <c r="CA352" s="446"/>
      <c r="CB352" s="446"/>
      <c r="CC352" s="446"/>
      <c r="CD352" s="446"/>
      <c r="CE352" s="446"/>
      <c r="CF352" s="446"/>
      <c r="CG352" s="446"/>
      <c r="CH352" s="446"/>
      <c r="CI352" s="446"/>
      <c r="CJ352" s="446"/>
      <c r="CK352" s="446"/>
      <c r="CL352" s="446"/>
      <c r="CM352" s="446"/>
      <c r="CN352" s="446"/>
      <c r="CO352" s="446"/>
      <c r="CP352" s="446"/>
      <c r="CQ352" s="446"/>
      <c r="CR352" s="446"/>
      <c r="CS352" s="446"/>
      <c r="CT352" s="446"/>
      <c r="CU352" s="446"/>
      <c r="CV352" s="446"/>
      <c r="CW352" s="851"/>
      <c r="CX352" s="446"/>
      <c r="CY352" s="446"/>
      <c r="CZ352" s="446"/>
      <c r="DA352" s="446"/>
      <c r="DB352" s="446"/>
      <c r="DC352" s="446"/>
      <c r="DD352" s="446"/>
      <c r="DE352" s="446"/>
      <c r="DF352" s="446"/>
      <c r="DG352" s="446"/>
      <c r="DH352" s="446"/>
      <c r="DI352" s="446"/>
      <c r="DJ352" s="446"/>
      <c r="DK352" s="446"/>
      <c r="DL352" s="446"/>
      <c r="DM352" s="446"/>
      <c r="DN352" s="446"/>
      <c r="DO352" s="446"/>
      <c r="DP352" s="446"/>
      <c r="DQ352" s="446"/>
      <c r="DR352" s="446"/>
      <c r="DS352" s="446"/>
      <c r="DT352" s="446"/>
      <c r="DU352" s="446"/>
      <c r="DV352" s="446"/>
      <c r="DW352" s="446"/>
      <c r="DX352" s="446"/>
      <c r="DY352" s="446"/>
      <c r="DZ352" s="283"/>
    </row>
    <row r="353" spans="2:130" s="223" customFormat="1" ht="14.25" customHeight="1" x14ac:dyDescent="0.2">
      <c r="B353" s="851"/>
      <c r="C353" s="851"/>
      <c r="D353" s="851"/>
      <c r="E353" s="820"/>
      <c r="F353" s="820"/>
      <c r="G353" s="853"/>
      <c r="H353" s="853"/>
      <c r="I353" s="853"/>
      <c r="J353" s="853"/>
      <c r="K353" s="853"/>
      <c r="L353" s="853"/>
      <c r="M353" s="853"/>
      <c r="N353" s="853"/>
      <c r="O353" s="853"/>
      <c r="P353" s="853"/>
      <c r="Q353" s="853"/>
      <c r="R353" s="853"/>
      <c r="S353" s="854"/>
      <c r="T353" s="853"/>
      <c r="U353" s="853"/>
      <c r="V353" s="853"/>
      <c r="W353" s="853"/>
      <c r="X353" s="853"/>
      <c r="Y353" s="853"/>
      <c r="Z353" s="853"/>
      <c r="AA353" s="853"/>
      <c r="AB353" s="853"/>
      <c r="AC353" s="853"/>
      <c r="AD353" s="853"/>
      <c r="AE353" s="853"/>
      <c r="AF353" s="853"/>
      <c r="AG353" s="853"/>
      <c r="AH353" s="446"/>
      <c r="AI353" s="446"/>
      <c r="AJ353" s="446"/>
      <c r="AK353" s="446"/>
      <c r="AL353" s="446"/>
      <c r="AM353" s="446"/>
      <c r="AN353" s="446"/>
      <c r="AO353" s="446"/>
      <c r="AP353" s="446"/>
      <c r="AQ353" s="446"/>
      <c r="AR353" s="446"/>
      <c r="AS353" s="446"/>
      <c r="AT353" s="446"/>
      <c r="AU353" s="446"/>
      <c r="AV353" s="446"/>
      <c r="AW353" s="446"/>
      <c r="AX353" s="446"/>
      <c r="AY353" s="446"/>
      <c r="AZ353" s="446"/>
      <c r="BA353" s="446"/>
      <c r="BB353" s="446"/>
      <c r="BC353" s="446"/>
      <c r="BD353" s="446"/>
      <c r="BE353" s="446"/>
      <c r="BF353" s="446"/>
      <c r="BG353" s="446"/>
      <c r="BH353" s="446"/>
      <c r="BI353" s="446"/>
      <c r="BJ353" s="446"/>
      <c r="BK353" s="446"/>
      <c r="BL353" s="446"/>
      <c r="BM353" s="446"/>
      <c r="BN353" s="446"/>
      <c r="BO353" s="446"/>
      <c r="BP353" s="446"/>
      <c r="BQ353" s="446"/>
      <c r="BR353" s="446"/>
      <c r="BS353" s="446"/>
      <c r="BT353" s="446"/>
      <c r="BU353" s="562"/>
      <c r="BV353" s="446"/>
      <c r="BW353" s="446"/>
      <c r="BX353" s="446"/>
      <c r="BY353" s="446"/>
      <c r="BZ353" s="446"/>
      <c r="CA353" s="446"/>
      <c r="CB353" s="446"/>
      <c r="CC353" s="446"/>
      <c r="CD353" s="446"/>
      <c r="CE353" s="446"/>
      <c r="CF353" s="446"/>
      <c r="CG353" s="446"/>
      <c r="CH353" s="446"/>
      <c r="CI353" s="446"/>
      <c r="CJ353" s="446"/>
      <c r="CK353" s="446"/>
      <c r="CL353" s="446"/>
      <c r="CM353" s="446"/>
      <c r="CN353" s="446"/>
      <c r="CO353" s="446"/>
      <c r="CP353" s="446"/>
      <c r="CQ353" s="446"/>
      <c r="CR353" s="446"/>
      <c r="CS353" s="446"/>
      <c r="CT353" s="446"/>
      <c r="CU353" s="446"/>
      <c r="CV353" s="446"/>
      <c r="CW353" s="851"/>
      <c r="CX353" s="446"/>
      <c r="CY353" s="446"/>
      <c r="CZ353" s="446"/>
      <c r="DA353" s="446"/>
      <c r="DB353" s="446"/>
      <c r="DC353" s="446"/>
      <c r="DD353" s="446"/>
      <c r="DE353" s="446"/>
      <c r="DF353" s="446"/>
      <c r="DG353" s="446"/>
      <c r="DH353" s="446"/>
      <c r="DI353" s="446"/>
      <c r="DJ353" s="446"/>
      <c r="DK353" s="446"/>
      <c r="DL353" s="446"/>
      <c r="DM353" s="446"/>
      <c r="DN353" s="446"/>
      <c r="DO353" s="446"/>
      <c r="DP353" s="446"/>
      <c r="DQ353" s="446"/>
      <c r="DR353" s="446"/>
      <c r="DS353" s="446"/>
      <c r="DT353" s="446"/>
      <c r="DU353" s="446"/>
      <c r="DV353" s="446"/>
      <c r="DW353" s="446"/>
      <c r="DX353" s="446"/>
      <c r="DY353" s="446"/>
      <c r="DZ353" s="283"/>
    </row>
    <row r="354" spans="2:130" s="223" customFormat="1" ht="14.25" customHeight="1" x14ac:dyDescent="0.2">
      <c r="B354" s="851"/>
      <c r="C354" s="851"/>
      <c r="D354" s="851"/>
      <c r="E354" s="820"/>
      <c r="F354" s="820"/>
      <c r="G354" s="853"/>
      <c r="H354" s="853"/>
      <c r="I354" s="853"/>
      <c r="J354" s="853"/>
      <c r="K354" s="853"/>
      <c r="L354" s="853"/>
      <c r="M354" s="853"/>
      <c r="N354" s="853"/>
      <c r="O354" s="853"/>
      <c r="P354" s="853"/>
      <c r="Q354" s="853"/>
      <c r="R354" s="853"/>
      <c r="S354" s="854"/>
      <c r="T354" s="853"/>
      <c r="U354" s="853"/>
      <c r="V354" s="853"/>
      <c r="W354" s="853"/>
      <c r="X354" s="853"/>
      <c r="Y354" s="853"/>
      <c r="Z354" s="853"/>
      <c r="AA354" s="853"/>
      <c r="AB354" s="853"/>
      <c r="AC354" s="853"/>
      <c r="AD354" s="853"/>
      <c r="AE354" s="853"/>
      <c r="AF354" s="853"/>
      <c r="AG354" s="853"/>
      <c r="AH354" s="446"/>
      <c r="AI354" s="446"/>
      <c r="AJ354" s="446"/>
      <c r="AK354" s="446"/>
      <c r="AL354" s="446"/>
      <c r="AM354" s="446"/>
      <c r="AN354" s="446"/>
      <c r="AO354" s="446"/>
      <c r="AP354" s="446"/>
      <c r="AQ354" s="446"/>
      <c r="AR354" s="446"/>
      <c r="AS354" s="446"/>
      <c r="AT354" s="446"/>
      <c r="AU354" s="446"/>
      <c r="AV354" s="446"/>
      <c r="AW354" s="446"/>
      <c r="AX354" s="446"/>
      <c r="AY354" s="446"/>
      <c r="AZ354" s="446"/>
      <c r="BA354" s="446"/>
      <c r="BB354" s="446"/>
      <c r="BC354" s="446"/>
      <c r="BD354" s="446"/>
      <c r="BE354" s="446"/>
      <c r="BF354" s="446"/>
      <c r="BG354" s="446"/>
      <c r="BH354" s="446"/>
      <c r="BI354" s="446"/>
      <c r="BJ354" s="446"/>
      <c r="BK354" s="446"/>
      <c r="BL354" s="446"/>
      <c r="BM354" s="446"/>
      <c r="BN354" s="446"/>
      <c r="BO354" s="446"/>
      <c r="BP354" s="446"/>
      <c r="BQ354" s="446"/>
      <c r="BR354" s="446"/>
      <c r="BS354" s="446"/>
      <c r="BT354" s="446"/>
      <c r="BU354" s="562"/>
      <c r="BV354" s="446"/>
      <c r="BW354" s="446"/>
      <c r="BX354" s="446"/>
      <c r="BY354" s="446"/>
      <c r="BZ354" s="446"/>
      <c r="CA354" s="446"/>
      <c r="CB354" s="446"/>
      <c r="CC354" s="446"/>
      <c r="CD354" s="446"/>
      <c r="CE354" s="446"/>
      <c r="CF354" s="446"/>
      <c r="CG354" s="446"/>
      <c r="CH354" s="446"/>
      <c r="CI354" s="446"/>
      <c r="CJ354" s="446"/>
      <c r="CK354" s="446"/>
      <c r="CL354" s="446"/>
      <c r="CM354" s="446"/>
      <c r="CN354" s="446"/>
      <c r="CO354" s="446"/>
      <c r="CP354" s="446"/>
      <c r="CQ354" s="446"/>
      <c r="CR354" s="446"/>
      <c r="CS354" s="446"/>
      <c r="CT354" s="446"/>
      <c r="CU354" s="446"/>
      <c r="CV354" s="446"/>
      <c r="CW354" s="851"/>
      <c r="CX354" s="446"/>
      <c r="CY354" s="446"/>
      <c r="CZ354" s="446"/>
      <c r="DA354" s="446"/>
      <c r="DB354" s="446"/>
      <c r="DC354" s="446"/>
      <c r="DD354" s="446"/>
      <c r="DE354" s="446"/>
      <c r="DF354" s="446"/>
      <c r="DG354" s="446"/>
      <c r="DH354" s="446"/>
      <c r="DI354" s="446"/>
      <c r="DJ354" s="446"/>
      <c r="DK354" s="446"/>
      <c r="DL354" s="446"/>
      <c r="DM354" s="446"/>
      <c r="DN354" s="446"/>
      <c r="DO354" s="446"/>
      <c r="DP354" s="446"/>
      <c r="DQ354" s="446"/>
      <c r="DR354" s="446"/>
      <c r="DS354" s="446"/>
      <c r="DT354" s="446"/>
      <c r="DU354" s="446"/>
      <c r="DV354" s="446"/>
      <c r="DW354" s="446"/>
      <c r="DX354" s="446"/>
      <c r="DY354" s="446"/>
      <c r="DZ354" s="283"/>
    </row>
    <row r="355" spans="2:130" s="223" customFormat="1" ht="14.25" customHeight="1" x14ac:dyDescent="0.2">
      <c r="B355" s="851"/>
      <c r="C355" s="851"/>
      <c r="D355" s="851"/>
      <c r="E355" s="820"/>
      <c r="F355" s="820"/>
      <c r="G355" s="853"/>
      <c r="H355" s="853"/>
      <c r="I355" s="853"/>
      <c r="J355" s="853"/>
      <c r="K355" s="853"/>
      <c r="L355" s="853"/>
      <c r="M355" s="853"/>
      <c r="N355" s="853"/>
      <c r="O355" s="853"/>
      <c r="P355" s="853"/>
      <c r="Q355" s="853"/>
      <c r="R355" s="853"/>
      <c r="S355" s="854"/>
      <c r="T355" s="853"/>
      <c r="U355" s="853"/>
      <c r="V355" s="853"/>
      <c r="W355" s="853"/>
      <c r="X355" s="853"/>
      <c r="Y355" s="853"/>
      <c r="Z355" s="853"/>
      <c r="AA355" s="853"/>
      <c r="AB355" s="853"/>
      <c r="AC355" s="853"/>
      <c r="AD355" s="853"/>
      <c r="AE355" s="853"/>
      <c r="AF355" s="853"/>
      <c r="AG355" s="853"/>
      <c r="AH355" s="446"/>
      <c r="AI355" s="446"/>
      <c r="AJ355" s="446"/>
      <c r="AK355" s="446"/>
      <c r="AL355" s="446"/>
      <c r="AM355" s="446"/>
      <c r="AN355" s="446"/>
      <c r="AO355" s="446"/>
      <c r="AP355" s="446"/>
      <c r="AQ355" s="446"/>
      <c r="AR355" s="446"/>
      <c r="AS355" s="446"/>
      <c r="AT355" s="446"/>
      <c r="AU355" s="446"/>
      <c r="AV355" s="446"/>
      <c r="AW355" s="446"/>
      <c r="AX355" s="446"/>
      <c r="AY355" s="446"/>
      <c r="AZ355" s="446"/>
      <c r="BA355" s="446"/>
      <c r="BB355" s="446"/>
      <c r="BC355" s="446"/>
      <c r="BD355" s="446"/>
      <c r="BE355" s="446"/>
      <c r="BF355" s="446"/>
      <c r="BG355" s="446"/>
      <c r="BH355" s="446"/>
      <c r="BI355" s="446"/>
      <c r="BJ355" s="446"/>
      <c r="BK355" s="446"/>
      <c r="BL355" s="446"/>
      <c r="BM355" s="446"/>
      <c r="BN355" s="446"/>
      <c r="BO355" s="446"/>
      <c r="BP355" s="446"/>
      <c r="BQ355" s="446"/>
      <c r="BR355" s="446"/>
      <c r="BS355" s="446"/>
      <c r="BT355" s="446"/>
      <c r="BU355" s="562"/>
      <c r="BV355" s="446"/>
      <c r="BW355" s="446"/>
      <c r="BX355" s="446"/>
      <c r="BY355" s="446"/>
      <c r="BZ355" s="446"/>
      <c r="CA355" s="446"/>
      <c r="CB355" s="446"/>
      <c r="CC355" s="446"/>
      <c r="CD355" s="446"/>
      <c r="CE355" s="446"/>
      <c r="CF355" s="446"/>
      <c r="CG355" s="446"/>
      <c r="CH355" s="446"/>
      <c r="CI355" s="446"/>
      <c r="CJ355" s="446"/>
      <c r="CK355" s="446"/>
      <c r="CL355" s="446"/>
      <c r="CM355" s="446"/>
      <c r="CN355" s="446"/>
      <c r="CO355" s="446"/>
      <c r="CP355" s="446"/>
      <c r="CQ355" s="446"/>
      <c r="CR355" s="446"/>
      <c r="CS355" s="446"/>
      <c r="CT355" s="446"/>
      <c r="CU355" s="446"/>
      <c r="CV355" s="446"/>
      <c r="CW355" s="851"/>
      <c r="CX355" s="446"/>
      <c r="CY355" s="446"/>
      <c r="CZ355" s="446"/>
      <c r="DA355" s="446"/>
      <c r="DB355" s="446"/>
      <c r="DC355" s="446"/>
      <c r="DD355" s="446"/>
      <c r="DE355" s="446"/>
      <c r="DF355" s="446"/>
      <c r="DG355" s="446"/>
      <c r="DH355" s="446"/>
      <c r="DI355" s="446"/>
      <c r="DJ355" s="446"/>
      <c r="DK355" s="446"/>
      <c r="DL355" s="446"/>
      <c r="DM355" s="446"/>
      <c r="DN355" s="446"/>
      <c r="DO355" s="446"/>
      <c r="DP355" s="446"/>
      <c r="DQ355" s="446"/>
      <c r="DR355" s="446"/>
      <c r="DS355" s="446"/>
      <c r="DT355" s="446"/>
      <c r="DU355" s="446"/>
      <c r="DV355" s="446"/>
      <c r="DW355" s="446"/>
      <c r="DX355" s="446"/>
      <c r="DY355" s="446"/>
      <c r="DZ355" s="283"/>
    </row>
    <row r="356" spans="2:130" s="223" customFormat="1" ht="14.25" customHeight="1" x14ac:dyDescent="0.2">
      <c r="B356" s="851"/>
      <c r="C356" s="851"/>
      <c r="D356" s="851"/>
      <c r="E356" s="820"/>
      <c r="F356" s="820"/>
      <c r="G356" s="853"/>
      <c r="H356" s="853"/>
      <c r="I356" s="853"/>
      <c r="J356" s="853"/>
      <c r="K356" s="853"/>
      <c r="L356" s="853"/>
      <c r="M356" s="853"/>
      <c r="N356" s="853"/>
      <c r="O356" s="853"/>
      <c r="P356" s="853"/>
      <c r="Q356" s="853"/>
      <c r="R356" s="853"/>
      <c r="S356" s="854"/>
      <c r="T356" s="853"/>
      <c r="U356" s="853"/>
      <c r="V356" s="853"/>
      <c r="W356" s="853"/>
      <c r="X356" s="853"/>
      <c r="Y356" s="853"/>
      <c r="Z356" s="853"/>
      <c r="AA356" s="853"/>
      <c r="AB356" s="853"/>
      <c r="AC356" s="853"/>
      <c r="AD356" s="853"/>
      <c r="AE356" s="853"/>
      <c r="AF356" s="853"/>
      <c r="AG356" s="853"/>
      <c r="AH356" s="446"/>
      <c r="AI356" s="446"/>
      <c r="AJ356" s="446"/>
      <c r="AK356" s="446"/>
      <c r="AL356" s="446"/>
      <c r="AM356" s="446"/>
      <c r="AN356" s="446"/>
      <c r="AO356" s="446"/>
      <c r="AP356" s="446"/>
      <c r="AQ356" s="446"/>
      <c r="AR356" s="446"/>
      <c r="AS356" s="446"/>
      <c r="AT356" s="446"/>
      <c r="AU356" s="446"/>
      <c r="AV356" s="446"/>
      <c r="AW356" s="446"/>
      <c r="AX356" s="446"/>
      <c r="AY356" s="446"/>
      <c r="AZ356" s="446"/>
      <c r="BA356" s="446"/>
      <c r="BB356" s="446"/>
      <c r="BC356" s="446"/>
      <c r="BD356" s="446"/>
      <c r="BE356" s="446"/>
      <c r="BF356" s="446"/>
      <c r="BG356" s="446"/>
      <c r="BH356" s="446"/>
      <c r="BI356" s="446"/>
      <c r="BJ356" s="446"/>
      <c r="BK356" s="446"/>
      <c r="BL356" s="446"/>
      <c r="BM356" s="446"/>
      <c r="BN356" s="446"/>
      <c r="BO356" s="446"/>
      <c r="BP356" s="446"/>
      <c r="BQ356" s="446"/>
      <c r="BR356" s="446"/>
      <c r="BS356" s="446"/>
      <c r="BT356" s="446"/>
      <c r="BU356" s="562"/>
      <c r="BV356" s="446"/>
      <c r="BW356" s="446"/>
      <c r="BX356" s="446"/>
      <c r="BY356" s="446"/>
      <c r="BZ356" s="446"/>
      <c r="CA356" s="446"/>
      <c r="CB356" s="446"/>
      <c r="CC356" s="446"/>
      <c r="CD356" s="446"/>
      <c r="CE356" s="446"/>
      <c r="CF356" s="446"/>
      <c r="CG356" s="446"/>
      <c r="CH356" s="446"/>
      <c r="CI356" s="446"/>
      <c r="CJ356" s="446"/>
      <c r="CK356" s="446"/>
      <c r="CL356" s="446"/>
      <c r="CM356" s="446"/>
      <c r="CN356" s="446"/>
      <c r="CO356" s="446"/>
      <c r="CP356" s="446"/>
      <c r="CQ356" s="446"/>
      <c r="CR356" s="446"/>
      <c r="CS356" s="446"/>
      <c r="CT356" s="446"/>
      <c r="CU356" s="446"/>
      <c r="CV356" s="446"/>
      <c r="CW356" s="851"/>
      <c r="CX356" s="446"/>
      <c r="CY356" s="446"/>
      <c r="CZ356" s="446"/>
      <c r="DA356" s="446"/>
      <c r="DB356" s="446"/>
      <c r="DC356" s="446"/>
      <c r="DD356" s="446"/>
      <c r="DE356" s="446"/>
      <c r="DF356" s="446"/>
      <c r="DG356" s="446"/>
      <c r="DH356" s="446"/>
      <c r="DI356" s="446"/>
      <c r="DJ356" s="446"/>
      <c r="DK356" s="446"/>
      <c r="DL356" s="446"/>
      <c r="DM356" s="446"/>
      <c r="DN356" s="446"/>
      <c r="DO356" s="446"/>
      <c r="DP356" s="446"/>
      <c r="DQ356" s="446"/>
      <c r="DR356" s="446"/>
      <c r="DS356" s="446"/>
      <c r="DT356" s="446"/>
      <c r="DU356" s="446"/>
      <c r="DV356" s="446"/>
      <c r="DW356" s="446"/>
      <c r="DX356" s="446"/>
      <c r="DY356" s="446"/>
      <c r="DZ356" s="283"/>
    </row>
    <row r="357" spans="2:130" s="223" customFormat="1" ht="14.25" customHeight="1" x14ac:dyDescent="0.2">
      <c r="B357" s="851"/>
      <c r="C357" s="851"/>
      <c r="D357" s="851"/>
      <c r="E357" s="820"/>
      <c r="F357" s="820"/>
      <c r="G357" s="853"/>
      <c r="H357" s="853"/>
      <c r="I357" s="853"/>
      <c r="J357" s="853"/>
      <c r="K357" s="853"/>
      <c r="L357" s="853"/>
      <c r="M357" s="853"/>
      <c r="N357" s="853"/>
      <c r="O357" s="853"/>
      <c r="P357" s="853"/>
      <c r="Q357" s="853"/>
      <c r="R357" s="853"/>
      <c r="S357" s="854"/>
      <c r="T357" s="853"/>
      <c r="U357" s="853"/>
      <c r="V357" s="853"/>
      <c r="W357" s="853"/>
      <c r="X357" s="853"/>
      <c r="Y357" s="853"/>
      <c r="Z357" s="853"/>
      <c r="AA357" s="853"/>
      <c r="AB357" s="853"/>
      <c r="AC357" s="853"/>
      <c r="AD357" s="853"/>
      <c r="AE357" s="853"/>
      <c r="AF357" s="853"/>
      <c r="AG357" s="853"/>
      <c r="AH357" s="446"/>
      <c r="AI357" s="446"/>
      <c r="AJ357" s="446"/>
      <c r="AK357" s="446"/>
      <c r="AL357" s="446"/>
      <c r="AM357" s="446"/>
      <c r="AN357" s="446"/>
      <c r="AO357" s="446"/>
      <c r="AP357" s="446"/>
      <c r="AQ357" s="446"/>
      <c r="AR357" s="446"/>
      <c r="AS357" s="446"/>
      <c r="AT357" s="446"/>
      <c r="AU357" s="446"/>
      <c r="AV357" s="446"/>
      <c r="AW357" s="446"/>
      <c r="AX357" s="446"/>
      <c r="AY357" s="446"/>
      <c r="AZ357" s="446"/>
      <c r="BA357" s="446"/>
      <c r="BB357" s="446"/>
      <c r="BC357" s="446"/>
      <c r="BD357" s="446"/>
      <c r="BE357" s="446"/>
      <c r="BF357" s="446"/>
      <c r="BG357" s="446"/>
      <c r="BH357" s="446"/>
      <c r="BI357" s="446"/>
      <c r="BJ357" s="446"/>
      <c r="BK357" s="446"/>
      <c r="BL357" s="446"/>
      <c r="BM357" s="446"/>
      <c r="BN357" s="446"/>
      <c r="BO357" s="446"/>
      <c r="BP357" s="446"/>
      <c r="BQ357" s="446"/>
      <c r="BR357" s="446"/>
      <c r="BS357" s="446"/>
      <c r="BT357" s="446"/>
      <c r="BU357" s="562"/>
      <c r="BV357" s="446"/>
      <c r="BW357" s="446"/>
      <c r="BX357" s="446"/>
      <c r="BY357" s="446"/>
      <c r="BZ357" s="446"/>
      <c r="CA357" s="446"/>
      <c r="CB357" s="446"/>
      <c r="CC357" s="446"/>
      <c r="CD357" s="446"/>
      <c r="CE357" s="446"/>
      <c r="CF357" s="446"/>
      <c r="CG357" s="446"/>
      <c r="CH357" s="446"/>
      <c r="CI357" s="446"/>
      <c r="CJ357" s="446"/>
      <c r="CK357" s="446"/>
      <c r="CL357" s="446"/>
      <c r="CM357" s="446"/>
      <c r="CN357" s="446"/>
      <c r="CO357" s="446"/>
      <c r="CP357" s="446"/>
      <c r="CQ357" s="446"/>
      <c r="CR357" s="446"/>
      <c r="CS357" s="446"/>
      <c r="CT357" s="446"/>
      <c r="CU357" s="446"/>
      <c r="CV357" s="446"/>
      <c r="CW357" s="851"/>
      <c r="CX357" s="446"/>
      <c r="CY357" s="446"/>
      <c r="CZ357" s="446"/>
      <c r="DA357" s="446"/>
      <c r="DB357" s="446"/>
      <c r="DC357" s="446"/>
      <c r="DD357" s="446"/>
      <c r="DE357" s="446"/>
      <c r="DF357" s="446"/>
      <c r="DG357" s="446"/>
      <c r="DH357" s="446"/>
      <c r="DI357" s="446"/>
      <c r="DJ357" s="446"/>
      <c r="DK357" s="446"/>
      <c r="DL357" s="446"/>
      <c r="DM357" s="446"/>
      <c r="DN357" s="446"/>
      <c r="DO357" s="446"/>
      <c r="DP357" s="446"/>
      <c r="DQ357" s="446"/>
      <c r="DR357" s="446"/>
      <c r="DS357" s="446"/>
      <c r="DT357" s="446"/>
      <c r="DU357" s="446"/>
      <c r="DV357" s="446"/>
      <c r="DW357" s="446"/>
      <c r="DX357" s="446"/>
      <c r="DY357" s="446"/>
      <c r="DZ357" s="283"/>
    </row>
    <row r="358" spans="2:130" s="223" customFormat="1" ht="14.25" customHeight="1" x14ac:dyDescent="0.2">
      <c r="B358" s="851"/>
      <c r="C358" s="851"/>
      <c r="D358" s="851"/>
      <c r="E358" s="820"/>
      <c r="F358" s="820"/>
      <c r="G358" s="853"/>
      <c r="H358" s="853"/>
      <c r="I358" s="853"/>
      <c r="J358" s="853"/>
      <c r="K358" s="853"/>
      <c r="L358" s="853"/>
      <c r="M358" s="853"/>
      <c r="N358" s="853"/>
      <c r="O358" s="853"/>
      <c r="P358" s="853"/>
      <c r="Q358" s="853"/>
      <c r="R358" s="853"/>
      <c r="S358" s="854"/>
      <c r="T358" s="853"/>
      <c r="U358" s="853"/>
      <c r="V358" s="853"/>
      <c r="W358" s="853"/>
      <c r="X358" s="853"/>
      <c r="Y358" s="853"/>
      <c r="Z358" s="853"/>
      <c r="AA358" s="853"/>
      <c r="AB358" s="853"/>
      <c r="AC358" s="853"/>
      <c r="AD358" s="853"/>
      <c r="AE358" s="853"/>
      <c r="AF358" s="853"/>
      <c r="AG358" s="853"/>
      <c r="AH358" s="446"/>
      <c r="AI358" s="446"/>
      <c r="AJ358" s="446"/>
      <c r="AK358" s="446"/>
      <c r="AL358" s="446"/>
      <c r="AM358" s="446"/>
      <c r="AN358" s="446"/>
      <c r="AO358" s="446"/>
      <c r="AP358" s="446"/>
      <c r="AQ358" s="446"/>
      <c r="AR358" s="446"/>
      <c r="AS358" s="446"/>
      <c r="AT358" s="446"/>
      <c r="AU358" s="446"/>
      <c r="AV358" s="446"/>
      <c r="AW358" s="446"/>
      <c r="AX358" s="446"/>
      <c r="AY358" s="446"/>
      <c r="AZ358" s="446"/>
      <c r="BA358" s="446"/>
      <c r="BB358" s="446"/>
      <c r="BC358" s="446"/>
      <c r="BD358" s="446"/>
      <c r="BE358" s="446"/>
      <c r="BF358" s="446"/>
      <c r="BG358" s="446"/>
      <c r="BH358" s="446"/>
      <c r="BI358" s="446"/>
      <c r="BJ358" s="446"/>
      <c r="BK358" s="446"/>
      <c r="BL358" s="446"/>
      <c r="BM358" s="446"/>
      <c r="BN358" s="446"/>
      <c r="BO358" s="446"/>
      <c r="BP358" s="446"/>
      <c r="BQ358" s="446"/>
      <c r="BR358" s="446"/>
      <c r="BS358" s="446"/>
      <c r="BT358" s="446"/>
      <c r="BU358" s="562"/>
      <c r="BV358" s="446"/>
      <c r="BW358" s="446"/>
      <c r="BX358" s="446"/>
      <c r="BY358" s="446"/>
      <c r="BZ358" s="446"/>
      <c r="CA358" s="446"/>
      <c r="CB358" s="446"/>
      <c r="CC358" s="446"/>
      <c r="CD358" s="446"/>
      <c r="CE358" s="446"/>
      <c r="CF358" s="446"/>
      <c r="CG358" s="446"/>
      <c r="CH358" s="446"/>
      <c r="CI358" s="446"/>
      <c r="CJ358" s="446"/>
      <c r="CK358" s="446"/>
      <c r="CL358" s="446"/>
      <c r="CM358" s="446"/>
      <c r="CN358" s="446"/>
      <c r="CO358" s="446"/>
      <c r="CP358" s="446"/>
      <c r="CQ358" s="446"/>
      <c r="CR358" s="446"/>
      <c r="CS358" s="446"/>
      <c r="CT358" s="446"/>
      <c r="CU358" s="446"/>
      <c r="CV358" s="446"/>
      <c r="CW358" s="851"/>
      <c r="CX358" s="446"/>
      <c r="CY358" s="446"/>
      <c r="CZ358" s="446"/>
      <c r="DA358" s="446"/>
      <c r="DB358" s="446"/>
      <c r="DC358" s="446"/>
      <c r="DD358" s="446"/>
      <c r="DE358" s="446"/>
      <c r="DF358" s="446"/>
      <c r="DG358" s="446"/>
      <c r="DH358" s="446"/>
      <c r="DI358" s="446"/>
      <c r="DJ358" s="446"/>
      <c r="DK358" s="446"/>
      <c r="DL358" s="446"/>
      <c r="DM358" s="446"/>
      <c r="DN358" s="446"/>
      <c r="DO358" s="446"/>
      <c r="DP358" s="446"/>
      <c r="DQ358" s="446"/>
      <c r="DR358" s="446"/>
      <c r="DS358" s="446"/>
      <c r="DT358" s="446"/>
      <c r="DU358" s="446"/>
      <c r="DV358" s="446"/>
      <c r="DW358" s="446"/>
      <c r="DX358" s="446"/>
      <c r="DY358" s="446"/>
      <c r="DZ358" s="283"/>
    </row>
    <row r="359" spans="2:130" s="223" customFormat="1" ht="14.25" customHeight="1" x14ac:dyDescent="0.2">
      <c r="B359" s="851"/>
      <c r="C359" s="851"/>
      <c r="D359" s="851"/>
      <c r="E359" s="820"/>
      <c r="F359" s="820"/>
      <c r="G359" s="853"/>
      <c r="H359" s="853"/>
      <c r="I359" s="853"/>
      <c r="J359" s="853"/>
      <c r="K359" s="853"/>
      <c r="L359" s="853"/>
      <c r="M359" s="853"/>
      <c r="N359" s="853"/>
      <c r="O359" s="853"/>
      <c r="P359" s="853"/>
      <c r="Q359" s="853"/>
      <c r="R359" s="853"/>
      <c r="S359" s="854"/>
      <c r="T359" s="853"/>
      <c r="U359" s="853"/>
      <c r="V359" s="853"/>
      <c r="W359" s="853"/>
      <c r="X359" s="853"/>
      <c r="Y359" s="853"/>
      <c r="Z359" s="853"/>
      <c r="AA359" s="853"/>
      <c r="AB359" s="853"/>
      <c r="AC359" s="853"/>
      <c r="AD359" s="853"/>
      <c r="AE359" s="853"/>
      <c r="AF359" s="853"/>
      <c r="AG359" s="853"/>
      <c r="AH359" s="446"/>
      <c r="AI359" s="446"/>
      <c r="AJ359" s="446"/>
      <c r="AK359" s="446"/>
      <c r="AL359" s="446"/>
      <c r="AM359" s="446"/>
      <c r="AN359" s="446"/>
      <c r="AO359" s="446"/>
      <c r="AP359" s="446"/>
      <c r="AQ359" s="446"/>
      <c r="AR359" s="446"/>
      <c r="AS359" s="446"/>
      <c r="AT359" s="446"/>
      <c r="AU359" s="446"/>
      <c r="AV359" s="446"/>
      <c r="AW359" s="446"/>
      <c r="AX359" s="446"/>
      <c r="AY359" s="446"/>
      <c r="AZ359" s="446"/>
      <c r="BA359" s="446"/>
      <c r="BB359" s="446"/>
      <c r="BC359" s="446"/>
      <c r="BD359" s="446"/>
      <c r="BE359" s="446"/>
      <c r="BF359" s="446"/>
      <c r="BG359" s="446"/>
      <c r="BH359" s="446"/>
      <c r="BI359" s="446"/>
      <c r="BJ359" s="446"/>
      <c r="BK359" s="446"/>
      <c r="BL359" s="446"/>
      <c r="BM359" s="446"/>
      <c r="BN359" s="446"/>
      <c r="BO359" s="446"/>
      <c r="BP359" s="446"/>
      <c r="BQ359" s="446"/>
      <c r="BR359" s="446"/>
      <c r="BS359" s="446"/>
      <c r="BT359" s="446"/>
      <c r="BU359" s="562"/>
      <c r="BV359" s="446"/>
      <c r="BW359" s="446"/>
      <c r="BX359" s="446"/>
      <c r="BY359" s="446"/>
      <c r="BZ359" s="446"/>
      <c r="CA359" s="446"/>
      <c r="CB359" s="446"/>
      <c r="CC359" s="446"/>
      <c r="CD359" s="446"/>
      <c r="CE359" s="446"/>
      <c r="CF359" s="446"/>
      <c r="CG359" s="446"/>
      <c r="CH359" s="446"/>
      <c r="CI359" s="446"/>
      <c r="CJ359" s="446"/>
      <c r="CK359" s="446"/>
      <c r="CL359" s="446"/>
      <c r="CM359" s="446"/>
      <c r="CN359" s="446"/>
      <c r="CO359" s="446"/>
      <c r="CP359" s="446"/>
      <c r="CQ359" s="446"/>
      <c r="CR359" s="446"/>
      <c r="CS359" s="446"/>
      <c r="CT359" s="446"/>
      <c r="CU359" s="446"/>
      <c r="CV359" s="446"/>
      <c r="CW359" s="851"/>
      <c r="CX359" s="446"/>
      <c r="CY359" s="446"/>
      <c r="CZ359" s="446"/>
      <c r="DA359" s="446"/>
      <c r="DB359" s="446"/>
      <c r="DC359" s="446"/>
      <c r="DD359" s="446"/>
      <c r="DE359" s="446"/>
      <c r="DF359" s="446"/>
      <c r="DG359" s="446"/>
      <c r="DH359" s="446"/>
      <c r="DI359" s="446"/>
      <c r="DJ359" s="446"/>
      <c r="DK359" s="446"/>
      <c r="DL359" s="446"/>
      <c r="DM359" s="446"/>
      <c r="DN359" s="446"/>
      <c r="DO359" s="446"/>
      <c r="DP359" s="446"/>
      <c r="DQ359" s="446"/>
      <c r="DR359" s="446"/>
      <c r="DS359" s="446"/>
      <c r="DT359" s="446"/>
      <c r="DU359" s="446"/>
      <c r="DV359" s="446"/>
      <c r="DW359" s="446"/>
      <c r="DX359" s="446"/>
      <c r="DY359" s="446"/>
      <c r="DZ359" s="283"/>
    </row>
    <row r="360" spans="2:130" s="223" customFormat="1" ht="14.25" customHeight="1" x14ac:dyDescent="0.2">
      <c r="B360" s="851"/>
      <c r="C360" s="851"/>
      <c r="D360" s="851"/>
      <c r="E360" s="820"/>
      <c r="F360" s="820"/>
      <c r="G360" s="853"/>
      <c r="H360" s="853"/>
      <c r="I360" s="853"/>
      <c r="J360" s="853"/>
      <c r="K360" s="853"/>
      <c r="L360" s="853"/>
      <c r="M360" s="853"/>
      <c r="N360" s="853"/>
      <c r="O360" s="853"/>
      <c r="P360" s="853"/>
      <c r="Q360" s="853"/>
      <c r="R360" s="853"/>
      <c r="S360" s="854"/>
      <c r="T360" s="853"/>
      <c r="U360" s="853"/>
      <c r="V360" s="853"/>
      <c r="W360" s="853"/>
      <c r="X360" s="853"/>
      <c r="Y360" s="853"/>
      <c r="Z360" s="853"/>
      <c r="AA360" s="853"/>
      <c r="AB360" s="853"/>
      <c r="AC360" s="853"/>
      <c r="AD360" s="853"/>
      <c r="AE360" s="853"/>
      <c r="AF360" s="853"/>
      <c r="AG360" s="853"/>
      <c r="AH360" s="446"/>
      <c r="AI360" s="446"/>
      <c r="AJ360" s="446"/>
      <c r="AK360" s="446"/>
      <c r="AL360" s="446"/>
      <c r="AM360" s="446"/>
      <c r="AN360" s="446"/>
      <c r="AO360" s="446"/>
      <c r="AP360" s="446"/>
      <c r="AQ360" s="446"/>
      <c r="AR360" s="446"/>
      <c r="AS360" s="446"/>
      <c r="AT360" s="446"/>
      <c r="AU360" s="446"/>
      <c r="AV360" s="446"/>
      <c r="AW360" s="446"/>
      <c r="AX360" s="446"/>
      <c r="AY360" s="446"/>
      <c r="AZ360" s="446"/>
      <c r="BA360" s="446"/>
      <c r="BB360" s="446"/>
      <c r="BC360" s="446"/>
      <c r="BD360" s="446"/>
      <c r="BE360" s="446"/>
      <c r="BF360" s="446"/>
      <c r="BG360" s="446"/>
      <c r="BH360" s="446"/>
      <c r="BI360" s="446"/>
      <c r="BJ360" s="446"/>
      <c r="BK360" s="446"/>
      <c r="BL360" s="446"/>
      <c r="BM360" s="446"/>
      <c r="BN360" s="446"/>
      <c r="BO360" s="446"/>
      <c r="BP360" s="446"/>
      <c r="BQ360" s="446"/>
      <c r="BR360" s="446"/>
      <c r="BS360" s="446"/>
      <c r="BT360" s="446"/>
      <c r="BU360" s="562"/>
      <c r="BV360" s="446"/>
      <c r="BW360" s="446"/>
      <c r="BX360" s="446"/>
      <c r="BY360" s="446"/>
      <c r="BZ360" s="446"/>
      <c r="CA360" s="446"/>
      <c r="CB360" s="446"/>
      <c r="CC360" s="446"/>
      <c r="CD360" s="446"/>
      <c r="CE360" s="446"/>
      <c r="CF360" s="446"/>
      <c r="CG360" s="446"/>
      <c r="CH360" s="446"/>
      <c r="CI360" s="446"/>
      <c r="CJ360" s="446"/>
      <c r="CK360" s="446"/>
      <c r="CL360" s="446"/>
      <c r="CM360" s="446"/>
      <c r="CN360" s="446"/>
      <c r="CO360" s="446"/>
      <c r="CP360" s="446"/>
      <c r="CQ360" s="446"/>
      <c r="CR360" s="446"/>
      <c r="CS360" s="446"/>
      <c r="CT360" s="446"/>
      <c r="CU360" s="446"/>
      <c r="CV360" s="446"/>
      <c r="CW360" s="851"/>
      <c r="CX360" s="446"/>
      <c r="CY360" s="446"/>
      <c r="CZ360" s="446"/>
      <c r="DA360" s="446"/>
      <c r="DB360" s="446"/>
      <c r="DC360" s="446"/>
      <c r="DD360" s="446"/>
      <c r="DE360" s="446"/>
      <c r="DF360" s="446"/>
      <c r="DG360" s="446"/>
      <c r="DH360" s="446"/>
      <c r="DI360" s="446"/>
      <c r="DJ360" s="446"/>
      <c r="DK360" s="446"/>
      <c r="DL360" s="446"/>
      <c r="DM360" s="446"/>
      <c r="DN360" s="446"/>
      <c r="DO360" s="446"/>
      <c r="DP360" s="446"/>
      <c r="DQ360" s="446"/>
      <c r="DR360" s="446"/>
      <c r="DS360" s="446"/>
      <c r="DT360" s="446"/>
      <c r="DU360" s="446"/>
      <c r="DV360" s="446"/>
      <c r="DW360" s="446"/>
      <c r="DX360" s="446"/>
      <c r="DY360" s="446"/>
      <c r="DZ360" s="283"/>
    </row>
    <row r="361" spans="2:130" s="223" customFormat="1" ht="14.25" customHeight="1" x14ac:dyDescent="0.2">
      <c r="B361" s="851"/>
      <c r="C361" s="851"/>
      <c r="D361" s="851"/>
      <c r="E361" s="820"/>
      <c r="F361" s="820"/>
      <c r="G361" s="853"/>
      <c r="H361" s="853"/>
      <c r="I361" s="853"/>
      <c r="J361" s="853"/>
      <c r="K361" s="853"/>
      <c r="L361" s="853"/>
      <c r="M361" s="853"/>
      <c r="N361" s="853"/>
      <c r="O361" s="853"/>
      <c r="P361" s="853"/>
      <c r="Q361" s="853"/>
      <c r="R361" s="853"/>
      <c r="S361" s="854"/>
      <c r="T361" s="853"/>
      <c r="U361" s="853"/>
      <c r="V361" s="853"/>
      <c r="W361" s="853"/>
      <c r="X361" s="853"/>
      <c r="Y361" s="853"/>
      <c r="Z361" s="853"/>
      <c r="AA361" s="853"/>
      <c r="AB361" s="853"/>
      <c r="AC361" s="853"/>
      <c r="AD361" s="853"/>
      <c r="AE361" s="853"/>
      <c r="AF361" s="853"/>
      <c r="AG361" s="853"/>
      <c r="AH361" s="446"/>
      <c r="AI361" s="446"/>
      <c r="AJ361" s="446"/>
      <c r="AK361" s="446"/>
      <c r="AL361" s="446"/>
      <c r="AM361" s="446"/>
      <c r="AN361" s="446"/>
      <c r="AO361" s="446"/>
      <c r="AP361" s="446"/>
      <c r="AQ361" s="446"/>
      <c r="AR361" s="446"/>
      <c r="AS361" s="446"/>
      <c r="AT361" s="446"/>
      <c r="AU361" s="446"/>
      <c r="AV361" s="446"/>
      <c r="AW361" s="446"/>
      <c r="AX361" s="446"/>
      <c r="AY361" s="446"/>
      <c r="AZ361" s="446"/>
      <c r="BA361" s="446"/>
      <c r="BB361" s="446"/>
      <c r="BC361" s="446"/>
      <c r="BD361" s="446"/>
      <c r="BE361" s="446"/>
      <c r="BF361" s="446"/>
      <c r="BG361" s="446"/>
      <c r="BH361" s="446"/>
      <c r="BI361" s="446"/>
      <c r="BJ361" s="446"/>
      <c r="BK361" s="446"/>
      <c r="BL361" s="446"/>
      <c r="BM361" s="446"/>
      <c r="BN361" s="446"/>
      <c r="BO361" s="446"/>
      <c r="BP361" s="446"/>
      <c r="BQ361" s="446"/>
      <c r="BR361" s="446"/>
      <c r="BS361" s="446"/>
      <c r="BT361" s="446"/>
      <c r="BU361" s="562"/>
      <c r="BV361" s="446"/>
      <c r="BW361" s="446"/>
      <c r="BX361" s="446"/>
      <c r="BY361" s="446"/>
      <c r="BZ361" s="446"/>
      <c r="CA361" s="446"/>
      <c r="CB361" s="446"/>
      <c r="CC361" s="446"/>
      <c r="CD361" s="446"/>
      <c r="CE361" s="446"/>
      <c r="CF361" s="446"/>
      <c r="CG361" s="446"/>
      <c r="CH361" s="446"/>
      <c r="CI361" s="446"/>
      <c r="CJ361" s="446"/>
      <c r="CK361" s="446"/>
      <c r="CL361" s="446"/>
      <c r="CM361" s="446"/>
      <c r="CN361" s="446"/>
      <c r="CO361" s="446"/>
      <c r="CP361" s="446"/>
      <c r="CQ361" s="446"/>
      <c r="CR361" s="446"/>
      <c r="CS361" s="446"/>
      <c r="CT361" s="446"/>
      <c r="CU361" s="446"/>
      <c r="CV361" s="446"/>
      <c r="CW361" s="851"/>
      <c r="CX361" s="446"/>
      <c r="CY361" s="446"/>
      <c r="CZ361" s="446"/>
      <c r="DA361" s="446"/>
      <c r="DB361" s="446"/>
      <c r="DC361" s="446"/>
      <c r="DD361" s="446"/>
      <c r="DE361" s="446"/>
      <c r="DF361" s="446"/>
      <c r="DG361" s="446"/>
      <c r="DH361" s="446"/>
      <c r="DI361" s="446"/>
      <c r="DJ361" s="446"/>
      <c r="DK361" s="446"/>
      <c r="DL361" s="446"/>
      <c r="DM361" s="446"/>
      <c r="DN361" s="446"/>
      <c r="DO361" s="446"/>
      <c r="DP361" s="446"/>
      <c r="DQ361" s="446"/>
      <c r="DR361" s="446"/>
      <c r="DS361" s="446"/>
      <c r="DT361" s="446"/>
      <c r="DU361" s="446"/>
      <c r="DV361" s="446"/>
      <c r="DW361" s="446"/>
      <c r="DX361" s="446"/>
      <c r="DY361" s="446"/>
      <c r="DZ361" s="283"/>
    </row>
    <row r="362" spans="2:130" s="223" customFormat="1" ht="14.25" customHeight="1" x14ac:dyDescent="0.2">
      <c r="B362" s="851"/>
      <c r="C362" s="851"/>
      <c r="D362" s="851"/>
      <c r="E362" s="820"/>
      <c r="F362" s="820"/>
      <c r="G362" s="853"/>
      <c r="H362" s="853"/>
      <c r="I362" s="853"/>
      <c r="J362" s="853"/>
      <c r="K362" s="853"/>
      <c r="L362" s="853"/>
      <c r="M362" s="853"/>
      <c r="N362" s="853"/>
      <c r="O362" s="853"/>
      <c r="P362" s="853"/>
      <c r="Q362" s="853"/>
      <c r="R362" s="853"/>
      <c r="S362" s="854"/>
      <c r="T362" s="853"/>
      <c r="U362" s="853"/>
      <c r="V362" s="853"/>
      <c r="W362" s="853"/>
      <c r="X362" s="853"/>
      <c r="Y362" s="853"/>
      <c r="Z362" s="853"/>
      <c r="AA362" s="853"/>
      <c r="AB362" s="853"/>
      <c r="AC362" s="853"/>
      <c r="AD362" s="853"/>
      <c r="AE362" s="853"/>
      <c r="AF362" s="853"/>
      <c r="AG362" s="853"/>
      <c r="AH362" s="446"/>
      <c r="AI362" s="446"/>
      <c r="AJ362" s="446"/>
      <c r="AK362" s="446"/>
      <c r="AL362" s="446"/>
      <c r="AM362" s="446"/>
      <c r="AN362" s="446"/>
      <c r="AO362" s="446"/>
      <c r="AP362" s="446"/>
      <c r="AQ362" s="446"/>
      <c r="AR362" s="446"/>
      <c r="AS362" s="446"/>
      <c r="AT362" s="446"/>
      <c r="AU362" s="446"/>
      <c r="AV362" s="446"/>
      <c r="AW362" s="446"/>
      <c r="AX362" s="446"/>
      <c r="AY362" s="446"/>
      <c r="AZ362" s="446"/>
      <c r="BA362" s="446"/>
      <c r="BB362" s="446"/>
      <c r="BC362" s="446"/>
      <c r="BD362" s="446"/>
      <c r="BE362" s="446"/>
      <c r="BF362" s="446"/>
      <c r="BG362" s="446"/>
      <c r="BH362" s="446"/>
      <c r="BI362" s="446"/>
      <c r="BJ362" s="446"/>
      <c r="BK362" s="446"/>
      <c r="BL362" s="446"/>
      <c r="BM362" s="446"/>
      <c r="BN362" s="446"/>
      <c r="BO362" s="446"/>
      <c r="BP362" s="446"/>
      <c r="BQ362" s="446"/>
      <c r="BR362" s="446"/>
      <c r="BS362" s="446"/>
      <c r="BT362" s="446"/>
      <c r="BU362" s="562"/>
      <c r="BV362" s="446"/>
      <c r="BW362" s="446"/>
      <c r="BX362" s="446"/>
      <c r="BY362" s="446"/>
      <c r="BZ362" s="446"/>
      <c r="CA362" s="446"/>
      <c r="CB362" s="446"/>
      <c r="CC362" s="446"/>
      <c r="CD362" s="446"/>
      <c r="CE362" s="446"/>
      <c r="CF362" s="446"/>
      <c r="CG362" s="446"/>
      <c r="CH362" s="446"/>
      <c r="CI362" s="446"/>
      <c r="CJ362" s="446"/>
      <c r="CK362" s="446"/>
      <c r="CL362" s="446"/>
      <c r="CM362" s="446"/>
      <c r="CN362" s="446"/>
      <c r="CO362" s="446"/>
      <c r="CP362" s="446"/>
      <c r="CQ362" s="446"/>
      <c r="CR362" s="446"/>
      <c r="CS362" s="446"/>
      <c r="CT362" s="446"/>
      <c r="CU362" s="446"/>
      <c r="CV362" s="446"/>
      <c r="CW362" s="851"/>
      <c r="CX362" s="446"/>
      <c r="CY362" s="446"/>
      <c r="CZ362" s="446"/>
      <c r="DA362" s="446"/>
      <c r="DB362" s="446"/>
      <c r="DC362" s="446"/>
      <c r="DD362" s="446"/>
      <c r="DE362" s="446"/>
      <c r="DF362" s="446"/>
      <c r="DG362" s="446"/>
      <c r="DH362" s="446"/>
      <c r="DI362" s="446"/>
      <c r="DJ362" s="446"/>
      <c r="DK362" s="446"/>
      <c r="DL362" s="446"/>
      <c r="DM362" s="446"/>
      <c r="DN362" s="446"/>
      <c r="DO362" s="446"/>
      <c r="DP362" s="446"/>
      <c r="DQ362" s="446"/>
      <c r="DR362" s="446"/>
      <c r="DS362" s="446"/>
      <c r="DT362" s="446"/>
      <c r="DU362" s="446"/>
      <c r="DV362" s="446"/>
      <c r="DW362" s="446"/>
      <c r="DX362" s="446"/>
      <c r="DY362" s="446"/>
      <c r="DZ362" s="283"/>
    </row>
    <row r="363" spans="2:130" s="223" customFormat="1" ht="14.25" customHeight="1" x14ac:dyDescent="0.2">
      <c r="B363" s="851"/>
      <c r="C363" s="851"/>
      <c r="D363" s="851"/>
      <c r="E363" s="820"/>
      <c r="F363" s="820"/>
      <c r="G363" s="853"/>
      <c r="H363" s="853"/>
      <c r="I363" s="853"/>
      <c r="J363" s="853"/>
      <c r="K363" s="853"/>
      <c r="L363" s="853"/>
      <c r="M363" s="853"/>
      <c r="N363" s="853"/>
      <c r="O363" s="853"/>
      <c r="P363" s="853"/>
      <c r="Q363" s="853"/>
      <c r="R363" s="853"/>
      <c r="S363" s="854"/>
      <c r="T363" s="853"/>
      <c r="U363" s="853"/>
      <c r="V363" s="853"/>
      <c r="W363" s="853"/>
      <c r="X363" s="853"/>
      <c r="Y363" s="853"/>
      <c r="Z363" s="853"/>
      <c r="AA363" s="853"/>
      <c r="AB363" s="853"/>
      <c r="AC363" s="853"/>
      <c r="AD363" s="853"/>
      <c r="AE363" s="853"/>
      <c r="AF363" s="853"/>
      <c r="AG363" s="853"/>
      <c r="AH363" s="446"/>
      <c r="AI363" s="446"/>
      <c r="AJ363" s="446"/>
      <c r="AK363" s="446"/>
      <c r="AL363" s="446"/>
      <c r="AM363" s="446"/>
      <c r="AN363" s="446"/>
      <c r="AO363" s="446"/>
      <c r="AP363" s="446"/>
      <c r="AQ363" s="446"/>
      <c r="AR363" s="446"/>
      <c r="AS363" s="446"/>
      <c r="AT363" s="446"/>
      <c r="AU363" s="446"/>
      <c r="AV363" s="446"/>
      <c r="AW363" s="446"/>
      <c r="AX363" s="446"/>
      <c r="AY363" s="446"/>
      <c r="AZ363" s="446"/>
      <c r="BA363" s="446"/>
      <c r="BB363" s="446"/>
      <c r="BC363" s="446"/>
      <c r="BD363" s="446"/>
      <c r="BE363" s="446"/>
      <c r="BF363" s="446"/>
      <c r="BG363" s="446"/>
      <c r="BH363" s="446"/>
      <c r="BI363" s="446"/>
      <c r="BJ363" s="446"/>
      <c r="BK363" s="446"/>
      <c r="BL363" s="446"/>
      <c r="BM363" s="446"/>
      <c r="BN363" s="446"/>
      <c r="BO363" s="446"/>
      <c r="BP363" s="446"/>
      <c r="BQ363" s="446"/>
      <c r="BR363" s="446"/>
      <c r="BS363" s="446"/>
      <c r="BT363" s="446"/>
      <c r="BU363" s="562"/>
      <c r="BV363" s="446"/>
      <c r="BW363" s="446"/>
      <c r="BX363" s="446"/>
      <c r="BY363" s="446"/>
      <c r="BZ363" s="446"/>
      <c r="CA363" s="446"/>
      <c r="CB363" s="446"/>
      <c r="CC363" s="446"/>
      <c r="CD363" s="446"/>
      <c r="CE363" s="446"/>
      <c r="CF363" s="446"/>
      <c r="CG363" s="446"/>
      <c r="CH363" s="446"/>
      <c r="CI363" s="446"/>
      <c r="CJ363" s="446"/>
      <c r="CK363" s="446"/>
      <c r="CL363" s="446"/>
      <c r="CM363" s="446"/>
      <c r="CN363" s="446"/>
      <c r="CO363" s="446"/>
      <c r="CP363" s="446"/>
      <c r="CQ363" s="446"/>
      <c r="CR363" s="446"/>
      <c r="CS363" s="446"/>
      <c r="CT363" s="446"/>
      <c r="CU363" s="446"/>
      <c r="CV363" s="446"/>
      <c r="CW363" s="851"/>
      <c r="CX363" s="446"/>
      <c r="CY363" s="446"/>
      <c r="CZ363" s="446"/>
      <c r="DA363" s="446"/>
      <c r="DB363" s="446"/>
      <c r="DC363" s="446"/>
      <c r="DD363" s="446"/>
      <c r="DE363" s="446"/>
      <c r="DF363" s="446"/>
      <c r="DG363" s="446"/>
      <c r="DH363" s="446"/>
      <c r="DI363" s="446"/>
      <c r="DJ363" s="446"/>
      <c r="DK363" s="446"/>
      <c r="DL363" s="446"/>
      <c r="DM363" s="446"/>
      <c r="DN363" s="446"/>
      <c r="DO363" s="446"/>
      <c r="DP363" s="446"/>
      <c r="DQ363" s="446"/>
      <c r="DR363" s="446"/>
      <c r="DS363" s="446"/>
      <c r="DT363" s="446"/>
      <c r="DU363" s="446"/>
      <c r="DV363" s="446"/>
      <c r="DW363" s="446"/>
      <c r="DX363" s="446"/>
      <c r="DY363" s="446"/>
      <c r="DZ363" s="283"/>
    </row>
    <row r="364" spans="2:130" s="223" customFormat="1" ht="14.25" customHeight="1" x14ac:dyDescent="0.2">
      <c r="B364" s="851"/>
      <c r="C364" s="851"/>
      <c r="D364" s="851"/>
      <c r="E364" s="820"/>
      <c r="F364" s="820"/>
      <c r="G364" s="853"/>
      <c r="H364" s="853"/>
      <c r="I364" s="853"/>
      <c r="J364" s="853"/>
      <c r="K364" s="853"/>
      <c r="L364" s="853"/>
      <c r="M364" s="853"/>
      <c r="N364" s="853"/>
      <c r="O364" s="853"/>
      <c r="P364" s="853"/>
      <c r="Q364" s="853"/>
      <c r="R364" s="853"/>
      <c r="S364" s="854"/>
      <c r="T364" s="853"/>
      <c r="U364" s="853"/>
      <c r="V364" s="853"/>
      <c r="W364" s="853"/>
      <c r="X364" s="853"/>
      <c r="Y364" s="853"/>
      <c r="Z364" s="853"/>
      <c r="AA364" s="853"/>
      <c r="AB364" s="853"/>
      <c r="AC364" s="853"/>
      <c r="AD364" s="853"/>
      <c r="AE364" s="853"/>
      <c r="AF364" s="853"/>
      <c r="AG364" s="853"/>
      <c r="AH364" s="446"/>
      <c r="AI364" s="446"/>
      <c r="AJ364" s="446"/>
      <c r="AK364" s="446"/>
      <c r="AL364" s="446"/>
      <c r="AM364" s="446"/>
      <c r="AN364" s="446"/>
      <c r="AO364" s="446"/>
      <c r="AP364" s="446"/>
      <c r="AQ364" s="446"/>
      <c r="AR364" s="446"/>
      <c r="AS364" s="446"/>
      <c r="AT364" s="446"/>
      <c r="AU364" s="446"/>
      <c r="AV364" s="446"/>
      <c r="AW364" s="446"/>
      <c r="AX364" s="446"/>
      <c r="AY364" s="446"/>
      <c r="AZ364" s="446"/>
      <c r="BA364" s="446"/>
      <c r="BB364" s="446"/>
      <c r="BC364" s="446"/>
      <c r="BD364" s="446"/>
      <c r="BE364" s="446"/>
      <c r="BF364" s="446"/>
      <c r="BG364" s="446"/>
      <c r="BH364" s="446"/>
      <c r="BI364" s="446"/>
      <c r="BJ364" s="446"/>
      <c r="BK364" s="446"/>
      <c r="BL364" s="446"/>
      <c r="BM364" s="446"/>
      <c r="BN364" s="446"/>
      <c r="BO364" s="446"/>
      <c r="BP364" s="446"/>
      <c r="BQ364" s="446"/>
      <c r="BR364" s="446"/>
      <c r="BS364" s="446"/>
      <c r="BT364" s="446"/>
      <c r="BU364" s="562"/>
      <c r="BV364" s="446"/>
      <c r="BW364" s="446"/>
      <c r="BX364" s="446"/>
      <c r="BY364" s="446"/>
      <c r="BZ364" s="446"/>
      <c r="CA364" s="446"/>
      <c r="CB364" s="446"/>
      <c r="CC364" s="446"/>
      <c r="CD364" s="446"/>
      <c r="CE364" s="446"/>
      <c r="CF364" s="446"/>
      <c r="CG364" s="446"/>
      <c r="CH364" s="446"/>
      <c r="CI364" s="446"/>
      <c r="CJ364" s="446"/>
      <c r="CK364" s="446"/>
      <c r="CL364" s="446"/>
      <c r="CM364" s="446"/>
      <c r="CN364" s="446"/>
      <c r="CO364" s="446"/>
      <c r="CP364" s="446"/>
      <c r="CQ364" s="446"/>
      <c r="CR364" s="446"/>
      <c r="CS364" s="446"/>
      <c r="CT364" s="446"/>
      <c r="CU364" s="446"/>
      <c r="CV364" s="446"/>
      <c r="CW364" s="851"/>
      <c r="CX364" s="446"/>
      <c r="CY364" s="446"/>
      <c r="CZ364" s="446"/>
      <c r="DA364" s="446"/>
      <c r="DB364" s="446"/>
      <c r="DC364" s="446"/>
      <c r="DD364" s="446"/>
      <c r="DE364" s="446"/>
      <c r="DF364" s="446"/>
      <c r="DG364" s="446"/>
      <c r="DH364" s="446"/>
      <c r="DI364" s="446"/>
      <c r="DJ364" s="446"/>
      <c r="DK364" s="446"/>
      <c r="DL364" s="446"/>
      <c r="DM364" s="446"/>
      <c r="DN364" s="446"/>
      <c r="DO364" s="446"/>
      <c r="DP364" s="446"/>
      <c r="DQ364" s="446"/>
      <c r="DR364" s="446"/>
      <c r="DS364" s="446"/>
      <c r="DT364" s="446"/>
      <c r="DU364" s="446"/>
      <c r="DV364" s="446"/>
      <c r="DW364" s="446"/>
      <c r="DX364" s="446"/>
      <c r="DY364" s="446"/>
      <c r="DZ364" s="283"/>
    </row>
    <row r="365" spans="2:130" s="223" customFormat="1" ht="14.25" customHeight="1" x14ac:dyDescent="0.2">
      <c r="B365" s="851"/>
      <c r="C365" s="851"/>
      <c r="D365" s="851"/>
      <c r="E365" s="820"/>
      <c r="F365" s="820"/>
      <c r="G365" s="853"/>
      <c r="H365" s="853"/>
      <c r="I365" s="853"/>
      <c r="J365" s="853"/>
      <c r="K365" s="853"/>
      <c r="L365" s="853"/>
      <c r="M365" s="853"/>
      <c r="N365" s="853"/>
      <c r="O365" s="853"/>
      <c r="P365" s="853"/>
      <c r="Q365" s="853"/>
      <c r="R365" s="853"/>
      <c r="S365" s="854"/>
      <c r="T365" s="853"/>
      <c r="U365" s="853"/>
      <c r="V365" s="853"/>
      <c r="W365" s="853"/>
      <c r="X365" s="853"/>
      <c r="Y365" s="853"/>
      <c r="Z365" s="853"/>
      <c r="AA365" s="853"/>
      <c r="AB365" s="853"/>
      <c r="AC365" s="853"/>
      <c r="AD365" s="853"/>
      <c r="AE365" s="853"/>
      <c r="AF365" s="853"/>
      <c r="AG365" s="853"/>
      <c r="AH365" s="446"/>
      <c r="AI365" s="446"/>
      <c r="AJ365" s="446"/>
      <c r="AK365" s="446"/>
      <c r="AL365" s="446"/>
      <c r="AM365" s="446"/>
      <c r="AN365" s="446"/>
      <c r="AO365" s="446"/>
      <c r="AP365" s="446"/>
      <c r="AQ365" s="446"/>
      <c r="AR365" s="446"/>
      <c r="AS365" s="446"/>
      <c r="AT365" s="446"/>
      <c r="AU365" s="446"/>
      <c r="AV365" s="446"/>
      <c r="AW365" s="446"/>
      <c r="AX365" s="446"/>
      <c r="AY365" s="446"/>
      <c r="AZ365" s="446"/>
      <c r="BA365" s="446"/>
      <c r="BB365" s="446"/>
      <c r="BC365" s="446"/>
      <c r="BD365" s="446"/>
      <c r="BE365" s="446"/>
      <c r="BF365" s="446"/>
      <c r="BG365" s="446"/>
      <c r="BH365" s="446"/>
      <c r="BI365" s="446"/>
      <c r="BJ365" s="446"/>
      <c r="BK365" s="446"/>
      <c r="BL365" s="446"/>
      <c r="BM365" s="446"/>
      <c r="BN365" s="446"/>
      <c r="BO365" s="446"/>
      <c r="BP365" s="446"/>
      <c r="BQ365" s="446"/>
      <c r="BR365" s="446"/>
      <c r="BS365" s="446"/>
      <c r="BT365" s="446"/>
      <c r="BU365" s="562"/>
      <c r="BV365" s="446"/>
      <c r="BW365" s="446"/>
      <c r="BX365" s="446"/>
      <c r="BY365" s="446"/>
      <c r="BZ365" s="446"/>
      <c r="CA365" s="446"/>
      <c r="CB365" s="446"/>
      <c r="CC365" s="446"/>
      <c r="CD365" s="446"/>
      <c r="CE365" s="446"/>
      <c r="CF365" s="446"/>
      <c r="CG365" s="446"/>
      <c r="CH365" s="446"/>
      <c r="CI365" s="446"/>
      <c r="CJ365" s="446"/>
      <c r="CK365" s="446"/>
      <c r="CL365" s="446"/>
      <c r="CM365" s="446"/>
      <c r="CN365" s="446"/>
      <c r="CO365" s="446"/>
      <c r="CP365" s="446"/>
      <c r="CQ365" s="446"/>
      <c r="CR365" s="446"/>
      <c r="CS365" s="446"/>
      <c r="CT365" s="446"/>
      <c r="CU365" s="446"/>
      <c r="CV365" s="446"/>
      <c r="CW365" s="851"/>
      <c r="CX365" s="446"/>
      <c r="CY365" s="446"/>
      <c r="CZ365" s="446"/>
      <c r="DA365" s="446"/>
      <c r="DB365" s="446"/>
      <c r="DC365" s="446"/>
      <c r="DD365" s="446"/>
      <c r="DE365" s="446"/>
      <c r="DF365" s="446"/>
      <c r="DG365" s="446"/>
      <c r="DH365" s="446"/>
      <c r="DI365" s="446"/>
      <c r="DJ365" s="446"/>
      <c r="DK365" s="446"/>
      <c r="DL365" s="446"/>
      <c r="DM365" s="446"/>
      <c r="DN365" s="446"/>
      <c r="DO365" s="446"/>
      <c r="DP365" s="446"/>
      <c r="DQ365" s="446"/>
      <c r="DR365" s="446"/>
      <c r="DS365" s="446"/>
      <c r="DT365" s="446"/>
      <c r="DU365" s="446"/>
      <c r="DV365" s="446"/>
      <c r="DW365" s="446"/>
      <c r="DX365" s="446"/>
      <c r="DY365" s="446"/>
      <c r="DZ365" s="283"/>
    </row>
    <row r="366" spans="2:130" s="223" customFormat="1" ht="14.25" customHeight="1" x14ac:dyDescent="0.2">
      <c r="B366" s="851"/>
      <c r="C366" s="851"/>
      <c r="D366" s="851"/>
      <c r="E366" s="820"/>
      <c r="F366" s="820"/>
      <c r="G366" s="853"/>
      <c r="H366" s="853"/>
      <c r="I366" s="853"/>
      <c r="J366" s="853"/>
      <c r="K366" s="853"/>
      <c r="L366" s="853"/>
      <c r="M366" s="853"/>
      <c r="N366" s="853"/>
      <c r="O366" s="853"/>
      <c r="P366" s="853"/>
      <c r="Q366" s="853"/>
      <c r="R366" s="853"/>
      <c r="S366" s="854"/>
      <c r="T366" s="853"/>
      <c r="U366" s="853"/>
      <c r="V366" s="853"/>
      <c r="W366" s="853"/>
      <c r="X366" s="853"/>
      <c r="Y366" s="853"/>
      <c r="Z366" s="853"/>
      <c r="AA366" s="853"/>
      <c r="AB366" s="853"/>
      <c r="AC366" s="853"/>
      <c r="AD366" s="853"/>
      <c r="AE366" s="853"/>
      <c r="AF366" s="853"/>
      <c r="AG366" s="853"/>
      <c r="AH366" s="446"/>
      <c r="AI366" s="446"/>
      <c r="AJ366" s="446"/>
      <c r="AK366" s="446"/>
      <c r="AL366" s="446"/>
      <c r="AM366" s="446"/>
      <c r="AN366" s="446"/>
      <c r="AO366" s="446"/>
      <c r="AP366" s="446"/>
      <c r="AQ366" s="446"/>
      <c r="AR366" s="446"/>
      <c r="AS366" s="446"/>
      <c r="AT366" s="446"/>
      <c r="AU366" s="446"/>
      <c r="AV366" s="446"/>
      <c r="AW366" s="446"/>
      <c r="AX366" s="446"/>
      <c r="AY366" s="446"/>
      <c r="AZ366" s="446"/>
      <c r="BA366" s="446"/>
      <c r="BB366" s="446"/>
      <c r="BC366" s="446"/>
      <c r="BD366" s="446"/>
      <c r="BE366" s="446"/>
      <c r="BF366" s="446"/>
      <c r="BG366" s="446"/>
      <c r="BH366" s="446"/>
      <c r="BI366" s="446"/>
      <c r="BJ366" s="446"/>
      <c r="BK366" s="446"/>
      <c r="BL366" s="446"/>
      <c r="BM366" s="446"/>
      <c r="BN366" s="446"/>
      <c r="BO366" s="446"/>
      <c r="BP366" s="446"/>
      <c r="BQ366" s="446"/>
      <c r="BR366" s="446"/>
      <c r="BS366" s="446"/>
      <c r="BT366" s="446"/>
      <c r="BU366" s="562"/>
      <c r="BV366" s="446"/>
      <c r="BW366" s="446"/>
      <c r="BX366" s="446"/>
      <c r="BY366" s="446"/>
      <c r="BZ366" s="446"/>
      <c r="CA366" s="446"/>
      <c r="CB366" s="446"/>
      <c r="CC366" s="446"/>
      <c r="CD366" s="446"/>
      <c r="CE366" s="446"/>
      <c r="CF366" s="446"/>
      <c r="CG366" s="446"/>
      <c r="CH366" s="446"/>
      <c r="CI366" s="446"/>
      <c r="CJ366" s="446"/>
      <c r="CK366" s="446"/>
      <c r="CL366" s="446"/>
      <c r="CM366" s="446"/>
      <c r="CN366" s="446"/>
      <c r="CO366" s="446"/>
      <c r="CP366" s="446"/>
      <c r="CQ366" s="446"/>
      <c r="CR366" s="446"/>
      <c r="CS366" s="446"/>
      <c r="CT366" s="446"/>
      <c r="CU366" s="446"/>
      <c r="CV366" s="446"/>
      <c r="CW366" s="851"/>
      <c r="CX366" s="446"/>
      <c r="CY366" s="446"/>
      <c r="CZ366" s="446"/>
      <c r="DA366" s="446"/>
      <c r="DB366" s="446"/>
      <c r="DC366" s="446"/>
      <c r="DD366" s="446"/>
      <c r="DE366" s="446"/>
      <c r="DF366" s="446"/>
      <c r="DG366" s="446"/>
      <c r="DH366" s="446"/>
      <c r="DI366" s="446"/>
      <c r="DJ366" s="446"/>
      <c r="DK366" s="446"/>
      <c r="DL366" s="446"/>
      <c r="DM366" s="446"/>
      <c r="DN366" s="446"/>
      <c r="DO366" s="446"/>
      <c r="DP366" s="446"/>
      <c r="DQ366" s="446"/>
      <c r="DR366" s="446"/>
      <c r="DS366" s="446"/>
      <c r="DT366" s="446"/>
      <c r="DU366" s="446"/>
      <c r="DV366" s="446"/>
      <c r="DW366" s="446"/>
      <c r="DX366" s="446"/>
      <c r="DY366" s="446"/>
      <c r="DZ366" s="283"/>
    </row>
    <row r="367" spans="2:130" s="223" customFormat="1" ht="14.25" customHeight="1" x14ac:dyDescent="0.2">
      <c r="B367" s="851"/>
      <c r="C367" s="851"/>
      <c r="D367" s="851"/>
      <c r="E367" s="820"/>
      <c r="F367" s="820"/>
      <c r="G367" s="853"/>
      <c r="H367" s="853"/>
      <c r="I367" s="853"/>
      <c r="J367" s="853"/>
      <c r="K367" s="853"/>
      <c r="L367" s="853"/>
      <c r="M367" s="853"/>
      <c r="N367" s="853"/>
      <c r="O367" s="853"/>
      <c r="P367" s="853"/>
      <c r="Q367" s="853"/>
      <c r="R367" s="853"/>
      <c r="S367" s="854"/>
      <c r="T367" s="853"/>
      <c r="U367" s="853"/>
      <c r="V367" s="853"/>
      <c r="W367" s="853"/>
      <c r="X367" s="853"/>
      <c r="Y367" s="853"/>
      <c r="Z367" s="853"/>
      <c r="AA367" s="853"/>
      <c r="AB367" s="853"/>
      <c r="AC367" s="853"/>
      <c r="AD367" s="853"/>
      <c r="AE367" s="853"/>
      <c r="AF367" s="853"/>
      <c r="AG367" s="853"/>
      <c r="AH367" s="446"/>
      <c r="AI367" s="446"/>
      <c r="AJ367" s="446"/>
      <c r="AK367" s="446"/>
      <c r="AL367" s="446"/>
      <c r="AM367" s="446"/>
      <c r="AN367" s="446"/>
      <c r="AO367" s="446"/>
      <c r="AP367" s="446"/>
      <c r="AQ367" s="446"/>
      <c r="AR367" s="446"/>
      <c r="AS367" s="446"/>
      <c r="AT367" s="446"/>
      <c r="AU367" s="446"/>
      <c r="AV367" s="446"/>
      <c r="AW367" s="446"/>
      <c r="AX367" s="446"/>
      <c r="AY367" s="446"/>
      <c r="AZ367" s="446"/>
      <c r="BA367" s="446"/>
      <c r="BB367" s="446"/>
      <c r="BC367" s="446"/>
      <c r="BD367" s="446"/>
      <c r="BE367" s="446"/>
      <c r="BF367" s="446"/>
      <c r="BG367" s="446"/>
      <c r="BH367" s="446"/>
      <c r="BI367" s="446"/>
      <c r="BJ367" s="446"/>
      <c r="BK367" s="446"/>
      <c r="BL367" s="446"/>
      <c r="BM367" s="446"/>
      <c r="BN367" s="446"/>
      <c r="BO367" s="446"/>
      <c r="BP367" s="446"/>
      <c r="BQ367" s="446"/>
      <c r="BR367" s="446"/>
      <c r="BS367" s="446"/>
      <c r="BT367" s="446"/>
      <c r="BU367" s="562"/>
      <c r="BV367" s="446"/>
      <c r="BW367" s="446"/>
      <c r="BX367" s="446"/>
      <c r="BY367" s="446"/>
      <c r="BZ367" s="446"/>
      <c r="CA367" s="446"/>
      <c r="CB367" s="446"/>
      <c r="CC367" s="446"/>
      <c r="CD367" s="446"/>
      <c r="CE367" s="446"/>
      <c r="CF367" s="446"/>
      <c r="CG367" s="446"/>
      <c r="CH367" s="446"/>
      <c r="CI367" s="446"/>
      <c r="CJ367" s="446"/>
      <c r="CK367" s="446"/>
      <c r="CL367" s="446"/>
      <c r="CM367" s="446"/>
      <c r="CN367" s="446"/>
      <c r="CO367" s="446"/>
      <c r="CP367" s="446"/>
      <c r="CQ367" s="446"/>
      <c r="CR367" s="446"/>
      <c r="CS367" s="446"/>
      <c r="CT367" s="446"/>
      <c r="CU367" s="446"/>
      <c r="CV367" s="446"/>
      <c r="CW367" s="851"/>
      <c r="CX367" s="446"/>
      <c r="CY367" s="446"/>
      <c r="CZ367" s="446"/>
      <c r="DA367" s="446"/>
      <c r="DB367" s="446"/>
      <c r="DC367" s="446"/>
      <c r="DD367" s="446"/>
      <c r="DE367" s="446"/>
      <c r="DF367" s="446"/>
      <c r="DG367" s="446"/>
      <c r="DH367" s="446"/>
      <c r="DI367" s="446"/>
      <c r="DJ367" s="446"/>
      <c r="DK367" s="446"/>
      <c r="DL367" s="446"/>
      <c r="DM367" s="446"/>
      <c r="DN367" s="446"/>
      <c r="DO367" s="446"/>
      <c r="DP367" s="446"/>
      <c r="DQ367" s="446"/>
      <c r="DR367" s="446"/>
      <c r="DS367" s="446"/>
      <c r="DT367" s="446"/>
      <c r="DU367" s="446"/>
      <c r="DV367" s="446"/>
      <c r="DW367" s="446"/>
      <c r="DX367" s="446"/>
      <c r="DY367" s="446"/>
      <c r="DZ367" s="283"/>
    </row>
    <row r="368" spans="2:130" s="223" customFormat="1" ht="14.25" customHeight="1" x14ac:dyDescent="0.2">
      <c r="B368" s="851"/>
      <c r="C368" s="851"/>
      <c r="D368" s="851"/>
      <c r="E368" s="820"/>
      <c r="F368" s="820"/>
      <c r="G368" s="853"/>
      <c r="H368" s="853"/>
      <c r="I368" s="853"/>
      <c r="J368" s="853"/>
      <c r="K368" s="853"/>
      <c r="L368" s="853"/>
      <c r="M368" s="853"/>
      <c r="N368" s="853"/>
      <c r="O368" s="853"/>
      <c r="P368" s="853"/>
      <c r="Q368" s="853"/>
      <c r="R368" s="853"/>
      <c r="S368" s="854"/>
      <c r="T368" s="853"/>
      <c r="U368" s="853"/>
      <c r="V368" s="853"/>
      <c r="W368" s="853"/>
      <c r="X368" s="853"/>
      <c r="Y368" s="853"/>
      <c r="Z368" s="853"/>
      <c r="AA368" s="853"/>
      <c r="AB368" s="853"/>
      <c r="AC368" s="853"/>
      <c r="AD368" s="853"/>
      <c r="AE368" s="853"/>
      <c r="AF368" s="853"/>
      <c r="AG368" s="853"/>
      <c r="AH368" s="446"/>
      <c r="AI368" s="446"/>
      <c r="AJ368" s="446"/>
      <c r="AK368" s="446"/>
      <c r="AL368" s="446"/>
      <c r="AM368" s="446"/>
      <c r="AN368" s="446"/>
      <c r="AO368" s="446"/>
      <c r="AP368" s="446"/>
      <c r="AQ368" s="446"/>
      <c r="AR368" s="446"/>
      <c r="AS368" s="446"/>
      <c r="AT368" s="446"/>
      <c r="AU368" s="446"/>
      <c r="AV368" s="446"/>
      <c r="AW368" s="446"/>
      <c r="AX368" s="446"/>
      <c r="AY368" s="446"/>
      <c r="AZ368" s="446"/>
      <c r="BA368" s="446"/>
      <c r="BB368" s="446"/>
      <c r="BC368" s="446"/>
      <c r="BD368" s="446"/>
      <c r="BE368" s="446"/>
      <c r="BF368" s="446"/>
      <c r="BG368" s="446"/>
      <c r="BH368" s="446"/>
      <c r="BI368" s="446"/>
      <c r="BJ368" s="446"/>
      <c r="BK368" s="446"/>
      <c r="BL368" s="446"/>
      <c r="BM368" s="446"/>
      <c r="BN368" s="446"/>
      <c r="BO368" s="446"/>
      <c r="BP368" s="446"/>
      <c r="BQ368" s="446"/>
      <c r="BR368" s="446"/>
      <c r="BS368" s="446"/>
      <c r="BT368" s="446"/>
      <c r="BU368" s="562"/>
      <c r="BV368" s="446"/>
      <c r="BW368" s="446"/>
      <c r="BX368" s="446"/>
      <c r="BY368" s="446"/>
      <c r="BZ368" s="446"/>
      <c r="CA368" s="446"/>
      <c r="CB368" s="446"/>
      <c r="CC368" s="446"/>
      <c r="CD368" s="446"/>
      <c r="CE368" s="446"/>
      <c r="CF368" s="446"/>
      <c r="CG368" s="446"/>
      <c r="CH368" s="446"/>
      <c r="CI368" s="446"/>
      <c r="CJ368" s="446"/>
      <c r="CK368" s="446"/>
      <c r="CL368" s="446"/>
      <c r="CM368" s="446"/>
      <c r="CN368" s="446"/>
      <c r="CO368" s="446"/>
      <c r="CP368" s="446"/>
      <c r="CQ368" s="446"/>
      <c r="CR368" s="446"/>
      <c r="CS368" s="446"/>
      <c r="CT368" s="446"/>
      <c r="CU368" s="446"/>
      <c r="CV368" s="446"/>
      <c r="CW368" s="851"/>
      <c r="CX368" s="446"/>
      <c r="CY368" s="446"/>
      <c r="CZ368" s="446"/>
      <c r="DA368" s="446"/>
      <c r="DB368" s="446"/>
      <c r="DC368" s="446"/>
      <c r="DD368" s="446"/>
      <c r="DE368" s="446"/>
      <c r="DF368" s="446"/>
      <c r="DG368" s="446"/>
      <c r="DH368" s="446"/>
      <c r="DI368" s="446"/>
      <c r="DJ368" s="446"/>
      <c r="DK368" s="446"/>
      <c r="DL368" s="446"/>
      <c r="DM368" s="446"/>
      <c r="DN368" s="446"/>
      <c r="DO368" s="446"/>
      <c r="DP368" s="446"/>
      <c r="DQ368" s="446"/>
      <c r="DR368" s="446"/>
      <c r="DS368" s="446"/>
      <c r="DT368" s="446"/>
      <c r="DU368" s="446"/>
      <c r="DV368" s="446"/>
      <c r="DW368" s="446"/>
      <c r="DX368" s="446"/>
      <c r="DY368" s="446"/>
      <c r="DZ368" s="283"/>
    </row>
    <row r="369" spans="2:130" s="223" customFormat="1" ht="14.25" customHeight="1" x14ac:dyDescent="0.2">
      <c r="B369" s="851"/>
      <c r="C369" s="851"/>
      <c r="D369" s="851"/>
      <c r="E369" s="820"/>
      <c r="F369" s="820"/>
      <c r="G369" s="853"/>
      <c r="H369" s="853"/>
      <c r="I369" s="853"/>
      <c r="J369" s="853"/>
      <c r="K369" s="853"/>
      <c r="L369" s="853"/>
      <c r="M369" s="853"/>
      <c r="N369" s="853"/>
      <c r="O369" s="853"/>
      <c r="P369" s="853"/>
      <c r="Q369" s="853"/>
      <c r="R369" s="853"/>
      <c r="S369" s="854"/>
      <c r="T369" s="853"/>
      <c r="U369" s="853"/>
      <c r="V369" s="853"/>
      <c r="W369" s="853"/>
      <c r="X369" s="853"/>
      <c r="Y369" s="853"/>
      <c r="Z369" s="853"/>
      <c r="AA369" s="853"/>
      <c r="AB369" s="853"/>
      <c r="AC369" s="853"/>
      <c r="AD369" s="853"/>
      <c r="AE369" s="853"/>
      <c r="AF369" s="853"/>
      <c r="AG369" s="853"/>
      <c r="AH369" s="446"/>
      <c r="AI369" s="446"/>
      <c r="AJ369" s="446"/>
      <c r="AK369" s="446"/>
      <c r="AL369" s="446"/>
      <c r="AM369" s="446"/>
      <c r="AN369" s="446"/>
      <c r="AO369" s="446"/>
      <c r="AP369" s="446"/>
      <c r="AQ369" s="446"/>
      <c r="AR369" s="446"/>
      <c r="AS369" s="446"/>
      <c r="AT369" s="446"/>
      <c r="AU369" s="446"/>
      <c r="AV369" s="446"/>
      <c r="AW369" s="446"/>
      <c r="AX369" s="446"/>
      <c r="AY369" s="446"/>
      <c r="AZ369" s="446"/>
      <c r="BA369" s="446"/>
      <c r="BB369" s="446"/>
      <c r="BC369" s="446"/>
      <c r="BD369" s="446"/>
      <c r="BE369" s="446"/>
      <c r="BF369" s="446"/>
      <c r="BG369" s="446"/>
      <c r="BH369" s="446"/>
      <c r="BI369" s="446"/>
      <c r="BJ369" s="446"/>
      <c r="BK369" s="446"/>
      <c r="BL369" s="446"/>
      <c r="BM369" s="446"/>
      <c r="BN369" s="446"/>
      <c r="BO369" s="446"/>
      <c r="BP369" s="446"/>
      <c r="BQ369" s="446"/>
      <c r="BR369" s="446"/>
      <c r="BS369" s="446"/>
      <c r="BT369" s="446"/>
      <c r="BU369" s="562"/>
      <c r="BV369" s="446"/>
      <c r="BW369" s="446"/>
      <c r="BX369" s="446"/>
      <c r="BY369" s="446"/>
      <c r="BZ369" s="446"/>
      <c r="CA369" s="446"/>
      <c r="CB369" s="446"/>
      <c r="CC369" s="446"/>
      <c r="CD369" s="446"/>
      <c r="CE369" s="446"/>
      <c r="CF369" s="446"/>
      <c r="CG369" s="446"/>
      <c r="CH369" s="446"/>
      <c r="CI369" s="446"/>
      <c r="CJ369" s="446"/>
      <c r="CK369" s="446"/>
      <c r="CL369" s="446"/>
      <c r="CM369" s="446"/>
      <c r="CN369" s="446"/>
      <c r="CO369" s="446"/>
      <c r="CP369" s="446"/>
      <c r="CQ369" s="446"/>
      <c r="CR369" s="446"/>
      <c r="CS369" s="446"/>
      <c r="CT369" s="446"/>
      <c r="CU369" s="446"/>
      <c r="CV369" s="446"/>
      <c r="CW369" s="851"/>
      <c r="CX369" s="446"/>
      <c r="CY369" s="446"/>
      <c r="CZ369" s="446"/>
      <c r="DA369" s="446"/>
      <c r="DB369" s="446"/>
      <c r="DC369" s="446"/>
      <c r="DD369" s="446"/>
      <c r="DE369" s="446"/>
      <c r="DF369" s="446"/>
      <c r="DG369" s="446"/>
      <c r="DH369" s="446"/>
      <c r="DI369" s="446"/>
      <c r="DJ369" s="446"/>
      <c r="DK369" s="446"/>
      <c r="DL369" s="446"/>
      <c r="DM369" s="446"/>
      <c r="DN369" s="446"/>
      <c r="DO369" s="446"/>
      <c r="DP369" s="446"/>
      <c r="DQ369" s="446"/>
      <c r="DR369" s="446"/>
      <c r="DS369" s="446"/>
      <c r="DT369" s="446"/>
      <c r="DU369" s="446"/>
      <c r="DV369" s="446"/>
      <c r="DW369" s="446"/>
      <c r="DX369" s="446"/>
      <c r="DY369" s="446"/>
      <c r="DZ369" s="283"/>
    </row>
    <row r="370" spans="2:130" s="223" customFormat="1" ht="14.25" customHeight="1" x14ac:dyDescent="0.2">
      <c r="B370" s="851"/>
      <c r="C370" s="851"/>
      <c r="D370" s="851"/>
      <c r="E370" s="820"/>
      <c r="F370" s="820"/>
      <c r="G370" s="853"/>
      <c r="H370" s="853"/>
      <c r="I370" s="853"/>
      <c r="J370" s="853"/>
      <c r="K370" s="853"/>
      <c r="L370" s="853"/>
      <c r="M370" s="853"/>
      <c r="N370" s="853"/>
      <c r="O370" s="853"/>
      <c r="P370" s="853"/>
      <c r="Q370" s="853"/>
      <c r="R370" s="853"/>
      <c r="S370" s="854"/>
      <c r="T370" s="853"/>
      <c r="U370" s="853"/>
      <c r="V370" s="853"/>
      <c r="W370" s="853"/>
      <c r="X370" s="853"/>
      <c r="Y370" s="853"/>
      <c r="Z370" s="853"/>
      <c r="AA370" s="853"/>
      <c r="AB370" s="853"/>
      <c r="AC370" s="853"/>
      <c r="AD370" s="853"/>
      <c r="AE370" s="853"/>
      <c r="AF370" s="853"/>
      <c r="AG370" s="853"/>
      <c r="AH370" s="446"/>
      <c r="AI370" s="446"/>
      <c r="AJ370" s="446"/>
      <c r="AK370" s="446"/>
      <c r="AL370" s="446"/>
      <c r="AM370" s="446"/>
      <c r="AN370" s="446"/>
      <c r="AO370" s="446"/>
      <c r="AP370" s="446"/>
      <c r="AQ370" s="446"/>
      <c r="AR370" s="446"/>
      <c r="AS370" s="446"/>
      <c r="AT370" s="446"/>
      <c r="AU370" s="446"/>
      <c r="AV370" s="446"/>
      <c r="AW370" s="446"/>
      <c r="AX370" s="446"/>
      <c r="AY370" s="446"/>
      <c r="AZ370" s="446"/>
      <c r="BA370" s="446"/>
      <c r="BB370" s="446"/>
      <c r="BC370" s="446"/>
      <c r="BD370" s="446"/>
      <c r="BE370" s="446"/>
      <c r="BF370" s="446"/>
      <c r="BG370" s="446"/>
      <c r="BH370" s="446"/>
      <c r="BI370" s="446"/>
      <c r="BJ370" s="446"/>
      <c r="BK370" s="446"/>
      <c r="BL370" s="446"/>
      <c r="BM370" s="446"/>
      <c r="BN370" s="446"/>
      <c r="BO370" s="446"/>
      <c r="BP370" s="446"/>
      <c r="BQ370" s="446"/>
      <c r="BR370" s="446"/>
      <c r="BS370" s="446"/>
      <c r="BT370" s="446"/>
      <c r="BU370" s="562"/>
      <c r="BV370" s="446"/>
      <c r="BW370" s="446"/>
      <c r="BX370" s="446"/>
      <c r="BY370" s="446"/>
      <c r="BZ370" s="446"/>
      <c r="CA370" s="446"/>
      <c r="CB370" s="446"/>
      <c r="CC370" s="446"/>
      <c r="CD370" s="446"/>
      <c r="CE370" s="446"/>
      <c r="CF370" s="446"/>
      <c r="CG370" s="446"/>
      <c r="CH370" s="446"/>
      <c r="CI370" s="446"/>
      <c r="CJ370" s="446"/>
      <c r="CK370" s="446"/>
      <c r="CL370" s="446"/>
      <c r="CM370" s="446"/>
      <c r="CN370" s="446"/>
      <c r="CO370" s="446"/>
      <c r="CP370" s="446"/>
      <c r="CQ370" s="446"/>
      <c r="CR370" s="446"/>
      <c r="CS370" s="446"/>
      <c r="CT370" s="446"/>
      <c r="CU370" s="446"/>
      <c r="CV370" s="446"/>
      <c r="CW370" s="851"/>
      <c r="CX370" s="446"/>
      <c r="CY370" s="446"/>
      <c r="CZ370" s="446"/>
      <c r="DA370" s="446"/>
      <c r="DB370" s="446"/>
      <c r="DC370" s="446"/>
      <c r="DD370" s="446"/>
      <c r="DE370" s="446"/>
      <c r="DF370" s="446"/>
      <c r="DG370" s="446"/>
      <c r="DH370" s="446"/>
      <c r="DI370" s="446"/>
      <c r="DJ370" s="446"/>
      <c r="DK370" s="446"/>
      <c r="DL370" s="446"/>
      <c r="DM370" s="446"/>
      <c r="DN370" s="446"/>
      <c r="DO370" s="446"/>
      <c r="DP370" s="446"/>
      <c r="DQ370" s="446"/>
      <c r="DR370" s="446"/>
      <c r="DS370" s="446"/>
      <c r="DT370" s="446"/>
      <c r="DU370" s="446"/>
      <c r="DV370" s="446"/>
      <c r="DW370" s="446"/>
      <c r="DX370" s="446"/>
      <c r="DY370" s="446"/>
      <c r="DZ370" s="283"/>
    </row>
    <row r="371" spans="2:130" s="223" customFormat="1" ht="14.25" customHeight="1" x14ac:dyDescent="0.2">
      <c r="B371" s="851"/>
      <c r="C371" s="851"/>
      <c r="D371" s="851"/>
      <c r="E371" s="820"/>
      <c r="F371" s="820"/>
      <c r="G371" s="853"/>
      <c r="H371" s="853"/>
      <c r="I371" s="853"/>
      <c r="J371" s="853"/>
      <c r="K371" s="853"/>
      <c r="L371" s="853"/>
      <c r="M371" s="853"/>
      <c r="N371" s="853"/>
      <c r="O371" s="853"/>
      <c r="P371" s="853"/>
      <c r="Q371" s="853"/>
      <c r="R371" s="853"/>
      <c r="S371" s="854"/>
      <c r="T371" s="853"/>
      <c r="U371" s="853"/>
      <c r="V371" s="853"/>
      <c r="W371" s="853"/>
      <c r="X371" s="853"/>
      <c r="Y371" s="853"/>
      <c r="Z371" s="853"/>
      <c r="AA371" s="853"/>
      <c r="AB371" s="853"/>
      <c r="AC371" s="853"/>
      <c r="AD371" s="853"/>
      <c r="AE371" s="853"/>
      <c r="AF371" s="853"/>
      <c r="AG371" s="853"/>
      <c r="AH371" s="446"/>
      <c r="AI371" s="446"/>
      <c r="AJ371" s="446"/>
      <c r="AK371" s="446"/>
      <c r="AL371" s="446"/>
      <c r="AM371" s="446"/>
      <c r="AN371" s="446"/>
      <c r="AO371" s="446"/>
      <c r="AP371" s="446"/>
      <c r="AQ371" s="446"/>
      <c r="AR371" s="446"/>
      <c r="AS371" s="446"/>
      <c r="AT371" s="446"/>
      <c r="AU371" s="446"/>
      <c r="AV371" s="446"/>
      <c r="AW371" s="446"/>
      <c r="AX371" s="446"/>
      <c r="AY371" s="446"/>
      <c r="AZ371" s="446"/>
      <c r="BA371" s="446"/>
      <c r="BB371" s="446"/>
      <c r="BC371" s="446"/>
      <c r="BD371" s="446"/>
      <c r="BE371" s="446"/>
      <c r="BF371" s="446"/>
      <c r="BG371" s="446"/>
      <c r="BH371" s="446"/>
      <c r="BI371" s="446"/>
      <c r="BJ371" s="446"/>
      <c r="BK371" s="446"/>
      <c r="BL371" s="446"/>
      <c r="BM371" s="446"/>
      <c r="BN371" s="446"/>
      <c r="BO371" s="446"/>
      <c r="BP371" s="446"/>
      <c r="BQ371" s="446"/>
      <c r="BR371" s="446"/>
      <c r="BS371" s="446"/>
      <c r="BT371" s="446"/>
      <c r="BU371" s="562"/>
      <c r="BV371" s="446"/>
      <c r="BW371" s="446"/>
      <c r="BX371" s="446"/>
      <c r="BY371" s="446"/>
      <c r="BZ371" s="446"/>
      <c r="CA371" s="446"/>
      <c r="CB371" s="446"/>
      <c r="CC371" s="446"/>
      <c r="CD371" s="446"/>
      <c r="CE371" s="446"/>
      <c r="CF371" s="446"/>
      <c r="CG371" s="446"/>
      <c r="CH371" s="446"/>
      <c r="CI371" s="446"/>
      <c r="CJ371" s="446"/>
      <c r="CK371" s="446"/>
      <c r="CL371" s="446"/>
      <c r="CM371" s="446"/>
      <c r="CN371" s="446"/>
      <c r="CO371" s="446"/>
      <c r="CP371" s="446"/>
      <c r="CQ371" s="446"/>
      <c r="CR371" s="446"/>
      <c r="CS371" s="446"/>
      <c r="CT371" s="446"/>
      <c r="CU371" s="446"/>
      <c r="CV371" s="446"/>
      <c r="CW371" s="851"/>
      <c r="CX371" s="446"/>
      <c r="CY371" s="446"/>
      <c r="CZ371" s="446"/>
      <c r="DA371" s="446"/>
      <c r="DB371" s="446"/>
      <c r="DC371" s="446"/>
      <c r="DD371" s="446"/>
      <c r="DE371" s="446"/>
      <c r="DF371" s="446"/>
      <c r="DG371" s="446"/>
      <c r="DH371" s="446"/>
      <c r="DI371" s="446"/>
      <c r="DJ371" s="446"/>
      <c r="DK371" s="446"/>
      <c r="DL371" s="446"/>
      <c r="DM371" s="446"/>
      <c r="DN371" s="446"/>
      <c r="DO371" s="446"/>
      <c r="DP371" s="446"/>
      <c r="DQ371" s="446"/>
      <c r="DR371" s="446"/>
      <c r="DS371" s="446"/>
      <c r="DT371" s="446"/>
      <c r="DU371" s="446"/>
      <c r="DV371" s="446"/>
      <c r="DW371" s="446"/>
      <c r="DX371" s="446"/>
      <c r="DY371" s="446"/>
      <c r="DZ371" s="283"/>
    </row>
    <row r="372" spans="2:130" s="223" customFormat="1" ht="14.25" customHeight="1" x14ac:dyDescent="0.2">
      <c r="B372" s="851"/>
      <c r="C372" s="851"/>
      <c r="D372" s="851"/>
      <c r="E372" s="820"/>
      <c r="F372" s="820"/>
      <c r="G372" s="853"/>
      <c r="H372" s="853"/>
      <c r="I372" s="853"/>
      <c r="J372" s="853"/>
      <c r="K372" s="853"/>
      <c r="L372" s="853"/>
      <c r="M372" s="853"/>
      <c r="N372" s="853"/>
      <c r="O372" s="853"/>
      <c r="P372" s="853"/>
      <c r="Q372" s="853"/>
      <c r="R372" s="853"/>
      <c r="S372" s="854"/>
      <c r="T372" s="853"/>
      <c r="U372" s="853"/>
      <c r="V372" s="853"/>
      <c r="W372" s="853"/>
      <c r="X372" s="853"/>
      <c r="Y372" s="853"/>
      <c r="Z372" s="853"/>
      <c r="AA372" s="853"/>
      <c r="AB372" s="853"/>
      <c r="AC372" s="853"/>
      <c r="AD372" s="853"/>
      <c r="AE372" s="853"/>
      <c r="AF372" s="853"/>
      <c r="AG372" s="853"/>
      <c r="AH372" s="446"/>
      <c r="AI372" s="446"/>
      <c r="AJ372" s="446"/>
      <c r="AK372" s="446"/>
      <c r="AL372" s="446"/>
      <c r="AM372" s="446"/>
      <c r="AN372" s="446"/>
      <c r="AO372" s="446"/>
      <c r="AP372" s="446"/>
      <c r="AQ372" s="446"/>
      <c r="AR372" s="446"/>
      <c r="AS372" s="446"/>
      <c r="AT372" s="446"/>
      <c r="AU372" s="446"/>
      <c r="AV372" s="446"/>
      <c r="AW372" s="446"/>
      <c r="AX372" s="446"/>
      <c r="AY372" s="446"/>
      <c r="AZ372" s="446"/>
      <c r="BA372" s="446"/>
      <c r="BB372" s="446"/>
      <c r="BC372" s="446"/>
      <c r="BD372" s="446"/>
      <c r="BE372" s="446"/>
      <c r="BF372" s="446"/>
      <c r="BG372" s="446"/>
      <c r="BH372" s="446"/>
      <c r="BI372" s="446"/>
      <c r="BJ372" s="446"/>
      <c r="BK372" s="446"/>
      <c r="BL372" s="446"/>
      <c r="BM372" s="446"/>
      <c r="BN372" s="446"/>
      <c r="BO372" s="446"/>
      <c r="BP372" s="446"/>
      <c r="BQ372" s="446"/>
      <c r="BR372" s="446"/>
      <c r="BS372" s="446"/>
      <c r="BT372" s="446"/>
      <c r="BU372" s="562"/>
      <c r="BV372" s="446"/>
      <c r="BW372" s="446"/>
      <c r="BX372" s="446"/>
      <c r="BY372" s="446"/>
      <c r="BZ372" s="446"/>
      <c r="CA372" s="446"/>
      <c r="CB372" s="446"/>
      <c r="CC372" s="446"/>
      <c r="CD372" s="446"/>
      <c r="CE372" s="446"/>
      <c r="CF372" s="446"/>
      <c r="CG372" s="446"/>
      <c r="CH372" s="446"/>
      <c r="CI372" s="446"/>
      <c r="CJ372" s="446"/>
      <c r="CK372" s="446"/>
      <c r="CL372" s="446"/>
      <c r="CM372" s="446"/>
      <c r="CN372" s="446"/>
      <c r="CO372" s="446"/>
      <c r="CP372" s="446"/>
      <c r="CQ372" s="446"/>
      <c r="CR372" s="446"/>
      <c r="CS372" s="446"/>
      <c r="CT372" s="446"/>
      <c r="CU372" s="446"/>
      <c r="CV372" s="446"/>
      <c r="CW372" s="851"/>
      <c r="CX372" s="446"/>
      <c r="CY372" s="446"/>
      <c r="CZ372" s="446"/>
      <c r="DA372" s="446"/>
      <c r="DB372" s="446"/>
      <c r="DC372" s="446"/>
      <c r="DD372" s="446"/>
      <c r="DE372" s="446"/>
      <c r="DF372" s="446"/>
      <c r="DG372" s="446"/>
      <c r="DH372" s="446"/>
      <c r="DI372" s="446"/>
      <c r="DJ372" s="446"/>
      <c r="DK372" s="446"/>
      <c r="DL372" s="446"/>
      <c r="DM372" s="446"/>
      <c r="DN372" s="446"/>
      <c r="DO372" s="446"/>
      <c r="DP372" s="446"/>
      <c r="DQ372" s="446"/>
      <c r="DR372" s="446"/>
      <c r="DS372" s="446"/>
      <c r="DT372" s="446"/>
      <c r="DU372" s="446"/>
      <c r="DV372" s="446"/>
      <c r="DW372" s="446"/>
      <c r="DX372" s="446"/>
      <c r="DY372" s="446"/>
      <c r="DZ372" s="283"/>
    </row>
    <row r="373" spans="2:130" s="223" customFormat="1" ht="14.25" customHeight="1" x14ac:dyDescent="0.2">
      <c r="B373" s="851"/>
      <c r="C373" s="851"/>
      <c r="D373" s="851"/>
      <c r="E373" s="820"/>
      <c r="F373" s="820"/>
      <c r="G373" s="853"/>
      <c r="H373" s="853"/>
      <c r="I373" s="853"/>
      <c r="J373" s="853"/>
      <c r="K373" s="853"/>
      <c r="L373" s="853"/>
      <c r="M373" s="853"/>
      <c r="N373" s="853"/>
      <c r="O373" s="853"/>
      <c r="P373" s="853"/>
      <c r="Q373" s="853"/>
      <c r="R373" s="853"/>
      <c r="S373" s="854"/>
      <c r="T373" s="853"/>
      <c r="U373" s="853"/>
      <c r="V373" s="853"/>
      <c r="W373" s="853"/>
      <c r="X373" s="853"/>
      <c r="Y373" s="853"/>
      <c r="Z373" s="853"/>
      <c r="AA373" s="853"/>
      <c r="AB373" s="853"/>
      <c r="AC373" s="853"/>
      <c r="AD373" s="853"/>
      <c r="AE373" s="853"/>
      <c r="AF373" s="853"/>
      <c r="AG373" s="853"/>
      <c r="AH373" s="446"/>
      <c r="AI373" s="446"/>
      <c r="AJ373" s="446"/>
      <c r="AK373" s="446"/>
      <c r="AL373" s="446"/>
      <c r="AM373" s="446"/>
      <c r="AN373" s="446"/>
      <c r="AO373" s="446"/>
      <c r="AP373" s="446"/>
      <c r="AQ373" s="446"/>
      <c r="AR373" s="446"/>
      <c r="AS373" s="446"/>
      <c r="AT373" s="446"/>
      <c r="AU373" s="446"/>
      <c r="AV373" s="446"/>
      <c r="AW373" s="446"/>
      <c r="AX373" s="446"/>
      <c r="AY373" s="446"/>
      <c r="AZ373" s="446"/>
      <c r="BA373" s="446"/>
      <c r="BB373" s="446"/>
      <c r="BC373" s="446"/>
      <c r="BD373" s="446"/>
      <c r="BE373" s="446"/>
      <c r="BF373" s="446"/>
      <c r="BG373" s="446"/>
      <c r="BH373" s="446"/>
      <c r="BI373" s="446"/>
      <c r="BJ373" s="446"/>
      <c r="BK373" s="446"/>
      <c r="BL373" s="446"/>
      <c r="BM373" s="446"/>
      <c r="BN373" s="446"/>
      <c r="BO373" s="446"/>
      <c r="BP373" s="446"/>
      <c r="BQ373" s="446"/>
      <c r="BR373" s="446"/>
      <c r="BS373" s="446"/>
      <c r="BT373" s="446"/>
      <c r="BU373" s="562"/>
      <c r="BV373" s="446"/>
      <c r="BW373" s="446"/>
      <c r="BX373" s="446"/>
      <c r="BY373" s="446"/>
      <c r="BZ373" s="446"/>
      <c r="CA373" s="446"/>
      <c r="CB373" s="446"/>
      <c r="CC373" s="446"/>
      <c r="CD373" s="446"/>
      <c r="CE373" s="446"/>
      <c r="CF373" s="446"/>
      <c r="CG373" s="446"/>
      <c r="CH373" s="446"/>
      <c r="CI373" s="446"/>
      <c r="CJ373" s="446"/>
      <c r="CK373" s="446"/>
      <c r="CL373" s="446"/>
      <c r="CM373" s="446"/>
      <c r="CN373" s="446"/>
      <c r="CO373" s="446"/>
      <c r="CP373" s="446"/>
      <c r="CQ373" s="446"/>
      <c r="CR373" s="446"/>
      <c r="CS373" s="446"/>
      <c r="CT373" s="446"/>
      <c r="CU373" s="446"/>
      <c r="CV373" s="446"/>
      <c r="CW373" s="851"/>
      <c r="CX373" s="446"/>
      <c r="CY373" s="446"/>
      <c r="CZ373" s="446"/>
      <c r="DA373" s="446"/>
      <c r="DB373" s="446"/>
      <c r="DC373" s="446"/>
      <c r="DD373" s="446"/>
      <c r="DE373" s="446"/>
      <c r="DF373" s="446"/>
      <c r="DG373" s="446"/>
      <c r="DH373" s="446"/>
      <c r="DI373" s="446"/>
      <c r="DJ373" s="446"/>
      <c r="DK373" s="446"/>
      <c r="DL373" s="446"/>
      <c r="DM373" s="446"/>
      <c r="DN373" s="446"/>
      <c r="DO373" s="446"/>
      <c r="DP373" s="446"/>
      <c r="DQ373" s="446"/>
      <c r="DR373" s="446"/>
      <c r="DS373" s="446"/>
      <c r="DT373" s="446"/>
      <c r="DU373" s="446"/>
      <c r="DV373" s="446"/>
      <c r="DW373" s="446"/>
      <c r="DX373" s="446"/>
      <c r="DY373" s="446"/>
      <c r="DZ373" s="283"/>
    </row>
    <row r="374" spans="2:130" s="223" customFormat="1" x14ac:dyDescent="0.2">
      <c r="B374" s="851"/>
      <c r="C374" s="851"/>
      <c r="D374" s="851"/>
      <c r="E374" s="820"/>
      <c r="F374" s="820"/>
      <c r="G374" s="853"/>
      <c r="H374" s="853"/>
      <c r="I374" s="853"/>
      <c r="J374" s="853"/>
      <c r="K374" s="853"/>
      <c r="L374" s="853"/>
      <c r="M374" s="853"/>
      <c r="N374" s="853"/>
      <c r="O374" s="853"/>
      <c r="P374" s="853"/>
      <c r="Q374" s="853"/>
      <c r="R374" s="853"/>
      <c r="S374" s="854"/>
      <c r="T374" s="853"/>
      <c r="U374" s="853"/>
      <c r="V374" s="853"/>
      <c r="W374" s="853"/>
      <c r="X374" s="853"/>
      <c r="Y374" s="853"/>
      <c r="Z374" s="853"/>
      <c r="AA374" s="853"/>
      <c r="AB374" s="853"/>
      <c r="AC374" s="853"/>
      <c r="AD374" s="853"/>
      <c r="AE374" s="853"/>
      <c r="AF374" s="853"/>
      <c r="AG374" s="853"/>
      <c r="AH374" s="446"/>
      <c r="AI374" s="446"/>
      <c r="AJ374" s="446"/>
      <c r="AK374" s="446"/>
      <c r="AL374" s="446"/>
      <c r="AM374" s="446"/>
      <c r="AN374" s="446"/>
      <c r="AO374" s="446"/>
      <c r="AP374" s="446"/>
      <c r="AQ374" s="446"/>
      <c r="AR374" s="446"/>
      <c r="AS374" s="446"/>
      <c r="AT374" s="446"/>
      <c r="AU374" s="446"/>
      <c r="AV374" s="446"/>
      <c r="AW374" s="446"/>
      <c r="AX374" s="446"/>
      <c r="AY374" s="446"/>
      <c r="AZ374" s="446"/>
      <c r="BA374" s="446"/>
      <c r="BB374" s="446"/>
      <c r="BC374" s="446"/>
      <c r="BD374" s="446"/>
      <c r="BE374" s="446"/>
      <c r="BF374" s="446"/>
      <c r="BG374" s="446"/>
      <c r="BH374" s="446"/>
      <c r="BI374" s="446"/>
      <c r="BJ374" s="446"/>
      <c r="BK374" s="446"/>
      <c r="BL374" s="446"/>
      <c r="BM374" s="446"/>
      <c r="BN374" s="446"/>
      <c r="BO374" s="446"/>
      <c r="BP374" s="446"/>
      <c r="BQ374" s="446"/>
      <c r="BR374" s="446"/>
      <c r="BS374" s="446"/>
      <c r="BT374" s="446"/>
      <c r="BU374" s="562"/>
      <c r="BV374" s="446"/>
      <c r="BW374" s="446"/>
      <c r="BX374" s="446"/>
      <c r="BY374" s="446"/>
      <c r="BZ374" s="446"/>
      <c r="CA374" s="446"/>
      <c r="CB374" s="446"/>
      <c r="CC374" s="446"/>
      <c r="CD374" s="446"/>
      <c r="CE374" s="446"/>
      <c r="CF374" s="446"/>
      <c r="CG374" s="446"/>
      <c r="CH374" s="446"/>
      <c r="CI374" s="446"/>
      <c r="CJ374" s="446"/>
      <c r="CK374" s="446"/>
      <c r="CL374" s="446"/>
      <c r="CM374" s="446"/>
      <c r="CN374" s="446"/>
      <c r="CO374" s="446"/>
      <c r="CP374" s="446"/>
      <c r="CQ374" s="446"/>
      <c r="CR374" s="446"/>
      <c r="CS374" s="446"/>
      <c r="CT374" s="446"/>
      <c r="CU374" s="446"/>
      <c r="CV374" s="446"/>
      <c r="CW374" s="851"/>
      <c r="CX374" s="446"/>
      <c r="CY374" s="446"/>
      <c r="CZ374" s="446"/>
      <c r="DA374" s="446"/>
      <c r="DB374" s="446"/>
      <c r="DC374" s="446"/>
      <c r="DD374" s="446"/>
      <c r="DE374" s="446"/>
      <c r="DF374" s="446"/>
      <c r="DG374" s="446"/>
      <c r="DH374" s="446"/>
      <c r="DI374" s="446"/>
      <c r="DJ374" s="446"/>
      <c r="DK374" s="446"/>
      <c r="DL374" s="446"/>
      <c r="DM374" s="446"/>
      <c r="DN374" s="446"/>
      <c r="DO374" s="446"/>
      <c r="DP374" s="446"/>
      <c r="DQ374" s="446"/>
      <c r="DR374" s="446"/>
      <c r="DS374" s="446"/>
      <c r="DT374" s="446"/>
      <c r="DU374" s="446"/>
      <c r="DV374" s="446"/>
      <c r="DW374" s="446"/>
      <c r="DX374" s="446"/>
      <c r="DY374" s="446"/>
      <c r="DZ374" s="283"/>
    </row>
    <row r="375" spans="2:130" s="223" customFormat="1" x14ac:dyDescent="0.2">
      <c r="B375" s="851"/>
      <c r="C375" s="851"/>
      <c r="D375" s="851"/>
      <c r="E375" s="820"/>
      <c r="F375" s="820"/>
      <c r="G375" s="853"/>
      <c r="H375" s="853"/>
      <c r="I375" s="853"/>
      <c r="J375" s="853"/>
      <c r="K375" s="853"/>
      <c r="L375" s="853"/>
      <c r="M375" s="853"/>
      <c r="N375" s="853"/>
      <c r="O375" s="853"/>
      <c r="P375" s="853"/>
      <c r="Q375" s="853"/>
      <c r="R375" s="853"/>
      <c r="S375" s="854"/>
      <c r="T375" s="853"/>
      <c r="U375" s="853"/>
      <c r="V375" s="853"/>
      <c r="W375" s="853"/>
      <c r="X375" s="853"/>
      <c r="Y375" s="853"/>
      <c r="Z375" s="853"/>
      <c r="AA375" s="853"/>
      <c r="AB375" s="853"/>
      <c r="AC375" s="853"/>
      <c r="AD375" s="853"/>
      <c r="AE375" s="853"/>
      <c r="AF375" s="853"/>
      <c r="AG375" s="853"/>
      <c r="AH375" s="446"/>
      <c r="AI375" s="446"/>
      <c r="AJ375" s="446"/>
      <c r="AK375" s="446"/>
      <c r="AL375" s="446"/>
      <c r="AM375" s="446"/>
      <c r="AN375" s="446"/>
      <c r="AO375" s="446"/>
      <c r="AP375" s="446"/>
      <c r="AQ375" s="446"/>
      <c r="AR375" s="446"/>
      <c r="AS375" s="446"/>
      <c r="AT375" s="446"/>
      <c r="AU375" s="446"/>
      <c r="AV375" s="446"/>
      <c r="AW375" s="446"/>
      <c r="AX375" s="446"/>
      <c r="AY375" s="446"/>
      <c r="AZ375" s="446"/>
      <c r="BA375" s="446"/>
      <c r="BB375" s="446"/>
      <c r="BC375" s="446"/>
      <c r="BD375" s="446"/>
      <c r="BE375" s="446"/>
      <c r="BF375" s="446"/>
      <c r="BG375" s="446"/>
      <c r="BH375" s="446"/>
      <c r="BI375" s="446"/>
      <c r="BJ375" s="446"/>
      <c r="BK375" s="446"/>
      <c r="BL375" s="446"/>
      <c r="BM375" s="446"/>
      <c r="BN375" s="446"/>
      <c r="BO375" s="446"/>
      <c r="BP375" s="446"/>
      <c r="BQ375" s="446"/>
      <c r="BR375" s="446"/>
      <c r="BS375" s="446"/>
      <c r="BT375" s="446"/>
      <c r="BU375" s="562"/>
      <c r="BV375" s="446"/>
      <c r="BW375" s="446"/>
      <c r="BX375" s="446"/>
      <c r="BY375" s="446"/>
      <c r="BZ375" s="446"/>
      <c r="CA375" s="446"/>
      <c r="CB375" s="446"/>
      <c r="CC375" s="446"/>
      <c r="CD375" s="446"/>
      <c r="CE375" s="446"/>
      <c r="CF375" s="446"/>
      <c r="CG375" s="446"/>
      <c r="CH375" s="446"/>
      <c r="CI375" s="446"/>
      <c r="CJ375" s="446"/>
      <c r="CK375" s="446"/>
      <c r="CL375" s="446"/>
      <c r="CM375" s="446"/>
      <c r="CN375" s="446"/>
      <c r="CO375" s="446"/>
      <c r="CP375" s="446"/>
      <c r="CQ375" s="446"/>
      <c r="CR375" s="446"/>
      <c r="CS375" s="446"/>
      <c r="CT375" s="446"/>
      <c r="CU375" s="446"/>
      <c r="CV375" s="446"/>
      <c r="CW375" s="851"/>
      <c r="CX375" s="446"/>
      <c r="CY375" s="446"/>
      <c r="CZ375" s="446"/>
      <c r="DA375" s="446"/>
      <c r="DB375" s="446"/>
      <c r="DC375" s="446"/>
      <c r="DD375" s="446"/>
      <c r="DE375" s="446"/>
      <c r="DF375" s="446"/>
      <c r="DG375" s="446"/>
      <c r="DH375" s="446"/>
      <c r="DI375" s="446"/>
      <c r="DJ375" s="446"/>
      <c r="DK375" s="446"/>
      <c r="DL375" s="446"/>
      <c r="DM375" s="446"/>
      <c r="DN375" s="446"/>
      <c r="DO375" s="446"/>
      <c r="DP375" s="446"/>
      <c r="DQ375" s="446"/>
      <c r="DR375" s="446"/>
      <c r="DS375" s="446"/>
      <c r="DT375" s="446"/>
      <c r="DU375" s="446"/>
      <c r="DV375" s="446"/>
      <c r="DW375" s="446"/>
      <c r="DX375" s="446"/>
      <c r="DY375" s="446"/>
      <c r="DZ375" s="283"/>
    </row>
    <row r="376" spans="2:130" s="223" customFormat="1" x14ac:dyDescent="0.2">
      <c r="B376" s="851"/>
      <c r="C376" s="851"/>
      <c r="D376" s="851"/>
      <c r="E376" s="820"/>
      <c r="F376" s="820"/>
      <c r="G376" s="853"/>
      <c r="H376" s="853"/>
      <c r="I376" s="853"/>
      <c r="J376" s="853"/>
      <c r="K376" s="853"/>
      <c r="L376" s="853"/>
      <c r="M376" s="853"/>
      <c r="N376" s="853"/>
      <c r="O376" s="853"/>
      <c r="P376" s="853"/>
      <c r="Q376" s="853"/>
      <c r="R376" s="853"/>
      <c r="S376" s="854"/>
      <c r="T376" s="853"/>
      <c r="U376" s="853"/>
      <c r="V376" s="853"/>
      <c r="W376" s="853"/>
      <c r="X376" s="853"/>
      <c r="Y376" s="853"/>
      <c r="Z376" s="853"/>
      <c r="AA376" s="853"/>
      <c r="AB376" s="853"/>
      <c r="AC376" s="853"/>
      <c r="AD376" s="853"/>
      <c r="AE376" s="853"/>
      <c r="AF376" s="853"/>
      <c r="AG376" s="853"/>
      <c r="AH376" s="446"/>
      <c r="AI376" s="446"/>
      <c r="AJ376" s="446"/>
      <c r="AK376" s="446"/>
      <c r="AL376" s="446"/>
      <c r="AM376" s="446"/>
      <c r="AN376" s="446"/>
      <c r="AO376" s="446"/>
      <c r="AP376" s="446"/>
      <c r="AQ376" s="446"/>
      <c r="AR376" s="446"/>
      <c r="AS376" s="446"/>
      <c r="AT376" s="446"/>
      <c r="AU376" s="446"/>
      <c r="AV376" s="446"/>
      <c r="AW376" s="446"/>
      <c r="AX376" s="446"/>
      <c r="AY376" s="446"/>
      <c r="AZ376" s="446"/>
      <c r="BA376" s="446"/>
      <c r="BB376" s="446"/>
      <c r="BC376" s="446"/>
      <c r="BD376" s="446"/>
      <c r="BE376" s="446"/>
      <c r="BF376" s="446"/>
      <c r="BG376" s="446"/>
      <c r="BH376" s="446"/>
      <c r="BI376" s="446"/>
      <c r="BJ376" s="446"/>
      <c r="BK376" s="446"/>
      <c r="BL376" s="446"/>
      <c r="BM376" s="446"/>
      <c r="BN376" s="446"/>
      <c r="BO376" s="446"/>
      <c r="BP376" s="446"/>
      <c r="BQ376" s="446"/>
      <c r="BR376" s="446"/>
      <c r="BS376" s="446"/>
      <c r="BT376" s="446"/>
      <c r="BU376" s="562"/>
      <c r="BV376" s="446"/>
      <c r="BW376" s="446"/>
      <c r="BX376" s="446"/>
      <c r="BY376" s="446"/>
      <c r="BZ376" s="446"/>
      <c r="CA376" s="446"/>
      <c r="CB376" s="446"/>
      <c r="CC376" s="446"/>
      <c r="CD376" s="446"/>
      <c r="CE376" s="446"/>
      <c r="CF376" s="446"/>
      <c r="CG376" s="446"/>
      <c r="CH376" s="446"/>
      <c r="CI376" s="446"/>
      <c r="CJ376" s="446"/>
      <c r="CK376" s="446"/>
      <c r="CL376" s="446"/>
      <c r="CM376" s="446"/>
      <c r="CN376" s="446"/>
      <c r="CO376" s="446"/>
      <c r="CP376" s="446"/>
      <c r="CQ376" s="446"/>
      <c r="CR376" s="446"/>
      <c r="CS376" s="446"/>
      <c r="CT376" s="446"/>
      <c r="CU376" s="446"/>
      <c r="CV376" s="446"/>
      <c r="CW376" s="851"/>
      <c r="CX376" s="446"/>
      <c r="CY376" s="446"/>
      <c r="CZ376" s="446"/>
      <c r="DA376" s="446"/>
      <c r="DB376" s="446"/>
      <c r="DC376" s="446"/>
      <c r="DD376" s="446"/>
      <c r="DE376" s="446"/>
      <c r="DF376" s="446"/>
      <c r="DG376" s="446"/>
      <c r="DH376" s="446"/>
      <c r="DI376" s="446"/>
      <c r="DJ376" s="446"/>
      <c r="DK376" s="446"/>
      <c r="DL376" s="446"/>
      <c r="DM376" s="446"/>
      <c r="DN376" s="446"/>
      <c r="DO376" s="446"/>
      <c r="DP376" s="446"/>
      <c r="DQ376" s="446"/>
      <c r="DR376" s="446"/>
      <c r="DS376" s="446"/>
      <c r="DT376" s="446"/>
      <c r="DU376" s="446"/>
      <c r="DV376" s="446"/>
      <c r="DW376" s="446"/>
      <c r="DX376" s="446"/>
      <c r="DY376" s="446"/>
      <c r="DZ376" s="283"/>
    </row>
    <row r="377" spans="2:130" s="223" customFormat="1" x14ac:dyDescent="0.2">
      <c r="B377" s="851"/>
      <c r="C377" s="851"/>
      <c r="D377" s="851"/>
      <c r="E377" s="820"/>
      <c r="F377" s="820"/>
      <c r="G377" s="853"/>
      <c r="H377" s="853"/>
      <c r="I377" s="853"/>
      <c r="J377" s="853"/>
      <c r="K377" s="853"/>
      <c r="L377" s="853"/>
      <c r="M377" s="853"/>
      <c r="N377" s="853"/>
      <c r="O377" s="853"/>
      <c r="P377" s="853"/>
      <c r="Q377" s="853"/>
      <c r="R377" s="853"/>
      <c r="S377" s="854"/>
      <c r="T377" s="853"/>
      <c r="U377" s="853"/>
      <c r="V377" s="853"/>
      <c r="W377" s="853"/>
      <c r="X377" s="853"/>
      <c r="Y377" s="853"/>
      <c r="Z377" s="853"/>
      <c r="AA377" s="853"/>
      <c r="AB377" s="853"/>
      <c r="AC377" s="853"/>
      <c r="AD377" s="853"/>
      <c r="AE377" s="853"/>
      <c r="AF377" s="853"/>
      <c r="AG377" s="853"/>
      <c r="AH377" s="446"/>
      <c r="AI377" s="446"/>
      <c r="AJ377" s="446"/>
      <c r="AK377" s="446"/>
      <c r="AL377" s="446"/>
      <c r="AM377" s="446"/>
      <c r="AN377" s="446"/>
      <c r="AO377" s="446"/>
      <c r="AP377" s="446"/>
      <c r="AQ377" s="446"/>
      <c r="AR377" s="446"/>
      <c r="AS377" s="446"/>
      <c r="AT377" s="446"/>
      <c r="AU377" s="446"/>
      <c r="AV377" s="446"/>
      <c r="AW377" s="446"/>
      <c r="AX377" s="446"/>
      <c r="AY377" s="446"/>
      <c r="AZ377" s="446"/>
      <c r="BA377" s="446"/>
      <c r="BB377" s="446"/>
      <c r="BC377" s="446"/>
      <c r="BD377" s="446"/>
      <c r="BE377" s="446"/>
      <c r="BF377" s="446"/>
      <c r="BG377" s="446"/>
      <c r="BH377" s="446"/>
      <c r="BI377" s="446"/>
      <c r="BJ377" s="446"/>
      <c r="BK377" s="446"/>
      <c r="BL377" s="446"/>
      <c r="BM377" s="446"/>
      <c r="BN377" s="446"/>
      <c r="BO377" s="446"/>
      <c r="BP377" s="446"/>
      <c r="BQ377" s="446"/>
      <c r="BR377" s="446"/>
      <c r="BS377" s="446"/>
      <c r="BT377" s="446"/>
      <c r="BU377" s="562"/>
      <c r="BV377" s="446"/>
      <c r="BW377" s="446"/>
      <c r="BX377" s="446"/>
      <c r="BY377" s="446"/>
      <c r="BZ377" s="446"/>
      <c r="CA377" s="446"/>
      <c r="CB377" s="446"/>
      <c r="CC377" s="446"/>
      <c r="CD377" s="446"/>
      <c r="CE377" s="446"/>
      <c r="CF377" s="446"/>
      <c r="CG377" s="446"/>
      <c r="CH377" s="446"/>
      <c r="CI377" s="446"/>
      <c r="CJ377" s="446"/>
      <c r="CK377" s="446"/>
      <c r="CL377" s="446"/>
      <c r="CM377" s="446"/>
      <c r="CN377" s="446"/>
      <c r="CO377" s="446"/>
      <c r="CP377" s="446"/>
      <c r="CQ377" s="446"/>
      <c r="CR377" s="446"/>
      <c r="CS377" s="446"/>
      <c r="CT377" s="446"/>
      <c r="CU377" s="446"/>
      <c r="CV377" s="446"/>
      <c r="CW377" s="851"/>
      <c r="CX377" s="446"/>
      <c r="CY377" s="446"/>
      <c r="CZ377" s="446"/>
      <c r="DA377" s="446"/>
      <c r="DB377" s="446"/>
      <c r="DC377" s="446"/>
      <c r="DD377" s="446"/>
      <c r="DE377" s="446"/>
      <c r="DF377" s="446"/>
      <c r="DG377" s="446"/>
      <c r="DH377" s="446"/>
      <c r="DI377" s="446"/>
      <c r="DJ377" s="446"/>
      <c r="DK377" s="446"/>
      <c r="DL377" s="446"/>
      <c r="DM377" s="446"/>
      <c r="DN377" s="446"/>
      <c r="DO377" s="446"/>
      <c r="DP377" s="446"/>
      <c r="DQ377" s="446"/>
      <c r="DR377" s="446"/>
      <c r="DS377" s="446"/>
      <c r="DT377" s="446"/>
      <c r="DU377" s="446"/>
      <c r="DV377" s="446"/>
      <c r="DW377" s="446"/>
      <c r="DX377" s="446"/>
      <c r="DY377" s="446"/>
      <c r="DZ377" s="283"/>
    </row>
    <row r="378" spans="2:130" s="223" customFormat="1" x14ac:dyDescent="0.2">
      <c r="D378" s="856"/>
      <c r="E378" s="856"/>
      <c r="F378" s="856"/>
      <c r="G378" s="856"/>
      <c r="H378" s="856"/>
      <c r="I378" s="856"/>
      <c r="J378" s="856"/>
      <c r="K378" s="856"/>
      <c r="L378" s="856"/>
      <c r="M378" s="856"/>
      <c r="N378" s="857"/>
      <c r="O378" s="856"/>
      <c r="P378" s="856"/>
      <c r="Q378" s="858"/>
      <c r="R378" s="858"/>
      <c r="S378" s="859"/>
      <c r="T378" s="856"/>
      <c r="U378" s="856"/>
      <c r="V378" s="856"/>
      <c r="W378" s="856"/>
      <c r="X378" s="856"/>
      <c r="Y378" s="355"/>
      <c r="AB378" s="446"/>
      <c r="AC378" s="446"/>
      <c r="AD378" s="562"/>
      <c r="AE378" s="446"/>
      <c r="AF378" s="446"/>
      <c r="AG378" s="446"/>
      <c r="AH378" s="446"/>
      <c r="AI378" s="446"/>
      <c r="AJ378" s="446"/>
      <c r="AK378" s="446"/>
      <c r="AL378" s="446"/>
      <c r="AM378" s="446"/>
      <c r="AN378" s="446"/>
      <c r="AO378" s="446"/>
      <c r="AP378" s="446"/>
      <c r="AQ378" s="446"/>
      <c r="AR378" s="446"/>
      <c r="AS378" s="446"/>
      <c r="AT378" s="446"/>
      <c r="AU378" s="446"/>
      <c r="AV378" s="446"/>
      <c r="AW378" s="446"/>
      <c r="AX378" s="446"/>
      <c r="AY378" s="446"/>
      <c r="AZ378" s="446"/>
      <c r="BA378" s="446"/>
      <c r="BB378" s="446"/>
      <c r="BC378" s="446"/>
      <c r="BD378" s="446"/>
      <c r="BE378" s="446"/>
      <c r="BF378" s="446"/>
      <c r="BG378" s="446"/>
      <c r="BH378" s="446"/>
      <c r="BI378" s="446"/>
      <c r="BJ378" s="446"/>
      <c r="BK378" s="446"/>
      <c r="BL378" s="446"/>
      <c r="BM378" s="446"/>
      <c r="BN378" s="446"/>
      <c r="BO378" s="446"/>
      <c r="BP378" s="446"/>
      <c r="BQ378" s="446"/>
      <c r="BR378" s="446"/>
      <c r="BS378" s="446"/>
      <c r="BT378" s="446"/>
      <c r="BU378" s="562"/>
      <c r="BV378" s="446"/>
      <c r="BW378" s="446"/>
      <c r="BX378" s="446"/>
      <c r="BY378" s="446"/>
      <c r="BZ378" s="446"/>
      <c r="CA378" s="446"/>
      <c r="CB378" s="446"/>
      <c r="CC378" s="446"/>
      <c r="CD378" s="446"/>
      <c r="CE378" s="446"/>
      <c r="CF378" s="446"/>
      <c r="CG378" s="446"/>
      <c r="CH378" s="446"/>
      <c r="CI378" s="446"/>
      <c r="CJ378" s="446"/>
      <c r="CK378" s="446"/>
      <c r="CL378" s="446"/>
      <c r="CM378" s="446"/>
      <c r="CN378" s="446"/>
      <c r="CO378" s="446"/>
      <c r="CP378" s="446"/>
      <c r="CQ378" s="446"/>
      <c r="CR378" s="446"/>
      <c r="CS378" s="446"/>
      <c r="CT378" s="446"/>
      <c r="CU378" s="446"/>
      <c r="CV378" s="446"/>
      <c r="CW378" s="233"/>
      <c r="CX378" s="446"/>
      <c r="CY378" s="446"/>
      <c r="CZ378" s="446"/>
      <c r="DA378" s="446"/>
      <c r="DB378" s="446"/>
      <c r="DC378" s="446"/>
      <c r="DD378" s="446"/>
      <c r="DE378" s="446"/>
      <c r="DF378" s="446"/>
      <c r="DG378" s="446"/>
      <c r="DH378" s="446"/>
      <c r="DI378" s="446"/>
      <c r="DJ378" s="446"/>
      <c r="DK378" s="446"/>
      <c r="DL378" s="446"/>
      <c r="DM378" s="446"/>
      <c r="DN378" s="446"/>
      <c r="DO378" s="446"/>
      <c r="DP378" s="446"/>
      <c r="DQ378" s="446"/>
      <c r="DR378" s="446"/>
      <c r="DS378" s="446"/>
      <c r="DT378" s="446"/>
      <c r="DU378" s="446"/>
      <c r="DV378" s="446"/>
      <c r="DW378" s="446"/>
      <c r="DX378" s="446"/>
      <c r="DY378" s="446"/>
      <c r="DZ378" s="283"/>
    </row>
    <row r="379" spans="2:130" s="223" customFormat="1" x14ac:dyDescent="0.2">
      <c r="D379" s="856"/>
      <c r="E379" s="856"/>
      <c r="F379" s="856"/>
      <c r="G379" s="856"/>
      <c r="H379" s="856"/>
      <c r="I379" s="856"/>
      <c r="J379" s="856"/>
      <c r="K379" s="856"/>
      <c r="L379" s="856"/>
      <c r="M379" s="856"/>
      <c r="N379" s="857"/>
      <c r="O379" s="856"/>
      <c r="P379" s="856"/>
      <c r="Q379" s="858"/>
      <c r="R379" s="858"/>
      <c r="S379" s="859"/>
      <c r="T379" s="856"/>
      <c r="U379" s="856"/>
      <c r="V379" s="856"/>
      <c r="W379" s="856"/>
      <c r="X379" s="856"/>
      <c r="Y379" s="355"/>
      <c r="AB379" s="446"/>
      <c r="AC379" s="446"/>
      <c r="AD379" s="562"/>
      <c r="AE379" s="446"/>
      <c r="AF379" s="446"/>
      <c r="AG379" s="446"/>
      <c r="AH379" s="446"/>
      <c r="AI379" s="446"/>
      <c r="AJ379" s="446"/>
      <c r="AK379" s="446"/>
      <c r="AL379" s="446"/>
      <c r="AM379" s="446"/>
      <c r="AN379" s="446"/>
      <c r="AO379" s="446"/>
      <c r="AP379" s="446"/>
      <c r="AQ379" s="446"/>
      <c r="AR379" s="446"/>
      <c r="AS379" s="446"/>
      <c r="AT379" s="446"/>
      <c r="AU379" s="446"/>
      <c r="AV379" s="446"/>
      <c r="AW379" s="446"/>
      <c r="AX379" s="446"/>
      <c r="AY379" s="446"/>
      <c r="AZ379" s="446"/>
      <c r="BA379" s="446"/>
      <c r="BB379" s="446"/>
      <c r="BC379" s="446"/>
      <c r="BD379" s="446"/>
      <c r="BE379" s="446"/>
      <c r="BF379" s="446"/>
      <c r="BG379" s="446"/>
      <c r="BH379" s="446"/>
      <c r="BI379" s="446"/>
      <c r="BJ379" s="446"/>
      <c r="BK379" s="446"/>
      <c r="BL379" s="446"/>
      <c r="BM379" s="446"/>
      <c r="BN379" s="446"/>
      <c r="BO379" s="446"/>
      <c r="BP379" s="446"/>
      <c r="BQ379" s="446"/>
      <c r="BR379" s="446"/>
      <c r="BS379" s="446"/>
      <c r="BT379" s="446"/>
      <c r="BU379" s="562"/>
      <c r="BV379" s="446"/>
      <c r="BW379" s="446"/>
      <c r="BX379" s="446"/>
      <c r="BY379" s="446"/>
      <c r="BZ379" s="446"/>
      <c r="CA379" s="446"/>
      <c r="CB379" s="446"/>
      <c r="CC379" s="446"/>
      <c r="CD379" s="446"/>
      <c r="CE379" s="446"/>
      <c r="CF379" s="446"/>
      <c r="CG379" s="446"/>
      <c r="CH379" s="446"/>
      <c r="CI379" s="446"/>
      <c r="CJ379" s="446"/>
      <c r="CK379" s="446"/>
      <c r="CL379" s="446"/>
      <c r="CM379" s="446"/>
      <c r="CN379" s="446"/>
      <c r="CO379" s="446"/>
      <c r="CP379" s="446"/>
      <c r="CQ379" s="446"/>
      <c r="CR379" s="446"/>
      <c r="CS379" s="446"/>
      <c r="CT379" s="446"/>
      <c r="CU379" s="446"/>
      <c r="CV379" s="446"/>
      <c r="CW379" s="233"/>
      <c r="CX379" s="446"/>
      <c r="CY379" s="446"/>
      <c r="CZ379" s="446"/>
      <c r="DA379" s="446"/>
      <c r="DB379" s="446"/>
      <c r="DC379" s="446"/>
      <c r="DD379" s="446"/>
      <c r="DE379" s="446"/>
      <c r="DF379" s="446"/>
      <c r="DG379" s="446"/>
      <c r="DH379" s="446"/>
      <c r="DI379" s="446"/>
      <c r="DJ379" s="446"/>
      <c r="DK379" s="446"/>
      <c r="DL379" s="446"/>
      <c r="DM379" s="446"/>
      <c r="DN379" s="446"/>
      <c r="DO379" s="446"/>
      <c r="DP379" s="446"/>
      <c r="DQ379" s="446"/>
      <c r="DR379" s="446"/>
      <c r="DS379" s="446"/>
      <c r="DT379" s="446"/>
      <c r="DU379" s="446"/>
      <c r="DV379" s="446"/>
      <c r="DW379" s="446"/>
      <c r="DX379" s="446"/>
      <c r="DY379" s="446"/>
      <c r="DZ379" s="283"/>
    </row>
    <row r="380" spans="2:130" s="223" customFormat="1" x14ac:dyDescent="0.2">
      <c r="D380" s="856"/>
      <c r="E380" s="856"/>
      <c r="F380" s="856"/>
      <c r="G380" s="856"/>
      <c r="H380" s="856"/>
      <c r="I380" s="856"/>
      <c r="J380" s="856"/>
      <c r="K380" s="856"/>
      <c r="L380" s="856"/>
      <c r="M380" s="856"/>
      <c r="N380" s="857"/>
      <c r="O380" s="856"/>
      <c r="P380" s="856"/>
      <c r="Q380" s="858"/>
      <c r="R380" s="858"/>
      <c r="S380" s="859"/>
      <c r="T380" s="856"/>
      <c r="U380" s="856"/>
      <c r="V380" s="856"/>
      <c r="W380" s="856"/>
      <c r="X380" s="856"/>
      <c r="Y380" s="355"/>
      <c r="AB380" s="446"/>
      <c r="AC380" s="446"/>
      <c r="AD380" s="562"/>
      <c r="AE380" s="446"/>
      <c r="AF380" s="446"/>
      <c r="AG380" s="446"/>
      <c r="AH380" s="446"/>
      <c r="AI380" s="446"/>
      <c r="AJ380" s="446"/>
      <c r="AK380" s="446"/>
      <c r="AL380" s="446"/>
      <c r="AM380" s="446"/>
      <c r="AN380" s="446"/>
      <c r="AO380" s="446"/>
      <c r="AP380" s="446"/>
      <c r="AQ380" s="446"/>
      <c r="AR380" s="446"/>
      <c r="AS380" s="446"/>
      <c r="AT380" s="446"/>
      <c r="AU380" s="446"/>
      <c r="AV380" s="446"/>
      <c r="AW380" s="446"/>
      <c r="AX380" s="446"/>
      <c r="AY380" s="446"/>
      <c r="AZ380" s="446"/>
      <c r="BA380" s="446"/>
      <c r="BB380" s="446"/>
      <c r="BC380" s="446"/>
      <c r="BD380" s="446"/>
      <c r="BE380" s="446"/>
      <c r="BF380" s="446"/>
      <c r="BG380" s="446"/>
      <c r="BH380" s="446"/>
      <c r="BI380" s="446"/>
      <c r="BJ380" s="446"/>
      <c r="BK380" s="446"/>
      <c r="BL380" s="446"/>
      <c r="BM380" s="446"/>
      <c r="BN380" s="446"/>
      <c r="BO380" s="446"/>
      <c r="BP380" s="446"/>
      <c r="BQ380" s="446"/>
      <c r="BR380" s="446"/>
      <c r="BS380" s="446"/>
      <c r="BT380" s="446"/>
      <c r="BU380" s="562"/>
      <c r="BV380" s="446"/>
      <c r="BW380" s="446"/>
      <c r="BX380" s="446"/>
      <c r="BY380" s="446"/>
      <c r="BZ380" s="446"/>
      <c r="CA380" s="446"/>
      <c r="CB380" s="446"/>
      <c r="CC380" s="446"/>
      <c r="CD380" s="446"/>
      <c r="CE380" s="446"/>
      <c r="CF380" s="446"/>
      <c r="CG380" s="446"/>
      <c r="CH380" s="446"/>
      <c r="CI380" s="446"/>
      <c r="CJ380" s="446"/>
      <c r="CK380" s="446"/>
      <c r="CL380" s="446"/>
      <c r="CM380" s="446"/>
      <c r="CN380" s="446"/>
      <c r="CO380" s="446"/>
      <c r="CP380" s="446"/>
      <c r="CQ380" s="446"/>
      <c r="CR380" s="446"/>
      <c r="CS380" s="446"/>
      <c r="CT380" s="446"/>
      <c r="CU380" s="446"/>
      <c r="CV380" s="446"/>
      <c r="CW380" s="233"/>
      <c r="CX380" s="446"/>
      <c r="CY380" s="446"/>
      <c r="CZ380" s="446"/>
      <c r="DA380" s="446"/>
      <c r="DB380" s="446"/>
      <c r="DC380" s="446"/>
      <c r="DD380" s="446"/>
      <c r="DE380" s="446"/>
      <c r="DF380" s="446"/>
      <c r="DG380" s="446"/>
      <c r="DH380" s="446"/>
      <c r="DI380" s="446"/>
      <c r="DJ380" s="446"/>
      <c r="DK380" s="446"/>
      <c r="DL380" s="446"/>
      <c r="DM380" s="446"/>
      <c r="DN380" s="446"/>
      <c r="DO380" s="446"/>
      <c r="DP380" s="446"/>
      <c r="DQ380" s="446"/>
      <c r="DR380" s="446"/>
      <c r="DS380" s="446"/>
      <c r="DT380" s="446"/>
      <c r="DU380" s="446"/>
      <c r="DV380" s="446"/>
      <c r="DW380" s="446"/>
      <c r="DX380" s="446"/>
      <c r="DY380" s="446"/>
      <c r="DZ380" s="283"/>
    </row>
    <row r="381" spans="2:130" s="223" customFormat="1" x14ac:dyDescent="0.2">
      <c r="D381" s="856"/>
      <c r="E381" s="856"/>
      <c r="F381" s="856"/>
      <c r="G381" s="856"/>
      <c r="H381" s="856"/>
      <c r="I381" s="856"/>
      <c r="J381" s="856"/>
      <c r="K381" s="856"/>
      <c r="L381" s="856"/>
      <c r="M381" s="856"/>
      <c r="N381" s="857"/>
      <c r="O381" s="856"/>
      <c r="P381" s="856"/>
      <c r="Q381" s="858"/>
      <c r="R381" s="858"/>
      <c r="S381" s="859"/>
      <c r="T381" s="856"/>
      <c r="U381" s="856"/>
      <c r="V381" s="856"/>
      <c r="W381" s="856"/>
      <c r="X381" s="856"/>
      <c r="Y381" s="355"/>
      <c r="AB381" s="446"/>
      <c r="AC381" s="446"/>
      <c r="AD381" s="562"/>
      <c r="AE381" s="446"/>
      <c r="AF381" s="446"/>
      <c r="AG381" s="446"/>
      <c r="AH381" s="446"/>
      <c r="AI381" s="446"/>
      <c r="AJ381" s="446"/>
      <c r="AK381" s="446"/>
      <c r="AL381" s="446"/>
      <c r="AM381" s="446"/>
      <c r="AN381" s="446"/>
      <c r="AO381" s="446"/>
      <c r="AP381" s="446"/>
      <c r="AQ381" s="446"/>
      <c r="AR381" s="446"/>
      <c r="AS381" s="446"/>
      <c r="AT381" s="446"/>
      <c r="AU381" s="446"/>
      <c r="AV381" s="446"/>
      <c r="AW381" s="446"/>
      <c r="AX381" s="446"/>
      <c r="AY381" s="446"/>
      <c r="AZ381" s="446"/>
      <c r="BA381" s="446"/>
      <c r="BB381" s="446"/>
      <c r="BC381" s="446"/>
      <c r="BD381" s="446"/>
      <c r="BE381" s="446"/>
      <c r="BF381" s="446"/>
      <c r="BG381" s="446"/>
      <c r="BH381" s="446"/>
      <c r="BI381" s="446"/>
      <c r="BJ381" s="446"/>
      <c r="BK381" s="446"/>
      <c r="BL381" s="446"/>
      <c r="BM381" s="446"/>
      <c r="BN381" s="446"/>
      <c r="BO381" s="446"/>
      <c r="BP381" s="446"/>
      <c r="BQ381" s="446"/>
      <c r="BR381" s="446"/>
      <c r="BS381" s="446"/>
      <c r="BT381" s="446"/>
      <c r="BU381" s="562"/>
      <c r="BV381" s="446"/>
      <c r="BW381" s="446"/>
      <c r="BX381" s="446"/>
      <c r="BY381" s="446"/>
      <c r="BZ381" s="446"/>
      <c r="CA381" s="446"/>
      <c r="CB381" s="446"/>
      <c r="CC381" s="446"/>
      <c r="CD381" s="446"/>
      <c r="CE381" s="446"/>
      <c r="CF381" s="446"/>
      <c r="CG381" s="446"/>
      <c r="CH381" s="446"/>
      <c r="CI381" s="446"/>
      <c r="CJ381" s="446"/>
      <c r="CK381" s="446"/>
      <c r="CL381" s="446"/>
      <c r="CM381" s="446"/>
      <c r="CN381" s="446"/>
      <c r="CO381" s="446"/>
      <c r="CP381" s="446"/>
      <c r="CQ381" s="446"/>
      <c r="CR381" s="446"/>
      <c r="CS381" s="446"/>
      <c r="CT381" s="446"/>
      <c r="CU381" s="446"/>
      <c r="CV381" s="446"/>
      <c r="CW381" s="233"/>
      <c r="CX381" s="446"/>
      <c r="CY381" s="446"/>
      <c r="CZ381" s="446"/>
      <c r="DA381" s="446"/>
      <c r="DB381" s="446"/>
      <c r="DC381" s="446"/>
      <c r="DD381" s="446"/>
      <c r="DE381" s="446"/>
      <c r="DF381" s="446"/>
      <c r="DG381" s="446"/>
      <c r="DH381" s="446"/>
      <c r="DI381" s="446"/>
      <c r="DJ381" s="446"/>
      <c r="DK381" s="446"/>
      <c r="DL381" s="446"/>
      <c r="DM381" s="446"/>
      <c r="DN381" s="446"/>
      <c r="DO381" s="446"/>
      <c r="DP381" s="446"/>
      <c r="DQ381" s="446"/>
      <c r="DR381" s="446"/>
      <c r="DS381" s="446"/>
      <c r="DT381" s="446"/>
      <c r="DU381" s="446"/>
      <c r="DV381" s="446"/>
      <c r="DW381" s="446"/>
      <c r="DX381" s="446"/>
      <c r="DY381" s="446"/>
      <c r="DZ381" s="283"/>
    </row>
    <row r="382" spans="2:130" s="223" customFormat="1" x14ac:dyDescent="0.2">
      <c r="D382" s="856"/>
      <c r="E382" s="856"/>
      <c r="F382" s="856"/>
      <c r="G382" s="856"/>
      <c r="H382" s="856"/>
      <c r="I382" s="856"/>
      <c r="J382" s="856"/>
      <c r="K382" s="856"/>
      <c r="L382" s="856"/>
      <c r="M382" s="856"/>
      <c r="N382" s="857"/>
      <c r="O382" s="856"/>
      <c r="P382" s="856"/>
      <c r="Q382" s="858"/>
      <c r="R382" s="858"/>
      <c r="S382" s="859"/>
      <c r="T382" s="856"/>
      <c r="U382" s="856"/>
      <c r="V382" s="856"/>
      <c r="W382" s="856"/>
      <c r="X382" s="856"/>
      <c r="Y382" s="355"/>
      <c r="AB382" s="446"/>
      <c r="AC382" s="446"/>
      <c r="AD382" s="562"/>
      <c r="AE382" s="446"/>
      <c r="AF382" s="446"/>
      <c r="AG382" s="446"/>
      <c r="AH382" s="446"/>
      <c r="AI382" s="446"/>
      <c r="AJ382" s="446"/>
      <c r="AK382" s="446"/>
      <c r="AL382" s="446"/>
      <c r="AM382" s="446"/>
      <c r="AN382" s="446"/>
      <c r="AO382" s="446"/>
      <c r="AP382" s="446"/>
      <c r="AQ382" s="446"/>
      <c r="AR382" s="446"/>
      <c r="AS382" s="446"/>
      <c r="AT382" s="446"/>
      <c r="AU382" s="446"/>
      <c r="AV382" s="446"/>
      <c r="AW382" s="446"/>
      <c r="AX382" s="446"/>
      <c r="AY382" s="446"/>
      <c r="AZ382" s="446"/>
      <c r="BA382" s="446"/>
      <c r="BB382" s="446"/>
      <c r="BC382" s="446"/>
      <c r="BD382" s="446"/>
      <c r="BE382" s="446"/>
      <c r="BF382" s="446"/>
      <c r="BG382" s="446"/>
      <c r="BH382" s="446"/>
      <c r="BI382" s="446"/>
      <c r="BJ382" s="446"/>
      <c r="BK382" s="446"/>
      <c r="BL382" s="446"/>
      <c r="BM382" s="446"/>
      <c r="BN382" s="446"/>
      <c r="BO382" s="446"/>
      <c r="BP382" s="446"/>
      <c r="BQ382" s="446"/>
      <c r="BR382" s="446"/>
      <c r="BS382" s="446"/>
      <c r="BT382" s="446"/>
      <c r="BU382" s="562"/>
      <c r="BV382" s="446"/>
      <c r="BW382" s="446"/>
      <c r="BX382" s="446"/>
      <c r="BY382" s="446"/>
      <c r="BZ382" s="446"/>
      <c r="CA382" s="446"/>
      <c r="CB382" s="446"/>
      <c r="CC382" s="446"/>
      <c r="CD382" s="446"/>
      <c r="CE382" s="446"/>
      <c r="CF382" s="446"/>
      <c r="CG382" s="446"/>
      <c r="CH382" s="446"/>
      <c r="CI382" s="446"/>
      <c r="CJ382" s="446"/>
      <c r="CK382" s="446"/>
      <c r="CL382" s="446"/>
      <c r="CM382" s="446"/>
      <c r="CN382" s="446"/>
      <c r="CO382" s="446"/>
      <c r="CP382" s="446"/>
      <c r="CQ382" s="446"/>
      <c r="CR382" s="446"/>
      <c r="CS382" s="446"/>
      <c r="CT382" s="446"/>
      <c r="CU382" s="446"/>
      <c r="CV382" s="446"/>
      <c r="CW382" s="233"/>
      <c r="CX382" s="446"/>
      <c r="CY382" s="446"/>
      <c r="CZ382" s="446"/>
      <c r="DA382" s="446"/>
      <c r="DB382" s="446"/>
      <c r="DC382" s="446"/>
      <c r="DD382" s="446"/>
      <c r="DE382" s="446"/>
      <c r="DF382" s="446"/>
      <c r="DG382" s="446"/>
      <c r="DH382" s="446"/>
      <c r="DI382" s="446"/>
      <c r="DJ382" s="446"/>
      <c r="DK382" s="446"/>
      <c r="DL382" s="446"/>
      <c r="DM382" s="446"/>
      <c r="DN382" s="446"/>
      <c r="DO382" s="446"/>
      <c r="DP382" s="446"/>
      <c r="DQ382" s="446"/>
      <c r="DR382" s="446"/>
      <c r="DS382" s="446"/>
      <c r="DT382" s="446"/>
      <c r="DU382" s="446"/>
      <c r="DV382" s="446"/>
      <c r="DW382" s="446"/>
      <c r="DX382" s="446"/>
      <c r="DY382" s="446"/>
      <c r="DZ382" s="283"/>
    </row>
    <row r="383" spans="2:130" s="223" customFormat="1" x14ac:dyDescent="0.2">
      <c r="D383" s="856"/>
      <c r="E383" s="856"/>
      <c r="F383" s="856"/>
      <c r="G383" s="856"/>
      <c r="H383" s="856"/>
      <c r="I383" s="856"/>
      <c r="J383" s="856"/>
      <c r="K383" s="856"/>
      <c r="L383" s="856"/>
      <c r="M383" s="856"/>
      <c r="N383" s="857"/>
      <c r="O383" s="856"/>
      <c r="P383" s="856"/>
      <c r="Q383" s="858"/>
      <c r="R383" s="858"/>
      <c r="S383" s="859"/>
      <c r="T383" s="856"/>
      <c r="U383" s="856"/>
      <c r="V383" s="856"/>
      <c r="W383" s="856"/>
      <c r="X383" s="856"/>
      <c r="Y383" s="355"/>
      <c r="AB383" s="446"/>
      <c r="AC383" s="446"/>
      <c r="AD383" s="562"/>
      <c r="AE383" s="446"/>
      <c r="AF383" s="446"/>
      <c r="AG383" s="446"/>
      <c r="AH383" s="446"/>
      <c r="AI383" s="446"/>
      <c r="AJ383" s="446"/>
      <c r="AK383" s="446"/>
      <c r="AL383" s="446"/>
      <c r="AM383" s="446"/>
      <c r="AN383" s="446"/>
      <c r="AO383" s="446"/>
      <c r="AP383" s="446"/>
      <c r="AQ383" s="446"/>
      <c r="AR383" s="446"/>
      <c r="AS383" s="446"/>
      <c r="AT383" s="446"/>
      <c r="AU383" s="446"/>
      <c r="AV383" s="446"/>
      <c r="AW383" s="446"/>
      <c r="AX383" s="446"/>
      <c r="AY383" s="446"/>
      <c r="AZ383" s="446"/>
      <c r="BA383" s="446"/>
      <c r="BB383" s="446"/>
      <c r="BC383" s="446"/>
      <c r="BD383" s="446"/>
      <c r="BE383" s="446"/>
      <c r="BF383" s="446"/>
      <c r="BG383" s="446"/>
      <c r="BH383" s="446"/>
      <c r="BI383" s="446"/>
      <c r="BJ383" s="446"/>
      <c r="BK383" s="446"/>
      <c r="BL383" s="446"/>
      <c r="BM383" s="446"/>
      <c r="BN383" s="446"/>
      <c r="BO383" s="446"/>
      <c r="BP383" s="446"/>
      <c r="BQ383" s="446"/>
      <c r="BR383" s="446"/>
      <c r="BS383" s="446"/>
      <c r="BT383" s="446"/>
      <c r="BU383" s="562"/>
      <c r="BV383" s="446"/>
      <c r="BW383" s="446"/>
      <c r="BX383" s="446"/>
      <c r="BY383" s="446"/>
      <c r="BZ383" s="446"/>
      <c r="CA383" s="446"/>
      <c r="CB383" s="446"/>
      <c r="CC383" s="446"/>
      <c r="CD383" s="446"/>
      <c r="CE383" s="446"/>
      <c r="CF383" s="446"/>
      <c r="CG383" s="446"/>
      <c r="CH383" s="446"/>
      <c r="CI383" s="446"/>
      <c r="CJ383" s="446"/>
      <c r="CK383" s="446"/>
      <c r="CL383" s="446"/>
      <c r="CM383" s="446"/>
      <c r="CN383" s="446"/>
      <c r="CO383" s="446"/>
      <c r="CP383" s="446"/>
      <c r="CQ383" s="446"/>
      <c r="CR383" s="446"/>
      <c r="CS383" s="446"/>
      <c r="CT383" s="446"/>
      <c r="CU383" s="446"/>
      <c r="CV383" s="446"/>
      <c r="CW383" s="233"/>
      <c r="CX383" s="446"/>
      <c r="CY383" s="446"/>
      <c r="CZ383" s="446"/>
      <c r="DA383" s="446"/>
      <c r="DB383" s="446"/>
      <c r="DC383" s="446"/>
      <c r="DD383" s="446"/>
      <c r="DE383" s="446"/>
      <c r="DF383" s="446"/>
      <c r="DG383" s="446"/>
      <c r="DH383" s="446"/>
      <c r="DI383" s="446"/>
      <c r="DJ383" s="446"/>
      <c r="DK383" s="446"/>
      <c r="DL383" s="446"/>
      <c r="DM383" s="446"/>
      <c r="DN383" s="446"/>
      <c r="DO383" s="446"/>
      <c r="DP383" s="446"/>
      <c r="DQ383" s="446"/>
      <c r="DR383" s="446"/>
      <c r="DS383" s="446"/>
      <c r="DT383" s="446"/>
      <c r="DU383" s="446"/>
      <c r="DV383" s="446"/>
      <c r="DW383" s="446"/>
      <c r="DX383" s="446"/>
      <c r="DY383" s="446"/>
      <c r="DZ383" s="283"/>
    </row>
    <row r="384" spans="2:130" s="223" customFormat="1" x14ac:dyDescent="0.2">
      <c r="D384" s="856"/>
      <c r="E384" s="856"/>
      <c r="F384" s="856"/>
      <c r="G384" s="856"/>
      <c r="H384" s="856"/>
      <c r="I384" s="856"/>
      <c r="J384" s="856"/>
      <c r="K384" s="856"/>
      <c r="L384" s="856"/>
      <c r="M384" s="856"/>
      <c r="N384" s="857"/>
      <c r="O384" s="856"/>
      <c r="P384" s="856"/>
      <c r="Q384" s="858"/>
      <c r="R384" s="858"/>
      <c r="S384" s="859"/>
      <c r="T384" s="856"/>
      <c r="U384" s="856"/>
      <c r="V384" s="856"/>
      <c r="W384" s="856"/>
      <c r="X384" s="856"/>
      <c r="Y384" s="355"/>
      <c r="AB384" s="446"/>
      <c r="AC384" s="446"/>
      <c r="AD384" s="562"/>
      <c r="AE384" s="446"/>
      <c r="AF384" s="446"/>
      <c r="AG384" s="446"/>
      <c r="AH384" s="446"/>
      <c r="AI384" s="446"/>
      <c r="AJ384" s="446"/>
      <c r="AK384" s="446"/>
      <c r="AL384" s="446"/>
      <c r="AM384" s="446"/>
      <c r="AN384" s="446"/>
      <c r="AO384" s="446"/>
      <c r="AP384" s="446"/>
      <c r="AQ384" s="446"/>
      <c r="AR384" s="446"/>
      <c r="AS384" s="446"/>
      <c r="AT384" s="446"/>
      <c r="AU384" s="446"/>
      <c r="AV384" s="446"/>
      <c r="AW384" s="446"/>
      <c r="AX384" s="446"/>
      <c r="AY384" s="446"/>
      <c r="AZ384" s="446"/>
      <c r="BA384" s="446"/>
      <c r="BB384" s="446"/>
      <c r="BC384" s="446"/>
      <c r="BD384" s="446"/>
      <c r="BE384" s="446"/>
      <c r="BF384" s="446"/>
      <c r="BG384" s="446"/>
      <c r="BH384" s="446"/>
      <c r="BI384" s="446"/>
      <c r="BJ384" s="446"/>
      <c r="BK384" s="446"/>
      <c r="BL384" s="446"/>
      <c r="BM384" s="446"/>
      <c r="BN384" s="446"/>
      <c r="BO384" s="446"/>
      <c r="BP384" s="446"/>
      <c r="BQ384" s="446"/>
      <c r="BR384" s="446"/>
      <c r="BS384" s="446"/>
      <c r="BT384" s="446"/>
      <c r="BU384" s="562"/>
      <c r="BV384" s="446"/>
      <c r="BW384" s="446"/>
      <c r="BX384" s="446"/>
      <c r="BY384" s="446"/>
      <c r="BZ384" s="446"/>
      <c r="CA384" s="446"/>
      <c r="CB384" s="446"/>
      <c r="CC384" s="446"/>
      <c r="CD384" s="446"/>
      <c r="CE384" s="446"/>
      <c r="CF384" s="446"/>
      <c r="CG384" s="446"/>
      <c r="CH384" s="446"/>
      <c r="CI384" s="446"/>
      <c r="CJ384" s="446"/>
      <c r="CK384" s="446"/>
      <c r="CL384" s="446"/>
      <c r="CM384" s="446"/>
      <c r="CN384" s="446"/>
      <c r="CO384" s="446"/>
      <c r="CP384" s="446"/>
      <c r="CQ384" s="446"/>
      <c r="CR384" s="446"/>
      <c r="CS384" s="446"/>
      <c r="CT384" s="446"/>
      <c r="CU384" s="446"/>
      <c r="CV384" s="446"/>
      <c r="CW384" s="233"/>
      <c r="CX384" s="446"/>
      <c r="CY384" s="446"/>
      <c r="CZ384" s="446"/>
      <c r="DA384" s="446"/>
      <c r="DB384" s="446"/>
      <c r="DC384" s="446"/>
      <c r="DD384" s="446"/>
      <c r="DE384" s="446"/>
      <c r="DF384" s="446"/>
      <c r="DG384" s="446"/>
      <c r="DH384" s="446"/>
      <c r="DI384" s="446"/>
      <c r="DJ384" s="446"/>
      <c r="DK384" s="446"/>
      <c r="DL384" s="446"/>
      <c r="DM384" s="446"/>
      <c r="DN384" s="446"/>
      <c r="DO384" s="446"/>
      <c r="DP384" s="446"/>
      <c r="DQ384" s="446"/>
      <c r="DR384" s="446"/>
      <c r="DS384" s="446"/>
      <c r="DT384" s="446"/>
      <c r="DU384" s="446"/>
      <c r="DV384" s="446"/>
      <c r="DW384" s="446"/>
      <c r="DX384" s="446"/>
      <c r="DY384" s="446"/>
      <c r="DZ384" s="283"/>
    </row>
    <row r="385" spans="4:130" s="223" customFormat="1" x14ac:dyDescent="0.2">
      <c r="D385" s="856"/>
      <c r="E385" s="856"/>
      <c r="F385" s="856"/>
      <c r="G385" s="856"/>
      <c r="H385" s="856"/>
      <c r="I385" s="856"/>
      <c r="J385" s="856"/>
      <c r="K385" s="856"/>
      <c r="L385" s="856"/>
      <c r="M385" s="856"/>
      <c r="N385" s="857"/>
      <c r="O385" s="856"/>
      <c r="P385" s="856"/>
      <c r="Q385" s="858"/>
      <c r="R385" s="858"/>
      <c r="S385" s="859"/>
      <c r="T385" s="856"/>
      <c r="U385" s="856"/>
      <c r="V385" s="856"/>
      <c r="W385" s="856"/>
      <c r="X385" s="856"/>
      <c r="Y385" s="355"/>
      <c r="AB385" s="446"/>
      <c r="AC385" s="446"/>
      <c r="AD385" s="562"/>
      <c r="AE385" s="446"/>
      <c r="AF385" s="446"/>
      <c r="AG385" s="446"/>
      <c r="AH385" s="446"/>
      <c r="AI385" s="446"/>
      <c r="AJ385" s="446"/>
      <c r="AK385" s="446"/>
      <c r="AL385" s="446"/>
      <c r="AM385" s="446"/>
      <c r="AN385" s="446"/>
      <c r="AO385" s="446"/>
      <c r="AP385" s="446"/>
      <c r="AQ385" s="446"/>
      <c r="AR385" s="446"/>
      <c r="AS385" s="446"/>
      <c r="AT385" s="446"/>
      <c r="AU385" s="446"/>
      <c r="AV385" s="446"/>
      <c r="AW385" s="446"/>
      <c r="AX385" s="446"/>
      <c r="AY385" s="446"/>
      <c r="AZ385" s="446"/>
      <c r="BA385" s="446"/>
      <c r="BB385" s="446"/>
      <c r="BC385" s="446"/>
      <c r="BD385" s="446"/>
      <c r="BE385" s="446"/>
      <c r="BF385" s="446"/>
      <c r="BG385" s="446"/>
      <c r="BH385" s="446"/>
      <c r="BI385" s="446"/>
      <c r="BJ385" s="446"/>
      <c r="BK385" s="446"/>
      <c r="BL385" s="446"/>
      <c r="BM385" s="446"/>
      <c r="BN385" s="446"/>
      <c r="BO385" s="446"/>
      <c r="BP385" s="446"/>
      <c r="BQ385" s="446"/>
      <c r="BR385" s="446"/>
      <c r="BS385" s="446"/>
      <c r="BT385" s="446"/>
      <c r="BU385" s="562"/>
      <c r="BV385" s="446"/>
      <c r="BW385" s="446"/>
      <c r="BX385" s="446"/>
      <c r="BY385" s="446"/>
      <c r="BZ385" s="446"/>
      <c r="CA385" s="446"/>
      <c r="CB385" s="446"/>
      <c r="CC385" s="446"/>
      <c r="CD385" s="446"/>
      <c r="CE385" s="446"/>
      <c r="CF385" s="446"/>
      <c r="CG385" s="446"/>
      <c r="CH385" s="446"/>
      <c r="CI385" s="446"/>
      <c r="CJ385" s="446"/>
      <c r="CK385" s="446"/>
      <c r="CL385" s="446"/>
      <c r="CM385" s="446"/>
      <c r="CN385" s="446"/>
      <c r="CO385" s="446"/>
      <c r="CP385" s="446"/>
      <c r="CQ385" s="446"/>
      <c r="CR385" s="446"/>
      <c r="CS385" s="446"/>
      <c r="CT385" s="446"/>
      <c r="CU385" s="446"/>
      <c r="CV385" s="446"/>
      <c r="CW385" s="233"/>
      <c r="CX385" s="446"/>
      <c r="CY385" s="446"/>
      <c r="CZ385" s="446"/>
      <c r="DA385" s="446"/>
      <c r="DB385" s="446"/>
      <c r="DC385" s="446"/>
      <c r="DD385" s="446"/>
      <c r="DE385" s="446"/>
      <c r="DF385" s="446"/>
      <c r="DG385" s="446"/>
      <c r="DH385" s="446"/>
      <c r="DI385" s="446"/>
      <c r="DJ385" s="446"/>
      <c r="DK385" s="446"/>
      <c r="DL385" s="446"/>
      <c r="DM385" s="446"/>
      <c r="DN385" s="446"/>
      <c r="DO385" s="446"/>
      <c r="DP385" s="446"/>
      <c r="DQ385" s="446"/>
      <c r="DR385" s="446"/>
      <c r="DS385" s="446"/>
      <c r="DT385" s="446"/>
      <c r="DU385" s="446"/>
      <c r="DV385" s="446"/>
      <c r="DW385" s="446"/>
      <c r="DX385" s="446"/>
      <c r="DY385" s="446"/>
      <c r="DZ385" s="283"/>
    </row>
    <row r="386" spans="4:130" s="223" customFormat="1" x14ac:dyDescent="0.2">
      <c r="D386" s="856"/>
      <c r="E386" s="856"/>
      <c r="F386" s="856"/>
      <c r="G386" s="856"/>
      <c r="H386" s="856"/>
      <c r="I386" s="856"/>
      <c r="J386" s="856"/>
      <c r="K386" s="856"/>
      <c r="L386" s="856"/>
      <c r="M386" s="856"/>
      <c r="N386" s="857"/>
      <c r="O386" s="856"/>
      <c r="P386" s="856"/>
      <c r="Q386" s="858"/>
      <c r="R386" s="858"/>
      <c r="S386" s="859"/>
      <c r="T386" s="856"/>
      <c r="U386" s="856"/>
      <c r="V386" s="856"/>
      <c r="W386" s="856"/>
      <c r="X386" s="856"/>
      <c r="Y386" s="355"/>
      <c r="AB386" s="446"/>
      <c r="AC386" s="446"/>
      <c r="AD386" s="562"/>
      <c r="AE386" s="446"/>
      <c r="AF386" s="446"/>
      <c r="AG386" s="446"/>
      <c r="AH386" s="446"/>
      <c r="AI386" s="446"/>
      <c r="AJ386" s="446"/>
      <c r="AK386" s="446"/>
      <c r="AL386" s="446"/>
      <c r="AM386" s="446"/>
      <c r="AN386" s="446"/>
      <c r="AO386" s="446"/>
      <c r="AP386" s="446"/>
      <c r="AQ386" s="446"/>
      <c r="AR386" s="446"/>
      <c r="AS386" s="446"/>
      <c r="AT386" s="446"/>
      <c r="AU386" s="446"/>
      <c r="AV386" s="446"/>
      <c r="AW386" s="446"/>
      <c r="AX386" s="446"/>
      <c r="AY386" s="446"/>
      <c r="AZ386" s="446"/>
      <c r="BA386" s="446"/>
      <c r="BB386" s="446"/>
      <c r="BC386" s="446"/>
      <c r="BD386" s="446"/>
      <c r="BE386" s="446"/>
      <c r="BF386" s="446"/>
      <c r="BG386" s="446"/>
      <c r="BH386" s="446"/>
      <c r="BI386" s="446"/>
      <c r="BJ386" s="446"/>
      <c r="BK386" s="446"/>
      <c r="BL386" s="446"/>
      <c r="BM386" s="446"/>
      <c r="BN386" s="446"/>
      <c r="BO386" s="446"/>
      <c r="BP386" s="446"/>
      <c r="BQ386" s="446"/>
      <c r="BR386" s="446"/>
      <c r="BS386" s="446"/>
      <c r="BT386" s="446"/>
      <c r="BU386" s="562"/>
      <c r="BV386" s="446"/>
      <c r="BW386" s="446"/>
      <c r="BX386" s="446"/>
      <c r="BY386" s="446"/>
      <c r="BZ386" s="446"/>
      <c r="CA386" s="446"/>
      <c r="CB386" s="446"/>
      <c r="CC386" s="446"/>
      <c r="CD386" s="446"/>
      <c r="CE386" s="446"/>
      <c r="CF386" s="446"/>
      <c r="CG386" s="446"/>
      <c r="CH386" s="446"/>
      <c r="CI386" s="446"/>
      <c r="CJ386" s="446"/>
      <c r="CK386" s="446"/>
      <c r="CL386" s="446"/>
      <c r="CM386" s="446"/>
      <c r="CN386" s="446"/>
      <c r="CO386" s="446"/>
      <c r="CP386" s="446"/>
      <c r="CQ386" s="446"/>
      <c r="CR386" s="446"/>
      <c r="CS386" s="446"/>
      <c r="CT386" s="446"/>
      <c r="CU386" s="446"/>
      <c r="CV386" s="446"/>
      <c r="CW386" s="233"/>
      <c r="CX386" s="446"/>
      <c r="CY386" s="446"/>
      <c r="CZ386" s="446"/>
      <c r="DA386" s="446"/>
      <c r="DB386" s="446"/>
      <c r="DC386" s="446"/>
      <c r="DD386" s="446"/>
      <c r="DE386" s="446"/>
      <c r="DF386" s="446"/>
      <c r="DG386" s="446"/>
      <c r="DH386" s="446"/>
      <c r="DI386" s="446"/>
      <c r="DJ386" s="446"/>
      <c r="DK386" s="446"/>
      <c r="DL386" s="446"/>
      <c r="DM386" s="446"/>
      <c r="DN386" s="446"/>
      <c r="DO386" s="446"/>
      <c r="DP386" s="446"/>
      <c r="DQ386" s="446"/>
      <c r="DR386" s="446"/>
      <c r="DS386" s="446"/>
      <c r="DT386" s="446"/>
      <c r="DU386" s="446"/>
      <c r="DV386" s="446"/>
      <c r="DW386" s="446"/>
      <c r="DX386" s="446"/>
      <c r="DY386" s="446"/>
      <c r="DZ386" s="283"/>
    </row>
    <row r="387" spans="4:130" s="223" customFormat="1" x14ac:dyDescent="0.2">
      <c r="D387" s="856"/>
      <c r="E387" s="856"/>
      <c r="F387" s="856"/>
      <c r="G387" s="856"/>
      <c r="H387" s="856"/>
      <c r="I387" s="856"/>
      <c r="J387" s="856"/>
      <c r="K387" s="856"/>
      <c r="L387" s="856"/>
      <c r="M387" s="856"/>
      <c r="N387" s="857"/>
      <c r="O387" s="856"/>
      <c r="P387" s="856"/>
      <c r="Q387" s="858"/>
      <c r="R387" s="858"/>
      <c r="S387" s="859"/>
      <c r="T387" s="856"/>
      <c r="U387" s="856"/>
      <c r="V387" s="856"/>
      <c r="W387" s="856"/>
      <c r="X387" s="856"/>
      <c r="Y387" s="355"/>
      <c r="AB387" s="446"/>
      <c r="AC387" s="446"/>
      <c r="AD387" s="562"/>
      <c r="AE387" s="446"/>
      <c r="AF387" s="446"/>
      <c r="AG387" s="446"/>
      <c r="AH387" s="446"/>
      <c r="AI387" s="446"/>
      <c r="AJ387" s="446"/>
      <c r="AK387" s="446"/>
      <c r="AL387" s="446"/>
      <c r="AM387" s="446"/>
      <c r="AN387" s="446"/>
      <c r="AO387" s="446"/>
      <c r="AP387" s="446"/>
      <c r="AQ387" s="446"/>
      <c r="AR387" s="446"/>
      <c r="AS387" s="446"/>
      <c r="AT387" s="446"/>
      <c r="AU387" s="446"/>
      <c r="AV387" s="446"/>
      <c r="AW387" s="446"/>
      <c r="AX387" s="446"/>
      <c r="AY387" s="446"/>
      <c r="AZ387" s="446"/>
      <c r="BA387" s="446"/>
      <c r="BB387" s="446"/>
      <c r="BC387" s="446"/>
      <c r="BD387" s="446"/>
      <c r="BE387" s="446"/>
      <c r="BF387" s="446"/>
      <c r="BG387" s="446"/>
      <c r="BH387" s="446"/>
      <c r="BI387" s="446"/>
      <c r="BJ387" s="446"/>
      <c r="BK387" s="446"/>
      <c r="BL387" s="446"/>
      <c r="BM387" s="446"/>
      <c r="BN387" s="446"/>
      <c r="BO387" s="446"/>
      <c r="BP387" s="446"/>
      <c r="BQ387" s="446"/>
      <c r="BR387" s="446"/>
      <c r="BS387" s="446"/>
      <c r="BT387" s="446"/>
      <c r="BU387" s="562"/>
      <c r="BV387" s="446"/>
      <c r="BW387" s="446"/>
      <c r="BX387" s="446"/>
      <c r="BY387" s="446"/>
      <c r="BZ387" s="446"/>
      <c r="CA387" s="446"/>
      <c r="CB387" s="446"/>
      <c r="CC387" s="446"/>
      <c r="CD387" s="446"/>
      <c r="CE387" s="446"/>
      <c r="CF387" s="446"/>
      <c r="CG387" s="446"/>
      <c r="CH387" s="446"/>
      <c r="CI387" s="446"/>
      <c r="CJ387" s="446"/>
      <c r="CK387" s="446"/>
      <c r="CL387" s="446"/>
      <c r="CM387" s="446"/>
      <c r="CN387" s="446"/>
      <c r="CO387" s="446"/>
      <c r="CP387" s="446"/>
      <c r="CQ387" s="446"/>
      <c r="CR387" s="446"/>
      <c r="CS387" s="446"/>
      <c r="CT387" s="446"/>
      <c r="CU387" s="446"/>
      <c r="CV387" s="446"/>
      <c r="CW387" s="233"/>
      <c r="CX387" s="446"/>
      <c r="CY387" s="446"/>
      <c r="CZ387" s="446"/>
      <c r="DA387" s="446"/>
      <c r="DB387" s="446"/>
      <c r="DC387" s="446"/>
      <c r="DD387" s="446"/>
      <c r="DE387" s="446"/>
      <c r="DF387" s="446"/>
      <c r="DG387" s="446"/>
      <c r="DH387" s="446"/>
      <c r="DI387" s="446"/>
      <c r="DJ387" s="446"/>
      <c r="DK387" s="446"/>
      <c r="DL387" s="446"/>
      <c r="DM387" s="446"/>
      <c r="DN387" s="446"/>
      <c r="DO387" s="446"/>
      <c r="DP387" s="446"/>
      <c r="DQ387" s="446"/>
      <c r="DR387" s="446"/>
      <c r="DS387" s="446"/>
      <c r="DT387" s="446"/>
      <c r="DU387" s="446"/>
      <c r="DV387" s="446"/>
      <c r="DW387" s="446"/>
      <c r="DX387" s="446"/>
      <c r="DY387" s="446"/>
      <c r="DZ387" s="283"/>
    </row>
    <row r="388" spans="4:130" s="223" customFormat="1" x14ac:dyDescent="0.2">
      <c r="D388" s="856"/>
      <c r="E388" s="856"/>
      <c r="F388" s="856"/>
      <c r="G388" s="856"/>
      <c r="H388" s="856"/>
      <c r="I388" s="856"/>
      <c r="J388" s="856"/>
      <c r="K388" s="856"/>
      <c r="L388" s="856"/>
      <c r="M388" s="856"/>
      <c r="N388" s="857"/>
      <c r="O388" s="856"/>
      <c r="P388" s="856"/>
      <c r="Q388" s="858"/>
      <c r="R388" s="858"/>
      <c r="S388" s="859"/>
      <c r="T388" s="856"/>
      <c r="U388" s="856"/>
      <c r="V388" s="856"/>
      <c r="W388" s="856"/>
      <c r="X388" s="856"/>
      <c r="Y388" s="355"/>
      <c r="AB388" s="446"/>
      <c r="AC388" s="446"/>
      <c r="AD388" s="562"/>
      <c r="AE388" s="446"/>
      <c r="AF388" s="446"/>
      <c r="AG388" s="446"/>
      <c r="AH388" s="446"/>
      <c r="AI388" s="446"/>
      <c r="AJ388" s="446"/>
      <c r="AK388" s="446"/>
      <c r="AL388" s="446"/>
      <c r="AM388" s="446"/>
      <c r="AN388" s="446"/>
      <c r="AO388" s="446"/>
      <c r="AP388" s="446"/>
      <c r="AQ388" s="446"/>
      <c r="AR388" s="446"/>
      <c r="AS388" s="446"/>
      <c r="AT388" s="446"/>
      <c r="AU388" s="446"/>
      <c r="AV388" s="446"/>
      <c r="AW388" s="446"/>
      <c r="AX388" s="446"/>
      <c r="AY388" s="446"/>
      <c r="AZ388" s="446"/>
      <c r="BA388" s="446"/>
      <c r="BB388" s="446"/>
      <c r="BC388" s="446"/>
      <c r="BD388" s="446"/>
      <c r="BE388" s="446"/>
      <c r="BF388" s="446"/>
      <c r="BG388" s="446"/>
      <c r="BH388" s="446"/>
      <c r="BI388" s="446"/>
      <c r="BJ388" s="446"/>
      <c r="BK388" s="446"/>
      <c r="BL388" s="446"/>
      <c r="BM388" s="446"/>
      <c r="BN388" s="446"/>
      <c r="BO388" s="446"/>
      <c r="BP388" s="446"/>
      <c r="BQ388" s="446"/>
      <c r="BR388" s="446"/>
      <c r="BS388" s="446"/>
      <c r="BT388" s="446"/>
      <c r="BU388" s="562"/>
      <c r="BV388" s="446"/>
      <c r="BW388" s="446"/>
      <c r="BX388" s="446"/>
      <c r="BY388" s="446"/>
      <c r="BZ388" s="446"/>
      <c r="CA388" s="446"/>
      <c r="CB388" s="446"/>
      <c r="CC388" s="446"/>
      <c r="CD388" s="446"/>
      <c r="CE388" s="446"/>
      <c r="CF388" s="446"/>
      <c r="CG388" s="446"/>
      <c r="CH388" s="446"/>
      <c r="CI388" s="446"/>
      <c r="CJ388" s="446"/>
      <c r="CK388" s="446"/>
      <c r="CL388" s="446"/>
      <c r="CM388" s="446"/>
      <c r="CN388" s="446"/>
      <c r="CO388" s="446"/>
      <c r="CP388" s="446"/>
      <c r="CQ388" s="446"/>
      <c r="CR388" s="446"/>
      <c r="CS388" s="446"/>
      <c r="CT388" s="446"/>
      <c r="CU388" s="446"/>
      <c r="CV388" s="446"/>
      <c r="CW388" s="233"/>
      <c r="CX388" s="446"/>
      <c r="CY388" s="446"/>
      <c r="CZ388" s="446"/>
      <c r="DA388" s="446"/>
      <c r="DB388" s="446"/>
      <c r="DC388" s="446"/>
      <c r="DD388" s="446"/>
      <c r="DE388" s="446"/>
      <c r="DF388" s="446"/>
      <c r="DG388" s="446"/>
      <c r="DH388" s="446"/>
      <c r="DI388" s="446"/>
      <c r="DJ388" s="446"/>
      <c r="DK388" s="446"/>
      <c r="DL388" s="446"/>
      <c r="DM388" s="446"/>
      <c r="DN388" s="446"/>
      <c r="DO388" s="446"/>
      <c r="DP388" s="446"/>
      <c r="DQ388" s="446"/>
      <c r="DR388" s="446"/>
      <c r="DS388" s="446"/>
      <c r="DT388" s="446"/>
      <c r="DU388" s="446"/>
      <c r="DV388" s="446"/>
      <c r="DW388" s="446"/>
      <c r="DX388" s="446"/>
      <c r="DY388" s="446"/>
      <c r="DZ388" s="283"/>
    </row>
    <row r="389" spans="4:130" s="223" customFormat="1" x14ac:dyDescent="0.2">
      <c r="D389" s="856"/>
      <c r="E389" s="856"/>
      <c r="F389" s="856"/>
      <c r="G389" s="856"/>
      <c r="H389" s="856"/>
      <c r="I389" s="856"/>
      <c r="J389" s="856"/>
      <c r="K389" s="856"/>
      <c r="L389" s="856"/>
      <c r="M389" s="856"/>
      <c r="N389" s="857"/>
      <c r="O389" s="856"/>
      <c r="P389" s="856"/>
      <c r="Q389" s="858"/>
      <c r="R389" s="858"/>
      <c r="S389" s="859"/>
      <c r="T389" s="856"/>
      <c r="U389" s="856"/>
      <c r="V389" s="856"/>
      <c r="W389" s="856"/>
      <c r="X389" s="856"/>
      <c r="Y389" s="355"/>
      <c r="AB389" s="446"/>
      <c r="AC389" s="446"/>
      <c r="AD389" s="562"/>
      <c r="AE389" s="446"/>
      <c r="AF389" s="446"/>
      <c r="AG389" s="446"/>
      <c r="AH389" s="446"/>
      <c r="AI389" s="446"/>
      <c r="AJ389" s="446"/>
      <c r="AK389" s="446"/>
      <c r="AL389" s="446"/>
      <c r="AM389" s="446"/>
      <c r="AN389" s="446"/>
      <c r="AO389" s="446"/>
      <c r="AP389" s="446"/>
      <c r="AQ389" s="446"/>
      <c r="AR389" s="446"/>
      <c r="AS389" s="446"/>
      <c r="AT389" s="446"/>
      <c r="AU389" s="446"/>
      <c r="AV389" s="446"/>
      <c r="AW389" s="446"/>
      <c r="AX389" s="446"/>
      <c r="AY389" s="446"/>
      <c r="AZ389" s="446"/>
      <c r="BA389" s="446"/>
      <c r="BB389" s="446"/>
      <c r="BC389" s="446"/>
      <c r="BD389" s="446"/>
      <c r="BE389" s="446"/>
      <c r="BF389" s="446"/>
      <c r="BG389" s="446"/>
      <c r="BH389" s="446"/>
      <c r="BI389" s="446"/>
      <c r="BJ389" s="446"/>
      <c r="BK389" s="446"/>
      <c r="BL389" s="446"/>
      <c r="BM389" s="446"/>
      <c r="BN389" s="446"/>
      <c r="BO389" s="446"/>
      <c r="BP389" s="446"/>
      <c r="BQ389" s="446"/>
      <c r="BR389" s="446"/>
      <c r="BS389" s="446"/>
      <c r="BT389" s="446"/>
      <c r="BU389" s="562"/>
      <c r="BV389" s="446"/>
      <c r="BW389" s="446"/>
      <c r="BX389" s="446"/>
      <c r="BY389" s="446"/>
      <c r="BZ389" s="446"/>
      <c r="CA389" s="446"/>
      <c r="CB389" s="446"/>
      <c r="CC389" s="446"/>
      <c r="CD389" s="446"/>
      <c r="CE389" s="446"/>
      <c r="CF389" s="446"/>
      <c r="CG389" s="446"/>
      <c r="CH389" s="446"/>
      <c r="CI389" s="446"/>
      <c r="CJ389" s="446"/>
      <c r="CK389" s="446"/>
      <c r="CL389" s="446"/>
      <c r="CM389" s="446"/>
      <c r="CN389" s="446"/>
      <c r="CO389" s="446"/>
      <c r="CP389" s="446"/>
      <c r="CQ389" s="446"/>
      <c r="CR389" s="446"/>
      <c r="CS389" s="446"/>
      <c r="CT389" s="446"/>
      <c r="CU389" s="446"/>
      <c r="CV389" s="446"/>
      <c r="CW389" s="233"/>
      <c r="CX389" s="446"/>
      <c r="CY389" s="446"/>
      <c r="CZ389" s="446"/>
      <c r="DA389" s="446"/>
      <c r="DB389" s="446"/>
      <c r="DC389" s="446"/>
      <c r="DD389" s="446"/>
      <c r="DE389" s="446"/>
      <c r="DF389" s="446"/>
      <c r="DG389" s="446"/>
      <c r="DH389" s="446"/>
      <c r="DI389" s="446"/>
      <c r="DJ389" s="446"/>
      <c r="DK389" s="446"/>
      <c r="DL389" s="446"/>
      <c r="DM389" s="446"/>
      <c r="DN389" s="446"/>
      <c r="DO389" s="446"/>
      <c r="DP389" s="446"/>
      <c r="DQ389" s="446"/>
      <c r="DR389" s="446"/>
      <c r="DS389" s="446"/>
      <c r="DT389" s="446"/>
      <c r="DU389" s="446"/>
      <c r="DV389" s="446"/>
      <c r="DW389" s="446"/>
      <c r="DX389" s="446"/>
      <c r="DY389" s="446"/>
      <c r="DZ389" s="283"/>
    </row>
    <row r="390" spans="4:130" s="223" customFormat="1" x14ac:dyDescent="0.2">
      <c r="D390" s="856"/>
      <c r="E390" s="856"/>
      <c r="F390" s="856"/>
      <c r="G390" s="856"/>
      <c r="H390" s="856"/>
      <c r="I390" s="856"/>
      <c r="J390" s="856"/>
      <c r="K390" s="856"/>
      <c r="L390" s="856"/>
      <c r="M390" s="856"/>
      <c r="N390" s="857"/>
      <c r="O390" s="856"/>
      <c r="P390" s="856"/>
      <c r="Q390" s="858"/>
      <c r="R390" s="858"/>
      <c r="S390" s="859"/>
      <c r="T390" s="856"/>
      <c r="U390" s="856"/>
      <c r="V390" s="856"/>
      <c r="W390" s="856"/>
      <c r="X390" s="856"/>
      <c r="Y390" s="355"/>
      <c r="AB390" s="446"/>
      <c r="AC390" s="446"/>
      <c r="AD390" s="562"/>
      <c r="AE390" s="446"/>
      <c r="AF390" s="446"/>
      <c r="AG390" s="446"/>
      <c r="AH390" s="446"/>
      <c r="AI390" s="446"/>
      <c r="AJ390" s="446"/>
      <c r="AK390" s="446"/>
      <c r="AL390" s="446"/>
      <c r="AM390" s="446"/>
      <c r="AN390" s="446"/>
      <c r="AO390" s="446"/>
      <c r="AP390" s="446"/>
      <c r="AQ390" s="446"/>
      <c r="AR390" s="446"/>
      <c r="AS390" s="446"/>
      <c r="AT390" s="446"/>
      <c r="AU390" s="446"/>
      <c r="AV390" s="446"/>
      <c r="AW390" s="446"/>
      <c r="AX390" s="446"/>
      <c r="AY390" s="446"/>
      <c r="AZ390" s="446"/>
      <c r="BA390" s="446"/>
      <c r="BB390" s="446"/>
      <c r="BC390" s="446"/>
      <c r="BD390" s="446"/>
      <c r="BE390" s="446"/>
      <c r="BF390" s="446"/>
      <c r="BG390" s="446"/>
      <c r="BH390" s="446"/>
      <c r="BI390" s="446"/>
      <c r="BJ390" s="446"/>
      <c r="BK390" s="446"/>
      <c r="BL390" s="446"/>
      <c r="BM390" s="446"/>
      <c r="BN390" s="446"/>
      <c r="BO390" s="446"/>
      <c r="BP390" s="446"/>
      <c r="BQ390" s="446"/>
      <c r="BR390" s="446"/>
      <c r="BS390" s="446"/>
      <c r="BT390" s="446"/>
      <c r="BU390" s="562"/>
      <c r="BV390" s="446"/>
      <c r="BW390" s="446"/>
      <c r="BX390" s="446"/>
      <c r="BY390" s="446"/>
      <c r="BZ390" s="446"/>
      <c r="CA390" s="446"/>
      <c r="CB390" s="446"/>
      <c r="CC390" s="446"/>
      <c r="CD390" s="446"/>
      <c r="CE390" s="446"/>
      <c r="CF390" s="446"/>
      <c r="CG390" s="446"/>
      <c r="CH390" s="446"/>
      <c r="CI390" s="446"/>
      <c r="CJ390" s="446"/>
      <c r="CK390" s="446"/>
      <c r="CL390" s="446"/>
      <c r="CM390" s="446"/>
      <c r="CN390" s="446"/>
      <c r="CO390" s="446"/>
      <c r="CP390" s="446"/>
      <c r="CQ390" s="446"/>
      <c r="CR390" s="446"/>
      <c r="CS390" s="446"/>
      <c r="CT390" s="446"/>
      <c r="CU390" s="446"/>
      <c r="CV390" s="446"/>
      <c r="CW390" s="233"/>
      <c r="CX390" s="446"/>
      <c r="CY390" s="446"/>
      <c r="CZ390" s="446"/>
      <c r="DA390" s="446"/>
      <c r="DB390" s="446"/>
      <c r="DC390" s="446"/>
      <c r="DD390" s="446"/>
      <c r="DE390" s="446"/>
      <c r="DF390" s="446"/>
      <c r="DG390" s="446"/>
      <c r="DH390" s="446"/>
      <c r="DI390" s="446"/>
      <c r="DJ390" s="446"/>
      <c r="DK390" s="446"/>
      <c r="DL390" s="446"/>
      <c r="DM390" s="446"/>
      <c r="DN390" s="446"/>
      <c r="DO390" s="446"/>
      <c r="DP390" s="446"/>
      <c r="DQ390" s="446"/>
      <c r="DR390" s="446"/>
      <c r="DS390" s="446"/>
      <c r="DT390" s="446"/>
      <c r="DU390" s="446"/>
      <c r="DV390" s="446"/>
      <c r="DW390" s="446"/>
      <c r="DX390" s="446"/>
      <c r="DY390" s="446"/>
      <c r="DZ390" s="283"/>
    </row>
    <row r="391" spans="4:130" s="223" customFormat="1" x14ac:dyDescent="0.2">
      <c r="D391" s="856"/>
      <c r="E391" s="856"/>
      <c r="F391" s="856"/>
      <c r="G391" s="856"/>
      <c r="H391" s="856"/>
      <c r="I391" s="856"/>
      <c r="J391" s="856"/>
      <c r="K391" s="856"/>
      <c r="L391" s="856"/>
      <c r="M391" s="856"/>
      <c r="N391" s="857"/>
      <c r="O391" s="856"/>
      <c r="P391" s="856"/>
      <c r="Q391" s="858"/>
      <c r="R391" s="858"/>
      <c r="S391" s="859"/>
      <c r="T391" s="856"/>
      <c r="U391" s="856"/>
      <c r="V391" s="856"/>
      <c r="W391" s="856"/>
      <c r="X391" s="856"/>
      <c r="Y391" s="355"/>
      <c r="AB391" s="446"/>
      <c r="AC391" s="446"/>
      <c r="AD391" s="562"/>
      <c r="AE391" s="446"/>
      <c r="AF391" s="446"/>
      <c r="AG391" s="446"/>
      <c r="AH391" s="446"/>
      <c r="AI391" s="446"/>
      <c r="AJ391" s="446"/>
      <c r="AK391" s="446"/>
      <c r="AL391" s="446"/>
      <c r="AM391" s="446"/>
      <c r="AN391" s="446"/>
      <c r="AO391" s="446"/>
      <c r="AP391" s="446"/>
      <c r="AQ391" s="446"/>
      <c r="AR391" s="446"/>
      <c r="AS391" s="446"/>
      <c r="AT391" s="446"/>
      <c r="AU391" s="446"/>
      <c r="AV391" s="446"/>
      <c r="AW391" s="446"/>
      <c r="AX391" s="446"/>
      <c r="AY391" s="446"/>
      <c r="AZ391" s="446"/>
      <c r="BA391" s="446"/>
      <c r="BB391" s="446"/>
      <c r="BC391" s="446"/>
      <c r="BD391" s="446"/>
      <c r="BE391" s="446"/>
      <c r="BF391" s="446"/>
      <c r="BG391" s="446"/>
      <c r="BH391" s="446"/>
      <c r="BI391" s="446"/>
      <c r="BJ391" s="446"/>
      <c r="BK391" s="446"/>
      <c r="BL391" s="446"/>
      <c r="BM391" s="446"/>
      <c r="BN391" s="446"/>
      <c r="BO391" s="446"/>
      <c r="BP391" s="446"/>
      <c r="BQ391" s="446"/>
      <c r="BR391" s="446"/>
      <c r="BS391" s="446"/>
      <c r="BT391" s="446"/>
      <c r="BU391" s="562"/>
      <c r="BV391" s="446"/>
      <c r="BW391" s="446"/>
      <c r="BX391" s="446"/>
      <c r="BY391" s="446"/>
      <c r="BZ391" s="446"/>
      <c r="CA391" s="446"/>
      <c r="CB391" s="446"/>
      <c r="CC391" s="446"/>
      <c r="CD391" s="446"/>
      <c r="CE391" s="446"/>
      <c r="CF391" s="446"/>
      <c r="CG391" s="446"/>
      <c r="CH391" s="446"/>
      <c r="CI391" s="446"/>
      <c r="CJ391" s="446"/>
      <c r="CK391" s="446"/>
      <c r="CL391" s="446"/>
      <c r="CM391" s="446"/>
      <c r="CN391" s="446"/>
      <c r="CO391" s="446"/>
      <c r="CP391" s="446"/>
      <c r="CQ391" s="446"/>
      <c r="CR391" s="446"/>
      <c r="CS391" s="446"/>
      <c r="CT391" s="446"/>
      <c r="CU391" s="446"/>
      <c r="CV391" s="446"/>
      <c r="CW391" s="233"/>
      <c r="CX391" s="446"/>
      <c r="CY391" s="446"/>
      <c r="CZ391" s="446"/>
      <c r="DA391" s="446"/>
      <c r="DB391" s="446"/>
      <c r="DC391" s="446"/>
      <c r="DD391" s="446"/>
      <c r="DE391" s="446"/>
      <c r="DF391" s="446"/>
      <c r="DG391" s="446"/>
      <c r="DH391" s="446"/>
      <c r="DI391" s="446"/>
      <c r="DJ391" s="446"/>
      <c r="DK391" s="446"/>
      <c r="DL391" s="446"/>
      <c r="DM391" s="446"/>
      <c r="DN391" s="446"/>
      <c r="DO391" s="446"/>
      <c r="DP391" s="446"/>
      <c r="DQ391" s="446"/>
      <c r="DR391" s="446"/>
      <c r="DS391" s="446"/>
      <c r="DT391" s="446"/>
      <c r="DU391" s="446"/>
      <c r="DV391" s="446"/>
      <c r="DW391" s="446"/>
      <c r="DX391" s="446"/>
      <c r="DY391" s="446"/>
      <c r="DZ391" s="283"/>
    </row>
    <row r="392" spans="4:130" s="223" customFormat="1" x14ac:dyDescent="0.2">
      <c r="D392" s="856"/>
      <c r="E392" s="856"/>
      <c r="F392" s="856"/>
      <c r="G392" s="856"/>
      <c r="H392" s="856"/>
      <c r="I392" s="856"/>
      <c r="J392" s="856"/>
      <c r="K392" s="856"/>
      <c r="L392" s="856"/>
      <c r="M392" s="856"/>
      <c r="N392" s="857"/>
      <c r="O392" s="856"/>
      <c r="P392" s="856"/>
      <c r="Q392" s="858"/>
      <c r="R392" s="858"/>
      <c r="S392" s="859"/>
      <c r="T392" s="856"/>
      <c r="U392" s="856"/>
      <c r="V392" s="856"/>
      <c r="W392" s="856"/>
      <c r="X392" s="856"/>
      <c r="Y392" s="355"/>
      <c r="AB392" s="446"/>
      <c r="AC392" s="446"/>
      <c r="AD392" s="562"/>
      <c r="AE392" s="446"/>
      <c r="AF392" s="446"/>
      <c r="AG392" s="446"/>
      <c r="AH392" s="446"/>
      <c r="AI392" s="446"/>
      <c r="AJ392" s="446"/>
      <c r="AK392" s="446"/>
      <c r="AL392" s="446"/>
      <c r="AM392" s="446"/>
      <c r="AN392" s="446"/>
      <c r="AO392" s="446"/>
      <c r="AP392" s="446"/>
      <c r="AQ392" s="446"/>
      <c r="AR392" s="446"/>
      <c r="AS392" s="446"/>
      <c r="AT392" s="446"/>
      <c r="AU392" s="446"/>
      <c r="AV392" s="446"/>
      <c r="AW392" s="446"/>
      <c r="AX392" s="446"/>
      <c r="AY392" s="446"/>
      <c r="AZ392" s="446"/>
      <c r="BA392" s="446"/>
      <c r="BB392" s="446"/>
      <c r="BC392" s="446"/>
      <c r="BD392" s="446"/>
      <c r="BE392" s="446"/>
      <c r="BF392" s="446"/>
      <c r="BG392" s="446"/>
      <c r="BH392" s="446"/>
      <c r="BI392" s="446"/>
      <c r="BJ392" s="446"/>
      <c r="BK392" s="446"/>
      <c r="BL392" s="446"/>
      <c r="BM392" s="446"/>
      <c r="BN392" s="446"/>
      <c r="BO392" s="446"/>
      <c r="BP392" s="446"/>
      <c r="BQ392" s="446"/>
      <c r="BR392" s="446"/>
      <c r="BS392" s="446"/>
      <c r="BT392" s="446"/>
      <c r="BU392" s="562"/>
      <c r="BV392" s="446"/>
      <c r="BW392" s="446"/>
      <c r="BX392" s="446"/>
      <c r="BY392" s="446"/>
      <c r="BZ392" s="446"/>
      <c r="CA392" s="446"/>
      <c r="CB392" s="446"/>
      <c r="CC392" s="446"/>
      <c r="CD392" s="446"/>
      <c r="CE392" s="446"/>
      <c r="CF392" s="446"/>
      <c r="CG392" s="446"/>
      <c r="CH392" s="446"/>
      <c r="CI392" s="446"/>
      <c r="CJ392" s="446"/>
      <c r="CK392" s="446"/>
      <c r="CL392" s="446"/>
      <c r="CM392" s="446"/>
      <c r="CN392" s="446"/>
      <c r="CO392" s="446"/>
      <c r="CP392" s="446"/>
      <c r="CQ392" s="446"/>
      <c r="CR392" s="446"/>
      <c r="CS392" s="446"/>
      <c r="CT392" s="446"/>
      <c r="CU392" s="446"/>
      <c r="CV392" s="446"/>
      <c r="CW392" s="233"/>
      <c r="CX392" s="446"/>
      <c r="CY392" s="446"/>
      <c r="CZ392" s="446"/>
      <c r="DA392" s="446"/>
      <c r="DB392" s="446"/>
      <c r="DC392" s="446"/>
      <c r="DD392" s="446"/>
      <c r="DE392" s="446"/>
      <c r="DF392" s="446"/>
      <c r="DG392" s="446"/>
      <c r="DH392" s="446"/>
      <c r="DI392" s="446"/>
      <c r="DJ392" s="446"/>
      <c r="DK392" s="446"/>
      <c r="DL392" s="446"/>
      <c r="DM392" s="446"/>
      <c r="DN392" s="446"/>
      <c r="DO392" s="446"/>
      <c r="DP392" s="446"/>
      <c r="DQ392" s="446"/>
      <c r="DR392" s="446"/>
      <c r="DS392" s="446"/>
      <c r="DT392" s="446"/>
      <c r="DU392" s="446"/>
      <c r="DV392" s="446"/>
      <c r="DW392" s="446"/>
      <c r="DX392" s="446"/>
      <c r="DY392" s="446"/>
      <c r="DZ392" s="283"/>
    </row>
    <row r="393" spans="4:130" s="223" customFormat="1" x14ac:dyDescent="0.2">
      <c r="D393" s="856"/>
      <c r="E393" s="856"/>
      <c r="F393" s="856"/>
      <c r="G393" s="856"/>
      <c r="H393" s="856"/>
      <c r="I393" s="856"/>
      <c r="J393" s="856"/>
      <c r="K393" s="856"/>
      <c r="L393" s="856"/>
      <c r="M393" s="856"/>
      <c r="N393" s="857"/>
      <c r="O393" s="856"/>
      <c r="P393" s="856"/>
      <c r="Q393" s="858"/>
      <c r="R393" s="858"/>
      <c r="S393" s="859"/>
      <c r="T393" s="856"/>
      <c r="U393" s="856"/>
      <c r="V393" s="856"/>
      <c r="W393" s="856"/>
      <c r="X393" s="856"/>
      <c r="Y393" s="355"/>
      <c r="AB393" s="446"/>
      <c r="AC393" s="446"/>
      <c r="AD393" s="562"/>
      <c r="AE393" s="446"/>
      <c r="AF393" s="446"/>
      <c r="AG393" s="446"/>
      <c r="AH393" s="446"/>
      <c r="AI393" s="446"/>
      <c r="AJ393" s="446"/>
      <c r="AK393" s="446"/>
      <c r="AL393" s="446"/>
      <c r="AM393" s="446"/>
      <c r="AN393" s="446"/>
      <c r="AO393" s="446"/>
      <c r="AP393" s="446"/>
      <c r="AQ393" s="446"/>
      <c r="AR393" s="446"/>
      <c r="AS393" s="446"/>
      <c r="AT393" s="446"/>
      <c r="AU393" s="446"/>
      <c r="AV393" s="446"/>
      <c r="AW393" s="446"/>
      <c r="AX393" s="446"/>
      <c r="AY393" s="446"/>
      <c r="AZ393" s="446"/>
      <c r="BA393" s="446"/>
      <c r="BB393" s="446"/>
      <c r="BC393" s="446"/>
      <c r="BD393" s="446"/>
      <c r="BE393" s="446"/>
      <c r="BF393" s="446"/>
      <c r="BG393" s="446"/>
      <c r="BH393" s="446"/>
      <c r="BI393" s="446"/>
      <c r="BJ393" s="446"/>
      <c r="BK393" s="446"/>
      <c r="BL393" s="446"/>
      <c r="BM393" s="446"/>
      <c r="BN393" s="446"/>
      <c r="BO393" s="446"/>
      <c r="BP393" s="446"/>
      <c r="BQ393" s="446"/>
      <c r="BR393" s="446"/>
      <c r="BS393" s="446"/>
      <c r="BT393" s="446"/>
      <c r="BU393" s="562"/>
      <c r="BV393" s="446"/>
      <c r="BW393" s="446"/>
      <c r="BX393" s="446"/>
      <c r="BY393" s="446"/>
      <c r="BZ393" s="446"/>
      <c r="CA393" s="446"/>
      <c r="CB393" s="446"/>
      <c r="CC393" s="446"/>
      <c r="CD393" s="446"/>
      <c r="CE393" s="446"/>
      <c r="CF393" s="446"/>
      <c r="CG393" s="446"/>
      <c r="CH393" s="446"/>
      <c r="CI393" s="446"/>
      <c r="CJ393" s="446"/>
      <c r="CK393" s="446"/>
      <c r="CL393" s="446"/>
      <c r="CM393" s="446"/>
      <c r="CN393" s="446"/>
      <c r="CO393" s="446"/>
      <c r="CP393" s="446"/>
      <c r="CQ393" s="446"/>
      <c r="CR393" s="446"/>
      <c r="CS393" s="446"/>
      <c r="CT393" s="446"/>
      <c r="CU393" s="446"/>
      <c r="CV393" s="446"/>
      <c r="CW393" s="233"/>
      <c r="CX393" s="446"/>
      <c r="CY393" s="446"/>
      <c r="CZ393" s="446"/>
      <c r="DA393" s="446"/>
      <c r="DB393" s="446"/>
      <c r="DC393" s="446"/>
      <c r="DD393" s="446"/>
      <c r="DE393" s="446"/>
      <c r="DF393" s="446"/>
      <c r="DG393" s="446"/>
      <c r="DH393" s="446"/>
      <c r="DI393" s="446"/>
      <c r="DJ393" s="446"/>
      <c r="DK393" s="446"/>
      <c r="DL393" s="446"/>
      <c r="DM393" s="446"/>
      <c r="DN393" s="446"/>
      <c r="DO393" s="446"/>
      <c r="DP393" s="446"/>
      <c r="DQ393" s="446"/>
      <c r="DR393" s="446"/>
      <c r="DS393" s="446"/>
      <c r="DT393" s="446"/>
      <c r="DU393" s="446"/>
      <c r="DV393" s="446"/>
      <c r="DW393" s="446"/>
      <c r="DX393" s="446"/>
      <c r="DY393" s="446"/>
      <c r="DZ393" s="283"/>
    </row>
    <row r="394" spans="4:130" s="223" customFormat="1" x14ac:dyDescent="0.2">
      <c r="D394" s="856"/>
      <c r="E394" s="856"/>
      <c r="F394" s="856"/>
      <c r="G394" s="856"/>
      <c r="H394" s="856"/>
      <c r="I394" s="856"/>
      <c r="J394" s="856"/>
      <c r="K394" s="856"/>
      <c r="L394" s="856"/>
      <c r="M394" s="856"/>
      <c r="N394" s="857"/>
      <c r="O394" s="856"/>
      <c r="P394" s="856"/>
      <c r="Q394" s="858"/>
      <c r="R394" s="858"/>
      <c r="S394" s="859"/>
      <c r="T394" s="856"/>
      <c r="U394" s="856"/>
      <c r="V394" s="856"/>
      <c r="W394" s="856"/>
      <c r="X394" s="856"/>
      <c r="Y394" s="355"/>
      <c r="AB394" s="446"/>
      <c r="AC394" s="446"/>
      <c r="AD394" s="562"/>
      <c r="AE394" s="446"/>
      <c r="AF394" s="446"/>
      <c r="AG394" s="446"/>
      <c r="AH394" s="446"/>
      <c r="AI394" s="446"/>
      <c r="AJ394" s="446"/>
      <c r="AK394" s="446"/>
      <c r="AL394" s="446"/>
      <c r="AM394" s="446"/>
      <c r="AN394" s="446"/>
      <c r="AO394" s="446"/>
      <c r="AP394" s="446"/>
      <c r="AQ394" s="446"/>
      <c r="AR394" s="446"/>
      <c r="AS394" s="446"/>
      <c r="AT394" s="446"/>
      <c r="AU394" s="446"/>
      <c r="AV394" s="446"/>
      <c r="AW394" s="446"/>
      <c r="AX394" s="446"/>
      <c r="AY394" s="446"/>
      <c r="AZ394" s="446"/>
      <c r="BA394" s="446"/>
      <c r="BB394" s="446"/>
      <c r="BC394" s="446"/>
      <c r="BD394" s="446"/>
      <c r="BE394" s="446"/>
      <c r="BF394" s="446"/>
      <c r="BG394" s="446"/>
      <c r="BH394" s="446"/>
      <c r="BI394" s="446"/>
      <c r="BJ394" s="446"/>
      <c r="BK394" s="446"/>
      <c r="BL394" s="446"/>
      <c r="BM394" s="446"/>
      <c r="BN394" s="446"/>
      <c r="BO394" s="446"/>
      <c r="BP394" s="446"/>
      <c r="BQ394" s="446"/>
      <c r="BR394" s="446"/>
      <c r="BS394" s="446"/>
      <c r="BT394" s="446"/>
      <c r="BU394" s="562"/>
      <c r="BV394" s="446"/>
      <c r="BW394" s="446"/>
      <c r="BX394" s="446"/>
      <c r="BY394" s="446"/>
      <c r="BZ394" s="446"/>
      <c r="CA394" s="446"/>
      <c r="CB394" s="446"/>
      <c r="CC394" s="446"/>
      <c r="CD394" s="446"/>
      <c r="CE394" s="446"/>
      <c r="CF394" s="446"/>
      <c r="CG394" s="446"/>
      <c r="CH394" s="446"/>
      <c r="CI394" s="446"/>
      <c r="CJ394" s="446"/>
      <c r="CK394" s="446"/>
      <c r="CL394" s="446"/>
      <c r="CM394" s="446"/>
      <c r="CN394" s="446"/>
      <c r="CO394" s="446"/>
      <c r="CP394" s="446"/>
      <c r="CQ394" s="446"/>
      <c r="CR394" s="446"/>
      <c r="CS394" s="446"/>
      <c r="CT394" s="446"/>
      <c r="CU394" s="446"/>
      <c r="CV394" s="446"/>
      <c r="CW394" s="233"/>
      <c r="CX394" s="446"/>
      <c r="CY394" s="446"/>
      <c r="CZ394" s="446"/>
      <c r="DA394" s="446"/>
      <c r="DB394" s="446"/>
      <c r="DC394" s="446"/>
      <c r="DD394" s="446"/>
      <c r="DE394" s="446"/>
      <c r="DF394" s="446"/>
      <c r="DG394" s="446"/>
      <c r="DH394" s="446"/>
      <c r="DI394" s="446"/>
      <c r="DJ394" s="446"/>
      <c r="DK394" s="446"/>
      <c r="DL394" s="446"/>
      <c r="DM394" s="446"/>
      <c r="DN394" s="446"/>
      <c r="DO394" s="446"/>
      <c r="DP394" s="446"/>
      <c r="DQ394" s="446"/>
      <c r="DR394" s="446"/>
      <c r="DS394" s="446"/>
      <c r="DT394" s="446"/>
      <c r="DU394" s="446"/>
      <c r="DV394" s="446"/>
      <c r="DW394" s="446"/>
      <c r="DX394" s="446"/>
      <c r="DY394" s="446"/>
      <c r="DZ394" s="283"/>
    </row>
    <row r="395" spans="4:130" s="223" customFormat="1" x14ac:dyDescent="0.2">
      <c r="D395" s="856"/>
      <c r="E395" s="856"/>
      <c r="F395" s="856"/>
      <c r="G395" s="856"/>
      <c r="H395" s="856"/>
      <c r="I395" s="856"/>
      <c r="J395" s="856"/>
      <c r="K395" s="856"/>
      <c r="L395" s="856"/>
      <c r="M395" s="856"/>
      <c r="N395" s="857"/>
      <c r="O395" s="856"/>
      <c r="P395" s="856"/>
      <c r="Q395" s="858"/>
      <c r="R395" s="858"/>
      <c r="S395" s="859"/>
      <c r="T395" s="856"/>
      <c r="U395" s="856"/>
      <c r="V395" s="856"/>
      <c r="W395" s="856"/>
      <c r="X395" s="856"/>
      <c r="Y395" s="355"/>
      <c r="AB395" s="446"/>
      <c r="AC395" s="446"/>
      <c r="AD395" s="562"/>
      <c r="AE395" s="446"/>
      <c r="AF395" s="446"/>
      <c r="AG395" s="446"/>
      <c r="AH395" s="446"/>
      <c r="AI395" s="446"/>
      <c r="AJ395" s="446"/>
      <c r="AK395" s="446"/>
      <c r="AL395" s="446"/>
      <c r="AM395" s="446"/>
      <c r="AN395" s="446"/>
      <c r="AO395" s="446"/>
      <c r="AP395" s="446"/>
      <c r="AQ395" s="446"/>
      <c r="AR395" s="446"/>
      <c r="AS395" s="446"/>
      <c r="AT395" s="446"/>
      <c r="AU395" s="446"/>
      <c r="AV395" s="446"/>
      <c r="AW395" s="446"/>
      <c r="AX395" s="446"/>
      <c r="AY395" s="446"/>
      <c r="AZ395" s="446"/>
      <c r="BA395" s="446"/>
      <c r="BB395" s="446"/>
      <c r="BC395" s="446"/>
      <c r="BD395" s="446"/>
      <c r="BE395" s="446"/>
      <c r="BF395" s="446"/>
      <c r="BG395" s="446"/>
      <c r="BH395" s="446"/>
      <c r="BI395" s="446"/>
      <c r="BJ395" s="446"/>
      <c r="BK395" s="446"/>
      <c r="BL395" s="446"/>
      <c r="BM395" s="446"/>
      <c r="BN395" s="446"/>
      <c r="BO395" s="446"/>
      <c r="BP395" s="446"/>
      <c r="BQ395" s="446"/>
      <c r="BR395" s="446"/>
      <c r="BS395" s="446"/>
      <c r="BT395" s="446"/>
      <c r="BU395" s="562"/>
      <c r="BV395" s="446"/>
      <c r="BW395" s="446"/>
      <c r="BX395" s="446"/>
      <c r="BY395" s="446"/>
      <c r="BZ395" s="446"/>
      <c r="CA395" s="446"/>
      <c r="CB395" s="446"/>
      <c r="CC395" s="446"/>
      <c r="CD395" s="446"/>
      <c r="CE395" s="446"/>
      <c r="CF395" s="446"/>
      <c r="CG395" s="446"/>
      <c r="CH395" s="446"/>
      <c r="CI395" s="446"/>
      <c r="CJ395" s="446"/>
      <c r="CK395" s="446"/>
      <c r="CL395" s="446"/>
      <c r="CM395" s="446"/>
      <c r="CN395" s="446"/>
      <c r="CO395" s="446"/>
      <c r="CP395" s="446"/>
      <c r="CQ395" s="446"/>
      <c r="CR395" s="446"/>
      <c r="CS395" s="446"/>
      <c r="CT395" s="446"/>
      <c r="CU395" s="446"/>
      <c r="CV395" s="446"/>
      <c r="CW395" s="233"/>
      <c r="CX395" s="446"/>
      <c r="CY395" s="446"/>
      <c r="CZ395" s="446"/>
      <c r="DA395" s="446"/>
      <c r="DB395" s="446"/>
      <c r="DC395" s="446"/>
      <c r="DD395" s="446"/>
      <c r="DE395" s="446"/>
      <c r="DF395" s="446"/>
      <c r="DG395" s="446"/>
      <c r="DH395" s="446"/>
      <c r="DI395" s="446"/>
      <c r="DJ395" s="446"/>
      <c r="DK395" s="446"/>
      <c r="DL395" s="446"/>
      <c r="DM395" s="446"/>
      <c r="DN395" s="446"/>
      <c r="DO395" s="446"/>
      <c r="DP395" s="446"/>
      <c r="DQ395" s="446"/>
      <c r="DR395" s="446"/>
      <c r="DS395" s="446"/>
      <c r="DT395" s="446"/>
      <c r="DU395" s="446"/>
      <c r="DV395" s="446"/>
      <c r="DW395" s="446"/>
      <c r="DX395" s="446"/>
      <c r="DY395" s="446"/>
      <c r="DZ395" s="283"/>
    </row>
    <row r="396" spans="4:130" s="223" customFormat="1" x14ac:dyDescent="0.2">
      <c r="D396" s="856"/>
      <c r="E396" s="856"/>
      <c r="F396" s="856"/>
      <c r="G396" s="856"/>
      <c r="H396" s="856"/>
      <c r="I396" s="856"/>
      <c r="J396" s="856"/>
      <c r="K396" s="856"/>
      <c r="L396" s="856"/>
      <c r="M396" s="856"/>
      <c r="N396" s="857"/>
      <c r="O396" s="856"/>
      <c r="P396" s="856"/>
      <c r="Q396" s="858"/>
      <c r="R396" s="858"/>
      <c r="S396" s="859"/>
      <c r="T396" s="856"/>
      <c r="U396" s="856"/>
      <c r="V396" s="856"/>
      <c r="W396" s="856"/>
      <c r="X396" s="856"/>
      <c r="Y396" s="355"/>
      <c r="AB396" s="446"/>
      <c r="AC396" s="446"/>
      <c r="AD396" s="562"/>
      <c r="AE396" s="446"/>
      <c r="AF396" s="446"/>
      <c r="AG396" s="446"/>
      <c r="AH396" s="446"/>
      <c r="AI396" s="446"/>
      <c r="AJ396" s="446"/>
      <c r="AK396" s="446"/>
      <c r="AL396" s="446"/>
      <c r="AM396" s="446"/>
      <c r="AN396" s="446"/>
      <c r="AO396" s="446"/>
      <c r="AP396" s="446"/>
      <c r="AQ396" s="446"/>
      <c r="AR396" s="446"/>
      <c r="AS396" s="446"/>
      <c r="AT396" s="446"/>
      <c r="AU396" s="446"/>
      <c r="AV396" s="446"/>
      <c r="AW396" s="446"/>
      <c r="AX396" s="446"/>
      <c r="AY396" s="446"/>
      <c r="AZ396" s="446"/>
      <c r="BA396" s="446"/>
      <c r="BB396" s="446"/>
      <c r="BC396" s="446"/>
      <c r="BD396" s="446"/>
      <c r="BE396" s="446"/>
      <c r="BF396" s="446"/>
      <c r="BG396" s="446"/>
      <c r="BH396" s="446"/>
      <c r="BI396" s="446"/>
      <c r="BJ396" s="446"/>
      <c r="BK396" s="446"/>
      <c r="BL396" s="446"/>
      <c r="BM396" s="446"/>
      <c r="BN396" s="446"/>
      <c r="BO396" s="446"/>
      <c r="BP396" s="446"/>
      <c r="BQ396" s="446"/>
      <c r="BR396" s="446"/>
      <c r="BS396" s="446"/>
      <c r="BT396" s="446"/>
      <c r="BU396" s="562"/>
      <c r="BV396" s="446"/>
      <c r="BW396" s="446"/>
      <c r="BX396" s="446"/>
      <c r="BY396" s="446"/>
      <c r="BZ396" s="446"/>
      <c r="CA396" s="446"/>
      <c r="CB396" s="446"/>
      <c r="CC396" s="446"/>
      <c r="CD396" s="446"/>
      <c r="CE396" s="446"/>
      <c r="CF396" s="446"/>
      <c r="CG396" s="446"/>
      <c r="CH396" s="446"/>
      <c r="CI396" s="446"/>
      <c r="CJ396" s="446"/>
      <c r="CK396" s="446"/>
      <c r="CL396" s="446"/>
      <c r="CM396" s="446"/>
      <c r="CN396" s="446"/>
      <c r="CO396" s="446"/>
      <c r="CP396" s="446"/>
      <c r="CQ396" s="446"/>
      <c r="CR396" s="446"/>
      <c r="CS396" s="446"/>
      <c r="CT396" s="446"/>
      <c r="CU396" s="446"/>
      <c r="CV396" s="446"/>
      <c r="CW396" s="233"/>
      <c r="CX396" s="446"/>
      <c r="CY396" s="446"/>
      <c r="CZ396" s="446"/>
      <c r="DA396" s="446"/>
      <c r="DB396" s="446"/>
      <c r="DC396" s="446"/>
      <c r="DD396" s="446"/>
      <c r="DE396" s="446"/>
      <c r="DF396" s="446"/>
      <c r="DG396" s="446"/>
      <c r="DH396" s="446"/>
      <c r="DI396" s="446"/>
      <c r="DJ396" s="446"/>
      <c r="DK396" s="446"/>
      <c r="DL396" s="446"/>
      <c r="DM396" s="446"/>
      <c r="DN396" s="446"/>
      <c r="DO396" s="446"/>
      <c r="DP396" s="446"/>
      <c r="DQ396" s="446"/>
      <c r="DR396" s="446"/>
      <c r="DS396" s="446"/>
      <c r="DT396" s="446"/>
      <c r="DU396" s="446"/>
      <c r="DV396" s="446"/>
      <c r="DW396" s="446"/>
      <c r="DX396" s="446"/>
      <c r="DY396" s="446"/>
      <c r="DZ396" s="283"/>
    </row>
    <row r="397" spans="4:130" s="223" customFormat="1" x14ac:dyDescent="0.2">
      <c r="D397" s="856"/>
      <c r="E397" s="856"/>
      <c r="F397" s="856"/>
      <c r="G397" s="856"/>
      <c r="H397" s="856"/>
      <c r="I397" s="856"/>
      <c r="J397" s="856"/>
      <c r="K397" s="856"/>
      <c r="L397" s="856"/>
      <c r="M397" s="856"/>
      <c r="N397" s="857"/>
      <c r="O397" s="856"/>
      <c r="P397" s="856"/>
      <c r="Q397" s="858"/>
      <c r="R397" s="858"/>
      <c r="S397" s="859"/>
      <c r="T397" s="856"/>
      <c r="U397" s="856"/>
      <c r="V397" s="856"/>
      <c r="W397" s="856"/>
      <c r="X397" s="856"/>
      <c r="Y397" s="355"/>
      <c r="AB397" s="446"/>
      <c r="AC397" s="446"/>
      <c r="AD397" s="562"/>
      <c r="AE397" s="446"/>
      <c r="AF397" s="446"/>
      <c r="AG397" s="446"/>
      <c r="AH397" s="446"/>
      <c r="AI397" s="446"/>
      <c r="AJ397" s="446"/>
      <c r="AK397" s="446"/>
      <c r="AL397" s="446"/>
      <c r="AM397" s="446"/>
      <c r="AN397" s="446"/>
      <c r="AO397" s="446"/>
      <c r="AP397" s="446"/>
      <c r="AQ397" s="446"/>
      <c r="AR397" s="446"/>
      <c r="AS397" s="446"/>
      <c r="AT397" s="446"/>
      <c r="AU397" s="446"/>
      <c r="AV397" s="446"/>
      <c r="AW397" s="446"/>
      <c r="AX397" s="446"/>
      <c r="AY397" s="446"/>
      <c r="AZ397" s="446"/>
      <c r="BA397" s="446"/>
      <c r="BB397" s="446"/>
      <c r="BC397" s="446"/>
      <c r="BD397" s="446"/>
      <c r="BE397" s="446"/>
      <c r="BF397" s="446"/>
      <c r="BG397" s="446"/>
      <c r="BH397" s="446"/>
      <c r="BI397" s="446"/>
      <c r="BJ397" s="446"/>
      <c r="BK397" s="446"/>
      <c r="BL397" s="446"/>
      <c r="BM397" s="446"/>
      <c r="BN397" s="446"/>
      <c r="BO397" s="446"/>
      <c r="BP397" s="446"/>
      <c r="BQ397" s="446"/>
      <c r="BR397" s="446"/>
      <c r="BS397" s="446"/>
      <c r="BT397" s="446"/>
      <c r="BU397" s="562"/>
      <c r="BV397" s="446"/>
      <c r="BW397" s="446"/>
      <c r="BX397" s="446"/>
      <c r="BY397" s="446"/>
      <c r="BZ397" s="446"/>
      <c r="CA397" s="446"/>
      <c r="CB397" s="446"/>
      <c r="CC397" s="446"/>
      <c r="CD397" s="446"/>
      <c r="CE397" s="446"/>
      <c r="CF397" s="446"/>
      <c r="CG397" s="446"/>
      <c r="CH397" s="446"/>
      <c r="CI397" s="446"/>
      <c r="CJ397" s="446"/>
      <c r="CK397" s="446"/>
      <c r="CL397" s="446"/>
      <c r="CM397" s="446"/>
      <c r="CN397" s="446"/>
      <c r="CO397" s="446"/>
      <c r="CP397" s="446"/>
      <c r="CQ397" s="446"/>
      <c r="CR397" s="446"/>
      <c r="CS397" s="446"/>
      <c r="CT397" s="446"/>
      <c r="CU397" s="446"/>
      <c r="CV397" s="446"/>
      <c r="CW397" s="233"/>
      <c r="CX397" s="446"/>
      <c r="CY397" s="446"/>
      <c r="CZ397" s="446"/>
      <c r="DA397" s="446"/>
      <c r="DB397" s="446"/>
      <c r="DC397" s="446"/>
      <c r="DD397" s="446"/>
      <c r="DE397" s="446"/>
      <c r="DF397" s="446"/>
      <c r="DG397" s="446"/>
      <c r="DH397" s="446"/>
      <c r="DI397" s="446"/>
      <c r="DJ397" s="446"/>
      <c r="DK397" s="446"/>
      <c r="DL397" s="446"/>
      <c r="DM397" s="446"/>
      <c r="DN397" s="446"/>
      <c r="DO397" s="446"/>
      <c r="DP397" s="446"/>
      <c r="DQ397" s="446"/>
      <c r="DR397" s="446"/>
      <c r="DS397" s="446"/>
      <c r="DT397" s="446"/>
      <c r="DU397" s="446"/>
      <c r="DV397" s="446"/>
      <c r="DW397" s="446"/>
      <c r="DX397" s="446"/>
      <c r="DY397" s="446"/>
      <c r="DZ397" s="283"/>
    </row>
    <row r="398" spans="4:130" s="223" customFormat="1" x14ac:dyDescent="0.2">
      <c r="D398" s="856"/>
      <c r="E398" s="856"/>
      <c r="F398" s="856"/>
      <c r="G398" s="856"/>
      <c r="H398" s="856"/>
      <c r="I398" s="856"/>
      <c r="J398" s="856"/>
      <c r="K398" s="856"/>
      <c r="L398" s="856"/>
      <c r="M398" s="856"/>
      <c r="N398" s="857"/>
      <c r="O398" s="856"/>
      <c r="P398" s="856"/>
      <c r="Q398" s="858"/>
      <c r="R398" s="858"/>
      <c r="S398" s="859"/>
      <c r="T398" s="856"/>
      <c r="U398" s="856"/>
      <c r="V398" s="856"/>
      <c r="W398" s="856"/>
      <c r="X398" s="856"/>
      <c r="Y398" s="355"/>
      <c r="AB398" s="446"/>
      <c r="AC398" s="446"/>
      <c r="AD398" s="562"/>
      <c r="AE398" s="446"/>
      <c r="AF398" s="446"/>
      <c r="AG398" s="446"/>
      <c r="AH398" s="446"/>
      <c r="AI398" s="446"/>
      <c r="AJ398" s="446"/>
      <c r="AK398" s="446"/>
      <c r="AL398" s="446"/>
      <c r="AM398" s="446"/>
      <c r="AN398" s="446"/>
      <c r="AO398" s="446"/>
      <c r="AP398" s="446"/>
      <c r="AQ398" s="446"/>
      <c r="AR398" s="446"/>
      <c r="AS398" s="446"/>
      <c r="AT398" s="446"/>
      <c r="AU398" s="446"/>
      <c r="AV398" s="446"/>
      <c r="AW398" s="446"/>
      <c r="AX398" s="446"/>
      <c r="AY398" s="446"/>
      <c r="AZ398" s="446"/>
      <c r="BA398" s="446"/>
      <c r="BB398" s="446"/>
      <c r="BC398" s="446"/>
      <c r="BD398" s="446"/>
      <c r="BE398" s="446"/>
      <c r="BF398" s="446"/>
      <c r="BG398" s="446"/>
      <c r="BH398" s="446"/>
      <c r="BI398" s="446"/>
      <c r="BJ398" s="446"/>
      <c r="BK398" s="446"/>
      <c r="BL398" s="446"/>
      <c r="BM398" s="446"/>
      <c r="BN398" s="446"/>
      <c r="BO398" s="446"/>
      <c r="BP398" s="446"/>
      <c r="BQ398" s="446"/>
      <c r="BR398" s="446"/>
      <c r="BS398" s="446"/>
      <c r="BT398" s="446"/>
      <c r="BU398" s="562"/>
      <c r="BV398" s="446"/>
      <c r="BW398" s="446"/>
      <c r="BX398" s="446"/>
      <c r="BY398" s="446"/>
      <c r="BZ398" s="446"/>
      <c r="CA398" s="446"/>
      <c r="CB398" s="446"/>
      <c r="CC398" s="446"/>
      <c r="CD398" s="446"/>
      <c r="CE398" s="446"/>
      <c r="CF398" s="446"/>
      <c r="CG398" s="446"/>
      <c r="CH398" s="446"/>
      <c r="CI398" s="446"/>
      <c r="CJ398" s="446"/>
      <c r="CK398" s="446"/>
      <c r="CL398" s="446"/>
      <c r="CM398" s="446"/>
      <c r="CN398" s="446"/>
      <c r="CO398" s="446"/>
      <c r="CP398" s="446"/>
      <c r="CQ398" s="446"/>
      <c r="CR398" s="446"/>
      <c r="CS398" s="446"/>
      <c r="CT398" s="446"/>
      <c r="CU398" s="446"/>
      <c r="CV398" s="446"/>
      <c r="CW398" s="233"/>
      <c r="CX398" s="446"/>
      <c r="CY398" s="446"/>
      <c r="CZ398" s="446"/>
      <c r="DA398" s="446"/>
      <c r="DB398" s="446"/>
      <c r="DC398" s="446"/>
      <c r="DD398" s="446"/>
      <c r="DE398" s="446"/>
      <c r="DF398" s="446"/>
      <c r="DG398" s="446"/>
      <c r="DH398" s="446"/>
      <c r="DI398" s="446"/>
      <c r="DJ398" s="446"/>
      <c r="DK398" s="446"/>
      <c r="DL398" s="446"/>
      <c r="DM398" s="446"/>
      <c r="DN398" s="446"/>
      <c r="DO398" s="446"/>
      <c r="DP398" s="446"/>
      <c r="DQ398" s="446"/>
      <c r="DR398" s="446"/>
      <c r="DS398" s="446"/>
      <c r="DT398" s="446"/>
      <c r="DU398" s="446"/>
      <c r="DV398" s="446"/>
      <c r="DW398" s="446"/>
      <c r="DX398" s="446"/>
      <c r="DY398" s="446"/>
      <c r="DZ398" s="283"/>
    </row>
    <row r="399" spans="4:130" s="223" customFormat="1" x14ac:dyDescent="0.2">
      <c r="D399" s="856"/>
      <c r="E399" s="856"/>
      <c r="F399" s="856"/>
      <c r="G399" s="856"/>
      <c r="H399" s="856"/>
      <c r="I399" s="856"/>
      <c r="J399" s="856"/>
      <c r="K399" s="856"/>
      <c r="L399" s="856"/>
      <c r="M399" s="856"/>
      <c r="N399" s="857"/>
      <c r="O399" s="856"/>
      <c r="P399" s="856"/>
      <c r="Q399" s="858"/>
      <c r="R399" s="858"/>
      <c r="S399" s="859"/>
      <c r="T399" s="856"/>
      <c r="U399" s="856"/>
      <c r="V399" s="856"/>
      <c r="W399" s="856"/>
      <c r="X399" s="856"/>
      <c r="Y399" s="355"/>
      <c r="AB399" s="446"/>
      <c r="AC399" s="446"/>
      <c r="AD399" s="562"/>
      <c r="AE399" s="446"/>
      <c r="AF399" s="446"/>
      <c r="AG399" s="446"/>
      <c r="AH399" s="446"/>
      <c r="AI399" s="446"/>
      <c r="AJ399" s="446"/>
      <c r="AK399" s="446"/>
      <c r="AL399" s="446"/>
      <c r="AM399" s="446"/>
      <c r="AN399" s="446"/>
      <c r="AO399" s="446"/>
      <c r="AP399" s="446"/>
      <c r="AQ399" s="446"/>
      <c r="AR399" s="446"/>
      <c r="AS399" s="446"/>
      <c r="AT399" s="446"/>
      <c r="AU399" s="446"/>
      <c r="AV399" s="446"/>
      <c r="AW399" s="446"/>
      <c r="AX399" s="446"/>
      <c r="AY399" s="446"/>
      <c r="AZ399" s="446"/>
      <c r="BA399" s="446"/>
      <c r="BB399" s="446"/>
      <c r="BC399" s="446"/>
      <c r="BD399" s="446"/>
      <c r="BE399" s="446"/>
      <c r="BF399" s="446"/>
      <c r="BG399" s="446"/>
      <c r="BH399" s="446"/>
      <c r="BI399" s="446"/>
      <c r="BJ399" s="446"/>
      <c r="BK399" s="446"/>
      <c r="BL399" s="446"/>
      <c r="BM399" s="446"/>
      <c r="BN399" s="446"/>
      <c r="BO399" s="446"/>
      <c r="BP399" s="446"/>
      <c r="BQ399" s="446"/>
      <c r="BR399" s="446"/>
      <c r="BS399" s="446"/>
      <c r="BT399" s="446"/>
      <c r="BU399" s="562"/>
      <c r="BV399" s="446"/>
      <c r="BW399" s="446"/>
      <c r="BX399" s="446"/>
      <c r="BY399" s="446"/>
      <c r="BZ399" s="446"/>
      <c r="CA399" s="446"/>
      <c r="CB399" s="446"/>
      <c r="CC399" s="446"/>
      <c r="CD399" s="446"/>
      <c r="CE399" s="446"/>
      <c r="CF399" s="446"/>
      <c r="CG399" s="446"/>
      <c r="CH399" s="446"/>
      <c r="CI399" s="446"/>
      <c r="CJ399" s="446"/>
      <c r="CK399" s="446"/>
      <c r="CL399" s="446"/>
      <c r="CM399" s="446"/>
      <c r="CN399" s="446"/>
      <c r="CO399" s="446"/>
      <c r="CP399" s="446"/>
      <c r="CQ399" s="446"/>
      <c r="CR399" s="446"/>
      <c r="CS399" s="446"/>
      <c r="CT399" s="446"/>
      <c r="CU399" s="446"/>
      <c r="CV399" s="446"/>
      <c r="CW399" s="233"/>
      <c r="CX399" s="446"/>
      <c r="CY399" s="446"/>
      <c r="CZ399" s="446"/>
      <c r="DA399" s="446"/>
      <c r="DB399" s="446"/>
      <c r="DC399" s="446"/>
      <c r="DD399" s="446"/>
      <c r="DE399" s="446"/>
      <c r="DF399" s="446"/>
      <c r="DG399" s="446"/>
      <c r="DH399" s="446"/>
      <c r="DI399" s="446"/>
      <c r="DJ399" s="446"/>
      <c r="DK399" s="446"/>
      <c r="DL399" s="446"/>
      <c r="DM399" s="446"/>
      <c r="DN399" s="446"/>
      <c r="DO399" s="446"/>
      <c r="DP399" s="446"/>
      <c r="DQ399" s="446"/>
      <c r="DR399" s="446"/>
      <c r="DS399" s="446"/>
      <c r="DT399" s="446"/>
      <c r="DU399" s="446"/>
      <c r="DV399" s="446"/>
      <c r="DW399" s="446"/>
      <c r="DX399" s="446"/>
      <c r="DY399" s="446"/>
      <c r="DZ399" s="283"/>
    </row>
    <row r="400" spans="4:130" s="223" customFormat="1" x14ac:dyDescent="0.2">
      <c r="D400" s="856"/>
      <c r="E400" s="856"/>
      <c r="F400" s="856"/>
      <c r="G400" s="856"/>
      <c r="H400" s="856"/>
      <c r="I400" s="856"/>
      <c r="J400" s="856"/>
      <c r="K400" s="856"/>
      <c r="L400" s="856"/>
      <c r="M400" s="856"/>
      <c r="N400" s="857"/>
      <c r="O400" s="856"/>
      <c r="P400" s="856"/>
      <c r="Q400" s="858"/>
      <c r="R400" s="858"/>
      <c r="S400" s="859"/>
      <c r="T400" s="856"/>
      <c r="U400" s="856"/>
      <c r="V400" s="856"/>
      <c r="W400" s="856"/>
      <c r="X400" s="856"/>
      <c r="Y400" s="355"/>
      <c r="AB400" s="446"/>
      <c r="AC400" s="446"/>
      <c r="AD400" s="562"/>
      <c r="AE400" s="446"/>
      <c r="AF400" s="446"/>
      <c r="AG400" s="446"/>
      <c r="AH400" s="446"/>
      <c r="AI400" s="446"/>
      <c r="AJ400" s="446"/>
      <c r="AK400" s="446"/>
      <c r="AL400" s="446"/>
      <c r="AM400" s="446"/>
      <c r="AN400" s="446"/>
      <c r="AO400" s="446"/>
      <c r="AP400" s="446"/>
      <c r="AQ400" s="446"/>
      <c r="AR400" s="446"/>
      <c r="AS400" s="446"/>
      <c r="AT400" s="446"/>
      <c r="AU400" s="446"/>
      <c r="AV400" s="446"/>
      <c r="AW400" s="446"/>
      <c r="AX400" s="446"/>
      <c r="AY400" s="446"/>
      <c r="AZ400" s="446"/>
      <c r="BA400" s="446"/>
      <c r="BB400" s="446"/>
      <c r="BC400" s="446"/>
      <c r="BD400" s="446"/>
      <c r="BE400" s="446"/>
      <c r="BF400" s="446"/>
      <c r="BG400" s="446"/>
      <c r="BH400" s="446"/>
      <c r="BI400" s="446"/>
      <c r="BJ400" s="446"/>
      <c r="BK400" s="446"/>
      <c r="BL400" s="446"/>
      <c r="BM400" s="446"/>
      <c r="BN400" s="446"/>
      <c r="BO400" s="446"/>
      <c r="BP400" s="446"/>
      <c r="BQ400" s="446"/>
      <c r="BR400" s="446"/>
      <c r="BS400" s="446"/>
      <c r="BT400" s="446"/>
      <c r="BU400" s="562"/>
      <c r="BV400" s="446"/>
      <c r="BW400" s="446"/>
      <c r="BX400" s="446"/>
      <c r="BY400" s="446"/>
      <c r="BZ400" s="446"/>
      <c r="CA400" s="446"/>
      <c r="CB400" s="446"/>
      <c r="CC400" s="446"/>
      <c r="CD400" s="446"/>
      <c r="CE400" s="446"/>
      <c r="CF400" s="446"/>
      <c r="CG400" s="446"/>
      <c r="CH400" s="446"/>
      <c r="CI400" s="446"/>
      <c r="CJ400" s="446"/>
      <c r="CK400" s="446"/>
      <c r="CL400" s="446"/>
      <c r="CM400" s="446"/>
      <c r="CN400" s="446"/>
      <c r="CO400" s="446"/>
      <c r="CP400" s="446"/>
      <c r="CQ400" s="446"/>
      <c r="CR400" s="446"/>
      <c r="CS400" s="446"/>
      <c r="CT400" s="446"/>
      <c r="CU400" s="446"/>
      <c r="CV400" s="446"/>
      <c r="CW400" s="233"/>
      <c r="CX400" s="446"/>
      <c r="CY400" s="446"/>
      <c r="CZ400" s="446"/>
      <c r="DA400" s="446"/>
      <c r="DB400" s="446"/>
      <c r="DC400" s="446"/>
      <c r="DD400" s="446"/>
      <c r="DE400" s="446"/>
      <c r="DF400" s="446"/>
      <c r="DG400" s="446"/>
      <c r="DH400" s="446"/>
      <c r="DI400" s="446"/>
      <c r="DJ400" s="446"/>
      <c r="DK400" s="446"/>
      <c r="DL400" s="446"/>
      <c r="DM400" s="446"/>
      <c r="DN400" s="446"/>
      <c r="DO400" s="446"/>
      <c r="DP400" s="446"/>
      <c r="DQ400" s="446"/>
      <c r="DR400" s="446"/>
      <c r="DS400" s="446"/>
      <c r="DT400" s="446"/>
      <c r="DU400" s="446"/>
      <c r="DV400" s="446"/>
      <c r="DW400" s="446"/>
      <c r="DX400" s="446"/>
      <c r="DY400" s="446"/>
      <c r="DZ400" s="283"/>
    </row>
    <row r="401" spans="2:130" s="223" customFormat="1" x14ac:dyDescent="0.2">
      <c r="D401" s="856"/>
      <c r="E401" s="856"/>
      <c r="F401" s="856"/>
      <c r="G401" s="856"/>
      <c r="H401" s="856"/>
      <c r="I401" s="856"/>
      <c r="J401" s="856"/>
      <c r="K401" s="856"/>
      <c r="L401" s="856"/>
      <c r="M401" s="856"/>
      <c r="N401" s="857"/>
      <c r="O401" s="856"/>
      <c r="P401" s="856"/>
      <c r="Q401" s="858"/>
      <c r="R401" s="858"/>
      <c r="S401" s="859"/>
      <c r="T401" s="856"/>
      <c r="U401" s="856"/>
      <c r="V401" s="856"/>
      <c r="W401" s="856"/>
      <c r="X401" s="856"/>
      <c r="Y401" s="355"/>
      <c r="AB401" s="446"/>
      <c r="AC401" s="446"/>
      <c r="AD401" s="562"/>
      <c r="AE401" s="446"/>
      <c r="AF401" s="446"/>
      <c r="AG401" s="446"/>
      <c r="AH401" s="446"/>
      <c r="AI401" s="446"/>
      <c r="AJ401" s="446"/>
      <c r="AK401" s="446"/>
      <c r="AL401" s="446"/>
      <c r="AM401" s="446"/>
      <c r="AN401" s="446"/>
      <c r="AO401" s="446"/>
      <c r="AP401" s="446"/>
      <c r="AQ401" s="446"/>
      <c r="AR401" s="446"/>
      <c r="AS401" s="446"/>
      <c r="AT401" s="446"/>
      <c r="AU401" s="446"/>
      <c r="AV401" s="446"/>
      <c r="AW401" s="446"/>
      <c r="AX401" s="446"/>
      <c r="AY401" s="446"/>
      <c r="AZ401" s="446"/>
      <c r="BA401" s="446"/>
      <c r="BB401" s="446"/>
      <c r="BC401" s="446"/>
      <c r="BD401" s="446"/>
      <c r="BE401" s="446"/>
      <c r="BF401" s="446"/>
      <c r="BG401" s="446"/>
      <c r="BH401" s="446"/>
      <c r="BI401" s="446"/>
      <c r="BJ401" s="446"/>
      <c r="BK401" s="446"/>
      <c r="BL401" s="446"/>
      <c r="BM401" s="446"/>
      <c r="BN401" s="446"/>
      <c r="BO401" s="446"/>
      <c r="BP401" s="446"/>
      <c r="BQ401" s="446"/>
      <c r="BR401" s="446"/>
      <c r="BS401" s="446"/>
      <c r="BT401" s="446"/>
      <c r="BU401" s="562"/>
      <c r="BV401" s="446"/>
      <c r="BW401" s="446"/>
      <c r="BX401" s="446"/>
      <c r="BY401" s="446"/>
      <c r="BZ401" s="446"/>
      <c r="CA401" s="446"/>
      <c r="CB401" s="446"/>
      <c r="CC401" s="446"/>
      <c r="CD401" s="446"/>
      <c r="CE401" s="446"/>
      <c r="CF401" s="446"/>
      <c r="CG401" s="446"/>
      <c r="CH401" s="446"/>
      <c r="CI401" s="446"/>
      <c r="CJ401" s="446"/>
      <c r="CK401" s="446"/>
      <c r="CL401" s="446"/>
      <c r="CM401" s="446"/>
      <c r="CN401" s="446"/>
      <c r="CO401" s="446"/>
      <c r="CP401" s="446"/>
      <c r="CQ401" s="446"/>
      <c r="CR401" s="446"/>
      <c r="CS401" s="446"/>
      <c r="CT401" s="446"/>
      <c r="CU401" s="446"/>
      <c r="CV401" s="446"/>
      <c r="CW401" s="233"/>
      <c r="CX401" s="446"/>
      <c r="CY401" s="446"/>
      <c r="CZ401" s="446"/>
      <c r="DA401" s="446"/>
      <c r="DB401" s="446"/>
      <c r="DC401" s="446"/>
      <c r="DD401" s="446"/>
      <c r="DE401" s="446"/>
      <c r="DF401" s="446"/>
      <c r="DG401" s="446"/>
      <c r="DH401" s="446"/>
      <c r="DI401" s="446"/>
      <c r="DJ401" s="446"/>
      <c r="DK401" s="446"/>
      <c r="DL401" s="446"/>
      <c r="DM401" s="446"/>
      <c r="DN401" s="446"/>
      <c r="DO401" s="446"/>
      <c r="DP401" s="446"/>
      <c r="DQ401" s="446"/>
      <c r="DR401" s="446"/>
      <c r="DS401" s="446"/>
      <c r="DT401" s="446"/>
      <c r="DU401" s="446"/>
      <c r="DV401" s="446"/>
      <c r="DW401" s="446"/>
      <c r="DX401" s="446"/>
      <c r="DY401" s="446"/>
      <c r="DZ401" s="283"/>
    </row>
    <row r="402" spans="2:130" s="223" customFormat="1" x14ac:dyDescent="0.2">
      <c r="D402" s="856"/>
      <c r="E402" s="856"/>
      <c r="F402" s="856"/>
      <c r="G402" s="856"/>
      <c r="H402" s="856"/>
      <c r="I402" s="856"/>
      <c r="J402" s="856"/>
      <c r="K402" s="856"/>
      <c r="L402" s="856"/>
      <c r="M402" s="856"/>
      <c r="N402" s="857"/>
      <c r="O402" s="856"/>
      <c r="P402" s="856"/>
      <c r="Q402" s="858"/>
      <c r="R402" s="858"/>
      <c r="S402" s="859"/>
      <c r="T402" s="856"/>
      <c r="U402" s="856"/>
      <c r="V402" s="856"/>
      <c r="W402" s="856"/>
      <c r="X402" s="856"/>
      <c r="Y402" s="355"/>
      <c r="AB402" s="446"/>
      <c r="AC402" s="446"/>
      <c r="AD402" s="562"/>
      <c r="AE402" s="446"/>
      <c r="AF402" s="446"/>
      <c r="AG402" s="446"/>
      <c r="AH402" s="446"/>
      <c r="AI402" s="446"/>
      <c r="AJ402" s="446"/>
      <c r="AK402" s="446"/>
      <c r="AL402" s="446"/>
      <c r="AM402" s="446"/>
      <c r="AN402" s="446"/>
      <c r="AO402" s="446"/>
      <c r="AP402" s="446"/>
      <c r="AQ402" s="446"/>
      <c r="AR402" s="446"/>
      <c r="AS402" s="446"/>
      <c r="AT402" s="446"/>
      <c r="AU402" s="446"/>
      <c r="AV402" s="446"/>
      <c r="AW402" s="446"/>
      <c r="AX402" s="446"/>
      <c r="AY402" s="446"/>
      <c r="AZ402" s="446"/>
      <c r="BA402" s="446"/>
      <c r="BB402" s="446"/>
      <c r="BC402" s="446"/>
      <c r="BD402" s="446"/>
      <c r="BE402" s="446"/>
      <c r="BF402" s="446"/>
      <c r="BG402" s="446"/>
      <c r="BH402" s="446"/>
      <c r="BI402" s="446"/>
      <c r="BJ402" s="446"/>
      <c r="BK402" s="446"/>
      <c r="BL402" s="446"/>
      <c r="BM402" s="446"/>
      <c r="BN402" s="446"/>
      <c r="BO402" s="446"/>
      <c r="BP402" s="446"/>
      <c r="BQ402" s="446"/>
      <c r="BR402" s="446"/>
      <c r="BS402" s="446"/>
      <c r="BT402" s="446"/>
      <c r="BU402" s="562"/>
      <c r="BV402" s="446"/>
      <c r="BW402" s="446"/>
      <c r="BX402" s="446"/>
      <c r="BY402" s="446"/>
      <c r="BZ402" s="446"/>
      <c r="CA402" s="446"/>
      <c r="CB402" s="446"/>
      <c r="CC402" s="446"/>
      <c r="CD402" s="446"/>
      <c r="CE402" s="446"/>
      <c r="CF402" s="446"/>
      <c r="CG402" s="446"/>
      <c r="CH402" s="446"/>
      <c r="CI402" s="446"/>
      <c r="CJ402" s="446"/>
      <c r="CK402" s="446"/>
      <c r="CL402" s="446"/>
      <c r="CM402" s="446"/>
      <c r="CN402" s="446"/>
      <c r="CO402" s="446"/>
      <c r="CP402" s="446"/>
      <c r="CQ402" s="446"/>
      <c r="CR402" s="446"/>
      <c r="CS402" s="446"/>
      <c r="CT402" s="446"/>
      <c r="CU402" s="446"/>
      <c r="CV402" s="446"/>
      <c r="CW402" s="233"/>
      <c r="CX402" s="446"/>
      <c r="CY402" s="446"/>
      <c r="CZ402" s="446"/>
      <c r="DA402" s="446"/>
      <c r="DB402" s="446"/>
      <c r="DC402" s="446"/>
      <c r="DD402" s="446"/>
      <c r="DE402" s="446"/>
      <c r="DF402" s="446"/>
      <c r="DG402" s="446"/>
      <c r="DH402" s="446"/>
      <c r="DI402" s="446"/>
      <c r="DJ402" s="446"/>
      <c r="DK402" s="446"/>
      <c r="DL402" s="446"/>
      <c r="DM402" s="446"/>
      <c r="DN402" s="446"/>
      <c r="DO402" s="446"/>
      <c r="DP402" s="446"/>
      <c r="DQ402" s="446"/>
      <c r="DR402" s="446"/>
      <c r="DS402" s="446"/>
      <c r="DT402" s="446"/>
      <c r="DU402" s="446"/>
      <c r="DV402" s="446"/>
      <c r="DW402" s="446"/>
      <c r="DX402" s="446"/>
      <c r="DY402" s="446"/>
      <c r="DZ402" s="283"/>
    </row>
    <row r="403" spans="2:130" s="223" customFormat="1" x14ac:dyDescent="0.2">
      <c r="D403" s="856"/>
      <c r="E403" s="856"/>
      <c r="F403" s="856"/>
      <c r="G403" s="856"/>
      <c r="H403" s="856"/>
      <c r="I403" s="856"/>
      <c r="J403" s="856"/>
      <c r="K403" s="856"/>
      <c r="L403" s="856"/>
      <c r="M403" s="856"/>
      <c r="N403" s="857"/>
      <c r="O403" s="856"/>
      <c r="P403" s="856"/>
      <c r="Q403" s="858"/>
      <c r="R403" s="858"/>
      <c r="S403" s="859"/>
      <c r="T403" s="856"/>
      <c r="U403" s="856"/>
      <c r="V403" s="856"/>
      <c r="W403" s="856"/>
      <c r="X403" s="856"/>
      <c r="Y403" s="355"/>
      <c r="AB403" s="446"/>
      <c r="AC403" s="446"/>
      <c r="AD403" s="562"/>
      <c r="AE403" s="446"/>
      <c r="AF403" s="446"/>
      <c r="AG403" s="446"/>
      <c r="AH403" s="446"/>
      <c r="AI403" s="446"/>
      <c r="AJ403" s="446"/>
      <c r="AK403" s="446"/>
      <c r="AL403" s="446"/>
      <c r="AM403" s="446"/>
      <c r="AN403" s="446"/>
      <c r="AO403" s="446"/>
      <c r="AP403" s="446"/>
      <c r="AQ403" s="446"/>
      <c r="AR403" s="446"/>
      <c r="AS403" s="446"/>
      <c r="AT403" s="446"/>
      <c r="AU403" s="446"/>
      <c r="AV403" s="446"/>
      <c r="AW403" s="446"/>
      <c r="AX403" s="446"/>
      <c r="AY403" s="446"/>
      <c r="AZ403" s="446"/>
      <c r="BA403" s="446"/>
      <c r="BB403" s="446"/>
      <c r="BC403" s="446"/>
      <c r="BD403" s="446"/>
      <c r="BE403" s="446"/>
      <c r="BF403" s="446"/>
      <c r="BG403" s="446"/>
      <c r="BH403" s="446"/>
      <c r="BI403" s="446"/>
      <c r="BJ403" s="446"/>
      <c r="BK403" s="446"/>
      <c r="BL403" s="446"/>
      <c r="BM403" s="446"/>
      <c r="BN403" s="446"/>
      <c r="BO403" s="446"/>
      <c r="BP403" s="446"/>
      <c r="BQ403" s="446"/>
      <c r="BR403" s="446"/>
      <c r="BS403" s="446"/>
      <c r="BT403" s="446"/>
      <c r="BU403" s="562"/>
      <c r="BV403" s="446"/>
      <c r="BW403" s="446"/>
      <c r="BX403" s="446"/>
      <c r="BY403" s="446"/>
      <c r="BZ403" s="446"/>
      <c r="CA403" s="446"/>
      <c r="CB403" s="446"/>
      <c r="CC403" s="446"/>
      <c r="CD403" s="446"/>
      <c r="CE403" s="446"/>
      <c r="CF403" s="446"/>
      <c r="CG403" s="446"/>
      <c r="CH403" s="446"/>
      <c r="CI403" s="446"/>
      <c r="CJ403" s="446"/>
      <c r="CK403" s="446"/>
      <c r="CL403" s="446"/>
      <c r="CM403" s="446"/>
      <c r="CN403" s="446"/>
      <c r="CO403" s="446"/>
      <c r="CP403" s="446"/>
      <c r="CQ403" s="446"/>
      <c r="CR403" s="446"/>
      <c r="CS403" s="446"/>
      <c r="CT403" s="446"/>
      <c r="CU403" s="446"/>
      <c r="CV403" s="446"/>
      <c r="CW403" s="233"/>
      <c r="CX403" s="446"/>
      <c r="CY403" s="446"/>
      <c r="CZ403" s="446"/>
      <c r="DA403" s="446"/>
      <c r="DB403" s="446"/>
      <c r="DC403" s="446"/>
      <c r="DD403" s="446"/>
      <c r="DE403" s="446"/>
      <c r="DF403" s="446"/>
      <c r="DG403" s="446"/>
      <c r="DH403" s="446"/>
      <c r="DI403" s="446"/>
      <c r="DJ403" s="446"/>
      <c r="DK403" s="446"/>
      <c r="DL403" s="446"/>
      <c r="DM403" s="446"/>
      <c r="DN403" s="446"/>
      <c r="DO403" s="446"/>
      <c r="DP403" s="446"/>
      <c r="DQ403" s="446"/>
      <c r="DR403" s="446"/>
      <c r="DS403" s="446"/>
      <c r="DT403" s="446"/>
      <c r="DU403" s="446"/>
      <c r="DV403" s="446"/>
      <c r="DW403" s="446"/>
      <c r="DX403" s="446"/>
      <c r="DY403" s="446"/>
      <c r="DZ403" s="283"/>
    </row>
    <row r="404" spans="2:130" s="223" customFormat="1" ht="13.7" customHeight="1" x14ac:dyDescent="0.2">
      <c r="D404" s="851"/>
      <c r="E404" s="851"/>
      <c r="F404" s="851"/>
      <c r="G404" s="851"/>
      <c r="H404" s="851"/>
      <c r="I404" s="851"/>
      <c r="J404" s="851"/>
      <c r="K404" s="851"/>
      <c r="L404" s="851"/>
      <c r="M404" s="851"/>
      <c r="N404" s="851"/>
      <c r="O404" s="851"/>
      <c r="P404" s="851"/>
      <c r="Q404" s="851"/>
      <c r="R404" s="851"/>
      <c r="S404" s="860"/>
      <c r="T404" s="851"/>
      <c r="U404" s="851"/>
      <c r="V404" s="851"/>
      <c r="W404" s="851"/>
      <c r="X404" s="851"/>
      <c r="Y404" s="851"/>
      <c r="Z404" s="851"/>
      <c r="AA404" s="851"/>
      <c r="AB404" s="851"/>
      <c r="AC404" s="851"/>
      <c r="AD404" s="851"/>
      <c r="AE404" s="446"/>
      <c r="AF404" s="446"/>
      <c r="AG404" s="446"/>
      <c r="AH404" s="446"/>
      <c r="AI404" s="446"/>
      <c r="AJ404" s="446"/>
      <c r="AK404" s="446"/>
      <c r="AL404" s="446"/>
      <c r="AM404" s="446"/>
      <c r="AN404" s="446"/>
      <c r="AO404" s="446"/>
      <c r="AP404" s="446"/>
      <c r="AQ404" s="446"/>
      <c r="AR404" s="446"/>
      <c r="AS404" s="446"/>
      <c r="AT404" s="446"/>
      <c r="AU404" s="446"/>
      <c r="AV404" s="446"/>
      <c r="AW404" s="446"/>
      <c r="AX404" s="446"/>
      <c r="AY404" s="446"/>
      <c r="AZ404" s="446"/>
      <c r="BA404" s="446"/>
      <c r="BB404" s="446"/>
      <c r="BC404" s="446"/>
      <c r="BD404" s="446"/>
      <c r="BE404" s="446"/>
      <c r="BF404" s="446"/>
      <c r="BG404" s="446"/>
      <c r="BH404" s="446"/>
      <c r="BI404" s="446"/>
      <c r="BJ404" s="446"/>
      <c r="BK404" s="446"/>
      <c r="BL404" s="446"/>
      <c r="BM404" s="446"/>
      <c r="BN404" s="446"/>
      <c r="BO404" s="446"/>
      <c r="BP404" s="446"/>
      <c r="BQ404" s="446"/>
      <c r="BR404" s="446"/>
      <c r="BS404" s="446"/>
      <c r="BT404" s="446"/>
      <c r="BU404" s="562"/>
      <c r="BV404" s="446"/>
      <c r="BW404" s="446"/>
      <c r="BX404" s="446"/>
      <c r="BY404" s="446"/>
      <c r="BZ404" s="446"/>
      <c r="CA404" s="446"/>
      <c r="CB404" s="446"/>
      <c r="CC404" s="446"/>
      <c r="CD404" s="446"/>
      <c r="CE404" s="446"/>
      <c r="CF404" s="446"/>
      <c r="CG404" s="446"/>
      <c r="CH404" s="446"/>
      <c r="CI404" s="446"/>
      <c r="CJ404" s="446"/>
      <c r="CK404" s="446"/>
      <c r="CL404" s="446"/>
      <c r="CM404" s="446"/>
      <c r="CN404" s="446"/>
      <c r="CO404" s="446"/>
      <c r="CP404" s="446"/>
      <c r="CQ404" s="446"/>
      <c r="CR404" s="446"/>
      <c r="CS404" s="446"/>
      <c r="CT404" s="446"/>
      <c r="CU404" s="446"/>
      <c r="CV404" s="446"/>
      <c r="CW404" s="233"/>
      <c r="CX404" s="446"/>
      <c r="CY404" s="446"/>
      <c r="CZ404" s="446"/>
      <c r="DA404" s="446"/>
      <c r="DB404" s="446"/>
      <c r="DC404" s="446"/>
      <c r="DD404" s="446"/>
      <c r="DE404" s="446"/>
      <c r="DF404" s="446"/>
      <c r="DG404" s="446"/>
      <c r="DH404" s="446"/>
      <c r="DI404" s="446"/>
      <c r="DJ404" s="446"/>
      <c r="DK404" s="446"/>
      <c r="DL404" s="446"/>
      <c r="DM404" s="446"/>
      <c r="DN404" s="446"/>
      <c r="DO404" s="446"/>
      <c r="DP404" s="446"/>
      <c r="DQ404" s="446"/>
      <c r="DR404" s="446"/>
      <c r="DS404" s="446"/>
      <c r="DT404" s="446"/>
      <c r="DU404" s="446"/>
      <c r="DV404" s="446"/>
      <c r="DW404" s="446"/>
      <c r="DX404" s="446"/>
      <c r="DY404" s="446"/>
      <c r="DZ404" s="283"/>
    </row>
    <row r="405" spans="2:130" s="223" customFormat="1" x14ac:dyDescent="0.2">
      <c r="D405" s="820"/>
      <c r="E405" s="861"/>
      <c r="F405" s="820"/>
      <c r="G405" s="820"/>
      <c r="H405" s="820"/>
      <c r="I405" s="820"/>
      <c r="J405" s="820"/>
      <c r="K405" s="820"/>
      <c r="L405" s="820"/>
      <c r="M405" s="820"/>
      <c r="N405" s="820"/>
      <c r="O405" s="820"/>
      <c r="P405" s="820"/>
      <c r="Q405" s="820"/>
      <c r="R405" s="820"/>
      <c r="S405" s="470"/>
      <c r="T405" s="820"/>
      <c r="U405" s="820"/>
      <c r="V405" s="820"/>
      <c r="W405" s="820"/>
      <c r="X405" s="820"/>
      <c r="Y405" s="820"/>
      <c r="Z405" s="820"/>
      <c r="AA405" s="820"/>
      <c r="AB405" s="820"/>
      <c r="AC405" s="820"/>
      <c r="AD405" s="820"/>
      <c r="AE405" s="446"/>
      <c r="AF405" s="446"/>
      <c r="AG405" s="446"/>
      <c r="AH405" s="446"/>
      <c r="AI405" s="446"/>
      <c r="AJ405" s="446"/>
      <c r="AK405" s="446"/>
      <c r="AL405" s="446"/>
      <c r="AM405" s="446"/>
      <c r="AN405" s="446"/>
      <c r="AO405" s="446"/>
      <c r="AP405" s="446"/>
      <c r="AQ405" s="446"/>
      <c r="AR405" s="446"/>
      <c r="AS405" s="446"/>
      <c r="AT405" s="446"/>
      <c r="AU405" s="446"/>
      <c r="AV405" s="446"/>
      <c r="AW405" s="446"/>
      <c r="AX405" s="446"/>
      <c r="AY405" s="446"/>
      <c r="AZ405" s="446"/>
      <c r="BA405" s="446"/>
      <c r="BB405" s="446"/>
      <c r="BC405" s="446"/>
      <c r="BD405" s="446"/>
      <c r="BE405" s="446"/>
      <c r="BF405" s="446"/>
      <c r="BG405" s="446"/>
      <c r="BH405" s="446"/>
      <c r="BI405" s="446"/>
      <c r="BJ405" s="446"/>
      <c r="BK405" s="446"/>
      <c r="BL405" s="446"/>
      <c r="BM405" s="446"/>
      <c r="BN405" s="446"/>
      <c r="BO405" s="446"/>
      <c r="BP405" s="446"/>
      <c r="BQ405" s="446"/>
      <c r="BR405" s="446"/>
      <c r="BS405" s="446"/>
      <c r="BT405" s="446"/>
      <c r="BU405" s="562"/>
      <c r="BV405" s="446"/>
      <c r="BW405" s="446"/>
      <c r="BX405" s="446"/>
      <c r="BY405" s="446"/>
      <c r="BZ405" s="446"/>
      <c r="CA405" s="446"/>
      <c r="CB405" s="446"/>
      <c r="CC405" s="446"/>
      <c r="CD405" s="446"/>
      <c r="CE405" s="446"/>
      <c r="CF405" s="446"/>
      <c r="CG405" s="446"/>
      <c r="CH405" s="446"/>
      <c r="CI405" s="446"/>
      <c r="CJ405" s="446"/>
      <c r="CK405" s="446"/>
      <c r="CL405" s="446"/>
      <c r="CM405" s="446"/>
      <c r="CN405" s="446"/>
      <c r="CO405" s="446"/>
      <c r="CP405" s="446"/>
      <c r="CQ405" s="446"/>
      <c r="CR405" s="446"/>
      <c r="CS405" s="446"/>
      <c r="CT405" s="446"/>
      <c r="CU405" s="446"/>
      <c r="CV405" s="446"/>
      <c r="CW405" s="233"/>
      <c r="CX405" s="446"/>
      <c r="CY405" s="446"/>
      <c r="CZ405" s="446"/>
      <c r="DA405" s="446"/>
      <c r="DB405" s="446"/>
      <c r="DC405" s="446"/>
      <c r="DD405" s="446"/>
      <c r="DE405" s="446"/>
      <c r="DF405" s="446"/>
      <c r="DG405" s="446"/>
      <c r="DH405" s="446"/>
      <c r="DI405" s="446"/>
      <c r="DJ405" s="446"/>
      <c r="DK405" s="446"/>
      <c r="DL405" s="446"/>
      <c r="DM405" s="446"/>
      <c r="DN405" s="446"/>
      <c r="DO405" s="446"/>
      <c r="DP405" s="446"/>
      <c r="DQ405" s="446"/>
      <c r="DR405" s="446"/>
      <c r="DS405" s="446"/>
      <c r="DT405" s="446"/>
      <c r="DU405" s="446"/>
      <c r="DV405" s="446"/>
      <c r="DW405" s="446"/>
      <c r="DX405" s="446"/>
      <c r="DY405" s="446"/>
      <c r="DZ405" s="283"/>
    </row>
    <row r="406" spans="2:130" s="223" customFormat="1" x14ac:dyDescent="0.2">
      <c r="D406" s="820"/>
      <c r="E406" s="820"/>
      <c r="F406" s="820"/>
      <c r="G406" s="820"/>
      <c r="H406" s="820"/>
      <c r="I406" s="820"/>
      <c r="J406" s="820"/>
      <c r="K406" s="820"/>
      <c r="L406" s="820"/>
      <c r="M406" s="820"/>
      <c r="N406" s="820"/>
      <c r="O406" s="820"/>
      <c r="P406" s="820"/>
      <c r="Q406" s="820"/>
      <c r="R406" s="820"/>
      <c r="S406" s="470"/>
      <c r="T406" s="820"/>
      <c r="U406" s="820"/>
      <c r="V406" s="820"/>
      <c r="W406" s="820"/>
      <c r="X406" s="820"/>
      <c r="Y406" s="820"/>
      <c r="Z406" s="820"/>
      <c r="AA406" s="820"/>
      <c r="AB406" s="820"/>
      <c r="AC406" s="820"/>
      <c r="AD406" s="820"/>
      <c r="AE406" s="446"/>
      <c r="AF406" s="446"/>
      <c r="AG406" s="446"/>
      <c r="AH406" s="446"/>
      <c r="AI406" s="446"/>
      <c r="AJ406" s="446"/>
      <c r="AK406" s="446"/>
      <c r="AL406" s="446"/>
      <c r="AM406" s="446"/>
      <c r="AN406" s="446"/>
      <c r="AO406" s="446"/>
      <c r="AP406" s="446"/>
      <c r="AQ406" s="446"/>
      <c r="AR406" s="446"/>
      <c r="AS406" s="446"/>
      <c r="AT406" s="446"/>
      <c r="AU406" s="446"/>
      <c r="AV406" s="446"/>
      <c r="AW406" s="446"/>
      <c r="AX406" s="446"/>
      <c r="AY406" s="446"/>
      <c r="AZ406" s="446"/>
      <c r="BA406" s="446"/>
      <c r="BB406" s="446"/>
      <c r="BC406" s="446"/>
      <c r="BD406" s="446"/>
      <c r="BE406" s="446"/>
      <c r="BF406" s="446"/>
      <c r="BG406" s="446"/>
      <c r="BH406" s="446"/>
      <c r="BI406" s="446"/>
      <c r="BJ406" s="446"/>
      <c r="BK406" s="446"/>
      <c r="BL406" s="446"/>
      <c r="BM406" s="446"/>
      <c r="BN406" s="446"/>
      <c r="BO406" s="446"/>
      <c r="BP406" s="446"/>
      <c r="BQ406" s="446"/>
      <c r="BR406" s="446"/>
      <c r="BS406" s="446"/>
      <c r="BT406" s="446"/>
      <c r="BU406" s="562"/>
      <c r="BV406" s="446"/>
      <c r="BW406" s="446"/>
      <c r="BX406" s="446"/>
      <c r="BY406" s="446"/>
      <c r="BZ406" s="446"/>
      <c r="CA406" s="446"/>
      <c r="CB406" s="446"/>
      <c r="CC406" s="446"/>
      <c r="CD406" s="446"/>
      <c r="CE406" s="446"/>
      <c r="CF406" s="446"/>
      <c r="CG406" s="446"/>
      <c r="CH406" s="446"/>
      <c r="CI406" s="446"/>
      <c r="CJ406" s="446"/>
      <c r="CK406" s="446"/>
      <c r="CL406" s="446"/>
      <c r="CM406" s="446"/>
      <c r="CN406" s="446"/>
      <c r="CO406" s="446"/>
      <c r="CP406" s="446"/>
      <c r="CQ406" s="446"/>
      <c r="CR406" s="446"/>
      <c r="CS406" s="446"/>
      <c r="CT406" s="446"/>
      <c r="CU406" s="446"/>
      <c r="CV406" s="446"/>
      <c r="CW406" s="233"/>
      <c r="CX406" s="446"/>
      <c r="CY406" s="446"/>
      <c r="CZ406" s="446"/>
      <c r="DA406" s="446"/>
      <c r="DB406" s="446"/>
      <c r="DC406" s="446"/>
      <c r="DD406" s="446"/>
      <c r="DE406" s="446"/>
      <c r="DF406" s="446"/>
      <c r="DG406" s="446"/>
      <c r="DH406" s="446"/>
      <c r="DI406" s="446"/>
      <c r="DJ406" s="446"/>
      <c r="DK406" s="446"/>
      <c r="DL406" s="446"/>
      <c r="DM406" s="446"/>
      <c r="DN406" s="446"/>
      <c r="DO406" s="446"/>
      <c r="DP406" s="446"/>
      <c r="DQ406" s="446"/>
      <c r="DR406" s="446"/>
      <c r="DS406" s="446"/>
      <c r="DT406" s="446"/>
      <c r="DU406" s="446"/>
      <c r="DV406" s="446"/>
      <c r="DW406" s="446"/>
      <c r="DX406" s="446"/>
      <c r="DY406" s="446"/>
      <c r="DZ406" s="283"/>
    </row>
    <row r="407" spans="2:130" s="223" customFormat="1" x14ac:dyDescent="0.2">
      <c r="D407" s="856"/>
      <c r="E407" s="856"/>
      <c r="F407" s="856"/>
      <c r="G407" s="856"/>
      <c r="H407" s="856"/>
      <c r="I407" s="862"/>
      <c r="J407" s="863"/>
      <c r="K407" s="862"/>
      <c r="L407" s="863"/>
      <c r="M407" s="862"/>
      <c r="N407" s="863"/>
      <c r="O407" s="862"/>
      <c r="P407" s="864"/>
      <c r="Q407" s="862"/>
      <c r="R407" s="862"/>
      <c r="S407" s="865"/>
      <c r="T407" s="862"/>
      <c r="U407" s="864"/>
      <c r="V407" s="862"/>
      <c r="W407" s="864"/>
      <c r="X407" s="862"/>
      <c r="Y407" s="864"/>
      <c r="Z407" s="862"/>
      <c r="AA407" s="864"/>
      <c r="AB407" s="862"/>
      <c r="AC407" s="864"/>
      <c r="AD407" s="862"/>
      <c r="AE407" s="866"/>
      <c r="AF407" s="862"/>
      <c r="AG407" s="866"/>
      <c r="AH407" s="446"/>
      <c r="AI407" s="446"/>
      <c r="AJ407" s="446"/>
      <c r="AK407" s="446"/>
      <c r="AL407" s="446"/>
      <c r="AM407" s="446"/>
      <c r="AN407" s="446"/>
      <c r="AO407" s="446"/>
      <c r="AP407" s="446"/>
      <c r="AQ407" s="446"/>
      <c r="AR407" s="446"/>
      <c r="AS407" s="446"/>
      <c r="AT407" s="446"/>
      <c r="AU407" s="446"/>
      <c r="AV407" s="446"/>
      <c r="AW407" s="446"/>
      <c r="AX407" s="446"/>
      <c r="AY407" s="446"/>
      <c r="AZ407" s="446"/>
      <c r="BA407" s="446"/>
      <c r="BB407" s="446"/>
      <c r="BC407" s="446"/>
      <c r="BD407" s="446"/>
      <c r="BE407" s="446"/>
      <c r="BF407" s="446"/>
      <c r="BG407" s="446"/>
      <c r="BH407" s="446"/>
      <c r="BI407" s="446"/>
      <c r="BJ407" s="446"/>
      <c r="BK407" s="446"/>
      <c r="BL407" s="446"/>
      <c r="BM407" s="446"/>
      <c r="BN407" s="446"/>
      <c r="BO407" s="446"/>
      <c r="BP407" s="446"/>
      <c r="BQ407" s="446"/>
      <c r="BR407" s="446"/>
      <c r="BS407" s="446"/>
      <c r="BT407" s="446"/>
      <c r="BU407" s="562"/>
      <c r="BV407" s="446"/>
      <c r="BW407" s="446"/>
      <c r="BX407" s="446"/>
      <c r="BY407" s="446"/>
      <c r="BZ407" s="446"/>
      <c r="CA407" s="446"/>
      <c r="CB407" s="446"/>
      <c r="CC407" s="446"/>
      <c r="CD407" s="446"/>
      <c r="CE407" s="446"/>
      <c r="CF407" s="446"/>
      <c r="CG407" s="446"/>
      <c r="CH407" s="446"/>
      <c r="CI407" s="446"/>
      <c r="CJ407" s="446"/>
      <c r="CK407" s="446"/>
      <c r="CL407" s="446"/>
      <c r="CM407" s="446"/>
      <c r="CN407" s="446"/>
      <c r="CO407" s="446"/>
      <c r="CP407" s="446"/>
      <c r="CQ407" s="446"/>
      <c r="CR407" s="446"/>
      <c r="CS407" s="446"/>
      <c r="CT407" s="446"/>
      <c r="CU407" s="446"/>
      <c r="CV407" s="446"/>
      <c r="CW407" s="233"/>
      <c r="CX407" s="446"/>
      <c r="CY407" s="446"/>
      <c r="CZ407" s="446"/>
      <c r="DA407" s="446"/>
      <c r="DB407" s="446"/>
      <c r="DC407" s="446"/>
      <c r="DD407" s="446"/>
      <c r="DE407" s="446"/>
      <c r="DF407" s="446"/>
      <c r="DG407" s="446"/>
      <c r="DH407" s="446"/>
      <c r="DI407" s="446"/>
      <c r="DJ407" s="446"/>
      <c r="DK407" s="446"/>
      <c r="DL407" s="446"/>
      <c r="DM407" s="446"/>
      <c r="DN407" s="446"/>
      <c r="DO407" s="446"/>
      <c r="DP407" s="446"/>
      <c r="DQ407" s="446"/>
      <c r="DR407" s="446"/>
      <c r="DS407" s="446"/>
      <c r="DT407" s="446"/>
      <c r="DU407" s="446"/>
      <c r="DV407" s="446"/>
      <c r="DW407" s="446"/>
      <c r="DX407" s="446"/>
      <c r="DY407" s="446"/>
      <c r="DZ407" s="283"/>
    </row>
    <row r="408" spans="2:130" s="223" customFormat="1" x14ac:dyDescent="0.2">
      <c r="D408" s="856"/>
      <c r="E408" s="856"/>
      <c r="F408" s="856"/>
      <c r="G408" s="856"/>
      <c r="H408" s="856"/>
      <c r="I408" s="867"/>
      <c r="J408" s="868"/>
      <c r="K408" s="867"/>
      <c r="L408" s="869"/>
      <c r="M408" s="867"/>
      <c r="N408" s="869"/>
      <c r="O408" s="867"/>
      <c r="P408" s="868"/>
      <c r="Q408" s="867"/>
      <c r="R408" s="867"/>
      <c r="S408" s="233"/>
      <c r="T408" s="867"/>
      <c r="U408" s="868"/>
      <c r="V408" s="867"/>
      <c r="W408" s="868"/>
      <c r="X408" s="867"/>
      <c r="Y408" s="868"/>
      <c r="Z408" s="867"/>
      <c r="AA408" s="868"/>
      <c r="AB408" s="867"/>
      <c r="AC408" s="868"/>
      <c r="AD408" s="867"/>
      <c r="AE408" s="868"/>
      <c r="AF408" s="867"/>
      <c r="AG408" s="868"/>
      <c r="AH408" s="446"/>
      <c r="AI408" s="446"/>
      <c r="AJ408" s="446"/>
      <c r="AK408" s="446"/>
      <c r="AL408" s="446"/>
      <c r="AM408" s="446"/>
      <c r="AN408" s="446"/>
      <c r="AO408" s="446"/>
      <c r="AP408" s="446"/>
      <c r="AQ408" s="446"/>
      <c r="AR408" s="446"/>
      <c r="AS408" s="446"/>
      <c r="AT408" s="446"/>
      <c r="AU408" s="446"/>
      <c r="AV408" s="446"/>
      <c r="AW408" s="446"/>
      <c r="AX408" s="446"/>
      <c r="AY408" s="446"/>
      <c r="AZ408" s="446"/>
      <c r="BA408" s="446"/>
      <c r="BB408" s="446"/>
      <c r="BC408" s="446"/>
      <c r="BD408" s="446"/>
      <c r="BE408" s="446"/>
      <c r="BF408" s="446"/>
      <c r="BG408" s="446"/>
      <c r="BH408" s="446"/>
      <c r="BI408" s="446"/>
      <c r="BJ408" s="446"/>
      <c r="BK408" s="446"/>
      <c r="BL408" s="446"/>
      <c r="BM408" s="446"/>
      <c r="BN408" s="446"/>
      <c r="BO408" s="446"/>
      <c r="BP408" s="446"/>
      <c r="BQ408" s="446"/>
      <c r="BR408" s="446"/>
      <c r="BS408" s="446"/>
      <c r="BT408" s="446"/>
      <c r="BU408" s="562"/>
      <c r="BV408" s="446"/>
      <c r="BW408" s="446"/>
      <c r="BX408" s="446"/>
      <c r="BY408" s="446"/>
      <c r="BZ408" s="446"/>
      <c r="CA408" s="446"/>
      <c r="CB408" s="446"/>
      <c r="CC408" s="446"/>
      <c r="CD408" s="446"/>
      <c r="CE408" s="446"/>
      <c r="CF408" s="446"/>
      <c r="CG408" s="446"/>
      <c r="CH408" s="446"/>
      <c r="CI408" s="446"/>
      <c r="CJ408" s="446"/>
      <c r="CK408" s="446"/>
      <c r="CL408" s="446"/>
      <c r="CM408" s="446"/>
      <c r="CN408" s="446"/>
      <c r="CO408" s="446"/>
      <c r="CP408" s="446"/>
      <c r="CQ408" s="446"/>
      <c r="CR408" s="446"/>
      <c r="CS408" s="446"/>
      <c r="CT408" s="446"/>
      <c r="CU408" s="446"/>
      <c r="CV408" s="446"/>
      <c r="CW408" s="233"/>
      <c r="CX408" s="446"/>
      <c r="CY408" s="446"/>
      <c r="CZ408" s="446"/>
      <c r="DA408" s="446"/>
      <c r="DB408" s="446"/>
      <c r="DC408" s="446"/>
      <c r="DD408" s="446"/>
      <c r="DE408" s="446"/>
      <c r="DF408" s="446"/>
      <c r="DG408" s="446"/>
      <c r="DH408" s="446"/>
      <c r="DI408" s="446"/>
      <c r="DJ408" s="446"/>
      <c r="DK408" s="446"/>
      <c r="DL408" s="446"/>
      <c r="DM408" s="446"/>
      <c r="DN408" s="446"/>
      <c r="DO408" s="446"/>
      <c r="DP408" s="446"/>
      <c r="DQ408" s="446"/>
      <c r="DR408" s="446"/>
      <c r="DS408" s="446"/>
      <c r="DT408" s="446"/>
      <c r="DU408" s="446"/>
      <c r="DV408" s="446"/>
      <c r="DW408" s="446"/>
      <c r="DX408" s="446"/>
      <c r="DY408" s="446"/>
      <c r="DZ408" s="283"/>
    </row>
    <row r="409" spans="2:130" s="223" customFormat="1" x14ac:dyDescent="0.2">
      <c r="D409" s="856"/>
      <c r="E409" s="856"/>
      <c r="F409" s="856"/>
      <c r="G409" s="856"/>
      <c r="H409" s="856"/>
      <c r="I409" s="867"/>
      <c r="J409" s="868"/>
      <c r="K409" s="867"/>
      <c r="L409" s="868"/>
      <c r="M409" s="867"/>
      <c r="N409" s="868"/>
      <c r="O409" s="867"/>
      <c r="P409" s="868"/>
      <c r="Q409" s="867"/>
      <c r="R409" s="867"/>
      <c r="S409" s="233"/>
      <c r="T409" s="867"/>
      <c r="U409" s="868"/>
      <c r="V409" s="867"/>
      <c r="W409" s="868"/>
      <c r="X409" s="867"/>
      <c r="Y409" s="868"/>
      <c r="Z409" s="867"/>
      <c r="AA409" s="868"/>
      <c r="AB409" s="867"/>
      <c r="AC409" s="868"/>
      <c r="AD409" s="867"/>
      <c r="AE409" s="868"/>
      <c r="AF409" s="867"/>
      <c r="AG409" s="868"/>
      <c r="AH409" s="446"/>
      <c r="AI409" s="446"/>
      <c r="AJ409" s="446"/>
      <c r="AK409" s="446"/>
      <c r="AL409" s="446"/>
      <c r="AM409" s="446"/>
      <c r="AN409" s="446"/>
      <c r="AO409" s="446"/>
      <c r="AP409" s="446"/>
      <c r="AQ409" s="446"/>
      <c r="AR409" s="446"/>
      <c r="AS409" s="446"/>
      <c r="AT409" s="446"/>
      <c r="AU409" s="446"/>
      <c r="AV409" s="446"/>
      <c r="AW409" s="446"/>
      <c r="AX409" s="446"/>
      <c r="AY409" s="446"/>
      <c r="AZ409" s="446"/>
      <c r="BA409" s="446"/>
      <c r="BB409" s="446"/>
      <c r="BC409" s="446"/>
      <c r="BD409" s="446"/>
      <c r="BE409" s="446"/>
      <c r="BF409" s="446"/>
      <c r="BG409" s="446"/>
      <c r="BH409" s="446"/>
      <c r="BI409" s="446"/>
      <c r="BJ409" s="446"/>
      <c r="BK409" s="446"/>
      <c r="BL409" s="446"/>
      <c r="BM409" s="446"/>
      <c r="BN409" s="446"/>
      <c r="BO409" s="446"/>
      <c r="BP409" s="446"/>
      <c r="BQ409" s="446"/>
      <c r="BR409" s="446"/>
      <c r="BS409" s="446"/>
      <c r="BT409" s="446"/>
      <c r="BU409" s="562"/>
      <c r="BV409" s="446"/>
      <c r="BW409" s="446"/>
      <c r="BX409" s="446"/>
      <c r="BY409" s="446"/>
      <c r="BZ409" s="446"/>
      <c r="CA409" s="446"/>
      <c r="CB409" s="446"/>
      <c r="CC409" s="446"/>
      <c r="CD409" s="446"/>
      <c r="CE409" s="446"/>
      <c r="CF409" s="446"/>
      <c r="CG409" s="446"/>
      <c r="CH409" s="446"/>
      <c r="CI409" s="446"/>
      <c r="CJ409" s="446"/>
      <c r="CK409" s="446"/>
      <c r="CL409" s="446"/>
      <c r="CM409" s="446"/>
      <c r="CN409" s="446"/>
      <c r="CO409" s="446"/>
      <c r="CP409" s="446"/>
      <c r="CQ409" s="446"/>
      <c r="CR409" s="446"/>
      <c r="CS409" s="446"/>
      <c r="CT409" s="446"/>
      <c r="CU409" s="446"/>
      <c r="CV409" s="446"/>
      <c r="CW409" s="233"/>
      <c r="CX409" s="446"/>
      <c r="CY409" s="446"/>
      <c r="CZ409" s="446"/>
      <c r="DA409" s="446"/>
      <c r="DB409" s="446"/>
      <c r="DC409" s="446"/>
      <c r="DD409" s="446"/>
      <c r="DE409" s="446"/>
      <c r="DF409" s="446"/>
      <c r="DG409" s="446"/>
      <c r="DH409" s="446"/>
      <c r="DI409" s="446"/>
      <c r="DJ409" s="446"/>
      <c r="DK409" s="446"/>
      <c r="DL409" s="446"/>
      <c r="DM409" s="446"/>
      <c r="DN409" s="446"/>
      <c r="DO409" s="446"/>
      <c r="DP409" s="446"/>
      <c r="DQ409" s="446"/>
      <c r="DR409" s="446"/>
      <c r="DS409" s="446"/>
      <c r="DT409" s="446"/>
      <c r="DU409" s="446"/>
      <c r="DV409" s="446"/>
      <c r="DW409" s="446"/>
      <c r="DX409" s="446"/>
      <c r="DY409" s="446"/>
      <c r="DZ409" s="283"/>
    </row>
    <row r="410" spans="2:130" s="223" customFormat="1" x14ac:dyDescent="0.2">
      <c r="D410" s="856"/>
      <c r="E410" s="856"/>
      <c r="F410" s="856"/>
      <c r="G410" s="856"/>
      <c r="H410" s="856"/>
      <c r="I410" s="870"/>
      <c r="J410" s="868"/>
      <c r="K410" s="870"/>
      <c r="L410" s="868"/>
      <c r="M410" s="870"/>
      <c r="N410" s="868"/>
      <c r="O410" s="870"/>
      <c r="P410" s="868"/>
      <c r="Q410" s="870"/>
      <c r="R410" s="870"/>
      <c r="S410" s="233"/>
      <c r="T410" s="870"/>
      <c r="U410" s="868"/>
      <c r="V410" s="870"/>
      <c r="W410" s="868"/>
      <c r="X410" s="870"/>
      <c r="Y410" s="868"/>
      <c r="Z410" s="870"/>
      <c r="AA410" s="868"/>
      <c r="AB410" s="870"/>
      <c r="AC410" s="868"/>
      <c r="AD410" s="870"/>
      <c r="AE410" s="868"/>
      <c r="AF410" s="870"/>
      <c r="AG410" s="868"/>
      <c r="AH410" s="446"/>
      <c r="AI410" s="446"/>
      <c r="AJ410" s="446"/>
      <c r="AK410" s="446"/>
      <c r="AL410" s="446"/>
      <c r="AM410" s="446"/>
      <c r="AN410" s="446"/>
      <c r="AO410" s="446"/>
      <c r="AP410" s="446"/>
      <c r="AQ410" s="446"/>
      <c r="AR410" s="446"/>
      <c r="AS410" s="446"/>
      <c r="AT410" s="446"/>
      <c r="AU410" s="446"/>
      <c r="AV410" s="446"/>
      <c r="AW410" s="446"/>
      <c r="AX410" s="446"/>
      <c r="AY410" s="446"/>
      <c r="AZ410" s="446"/>
      <c r="BA410" s="446"/>
      <c r="BB410" s="446"/>
      <c r="BC410" s="446"/>
      <c r="BD410" s="446"/>
      <c r="BE410" s="446"/>
      <c r="BF410" s="446"/>
      <c r="BG410" s="446"/>
      <c r="BH410" s="446"/>
      <c r="BI410" s="446"/>
      <c r="BJ410" s="446"/>
      <c r="BK410" s="446"/>
      <c r="BL410" s="446"/>
      <c r="BM410" s="446"/>
      <c r="BN410" s="446"/>
      <c r="BO410" s="446"/>
      <c r="BP410" s="446"/>
      <c r="BQ410" s="446"/>
      <c r="BR410" s="446"/>
      <c r="BS410" s="446"/>
      <c r="BT410" s="446"/>
      <c r="BU410" s="562"/>
      <c r="BV410" s="446"/>
      <c r="BW410" s="446"/>
      <c r="BX410" s="446"/>
      <c r="BY410" s="446"/>
      <c r="BZ410" s="446"/>
      <c r="CA410" s="446"/>
      <c r="CB410" s="446"/>
      <c r="CC410" s="446"/>
      <c r="CD410" s="446"/>
      <c r="CE410" s="446"/>
      <c r="CF410" s="446"/>
      <c r="CG410" s="446"/>
      <c r="CH410" s="446"/>
      <c r="CI410" s="446"/>
      <c r="CJ410" s="446"/>
      <c r="CK410" s="446"/>
      <c r="CL410" s="446"/>
      <c r="CM410" s="446"/>
      <c r="CN410" s="446"/>
      <c r="CO410" s="446"/>
      <c r="CP410" s="446"/>
      <c r="CQ410" s="446"/>
      <c r="CR410" s="446"/>
      <c r="CS410" s="446"/>
      <c r="CT410" s="446"/>
      <c r="CU410" s="446"/>
      <c r="CV410" s="446"/>
      <c r="CW410" s="233"/>
      <c r="CX410" s="446"/>
      <c r="CY410" s="446"/>
      <c r="CZ410" s="446"/>
      <c r="DA410" s="446"/>
      <c r="DB410" s="446"/>
      <c r="DC410" s="446"/>
      <c r="DD410" s="446"/>
      <c r="DE410" s="446"/>
      <c r="DF410" s="446"/>
      <c r="DG410" s="446"/>
      <c r="DH410" s="446"/>
      <c r="DI410" s="446"/>
      <c r="DJ410" s="446"/>
      <c r="DK410" s="446"/>
      <c r="DL410" s="446"/>
      <c r="DM410" s="446"/>
      <c r="DN410" s="446"/>
      <c r="DO410" s="446"/>
      <c r="DP410" s="446"/>
      <c r="DQ410" s="446"/>
      <c r="DR410" s="446"/>
      <c r="DS410" s="446"/>
      <c r="DT410" s="446"/>
      <c r="DU410" s="446"/>
      <c r="DV410" s="446"/>
      <c r="DW410" s="446"/>
      <c r="DX410" s="446"/>
      <c r="DY410" s="446"/>
      <c r="DZ410" s="283"/>
    </row>
    <row r="411" spans="2:130" s="223" customFormat="1" x14ac:dyDescent="0.2">
      <c r="D411" s="856"/>
      <c r="E411" s="856"/>
      <c r="F411" s="856"/>
      <c r="G411" s="856"/>
      <c r="H411" s="856"/>
      <c r="I411" s="867"/>
      <c r="J411" s="868"/>
      <c r="K411" s="867"/>
      <c r="L411" s="868"/>
      <c r="M411" s="867"/>
      <c r="N411" s="868"/>
      <c r="O411" s="867"/>
      <c r="P411" s="868"/>
      <c r="Q411" s="867"/>
      <c r="R411" s="867"/>
      <c r="S411" s="233"/>
      <c r="T411" s="867"/>
      <c r="U411" s="868"/>
      <c r="V411" s="867"/>
      <c r="W411" s="868"/>
      <c r="X411" s="867"/>
      <c r="Y411" s="868"/>
      <c r="Z411" s="867"/>
      <c r="AA411" s="868"/>
      <c r="AB411" s="867"/>
      <c r="AC411" s="868"/>
      <c r="AD411" s="867"/>
      <c r="AE411" s="868"/>
      <c r="AF411" s="867"/>
      <c r="AG411" s="868"/>
      <c r="AH411" s="446"/>
      <c r="AI411" s="446"/>
      <c r="AJ411" s="446"/>
      <c r="AK411" s="446"/>
      <c r="AL411" s="446"/>
      <c r="AM411" s="446"/>
      <c r="AN411" s="446"/>
      <c r="AO411" s="446"/>
      <c r="AP411" s="446"/>
      <c r="AQ411" s="446"/>
      <c r="AR411" s="446"/>
      <c r="AS411" s="446"/>
      <c r="AT411" s="446"/>
      <c r="AU411" s="446"/>
      <c r="AV411" s="446"/>
      <c r="AW411" s="446"/>
      <c r="AX411" s="446"/>
      <c r="AY411" s="446"/>
      <c r="AZ411" s="446"/>
      <c r="BA411" s="446"/>
      <c r="BB411" s="446"/>
      <c r="BC411" s="446"/>
      <c r="BD411" s="446"/>
      <c r="BE411" s="446"/>
      <c r="BF411" s="446"/>
      <c r="BG411" s="446"/>
      <c r="BH411" s="446"/>
      <c r="BI411" s="446"/>
      <c r="BJ411" s="446"/>
      <c r="BK411" s="446"/>
      <c r="BL411" s="446"/>
      <c r="BM411" s="446"/>
      <c r="BN411" s="446"/>
      <c r="BO411" s="446"/>
      <c r="BP411" s="446"/>
      <c r="BQ411" s="446"/>
      <c r="BR411" s="446"/>
      <c r="BS411" s="446"/>
      <c r="BT411" s="446"/>
      <c r="BU411" s="562"/>
      <c r="BV411" s="446"/>
      <c r="BW411" s="446"/>
      <c r="BX411" s="446"/>
      <c r="BY411" s="446"/>
      <c r="BZ411" s="446"/>
      <c r="CA411" s="446"/>
      <c r="CB411" s="446"/>
      <c r="CC411" s="446"/>
      <c r="CD411" s="446"/>
      <c r="CE411" s="446"/>
      <c r="CF411" s="446"/>
      <c r="CG411" s="446"/>
      <c r="CH411" s="446"/>
      <c r="CI411" s="446"/>
      <c r="CJ411" s="446"/>
      <c r="CK411" s="446"/>
      <c r="CL411" s="446"/>
      <c r="CM411" s="446"/>
      <c r="CN411" s="446"/>
      <c r="CO411" s="446"/>
      <c r="CP411" s="446"/>
      <c r="CQ411" s="446"/>
      <c r="CR411" s="446"/>
      <c r="CS411" s="446"/>
      <c r="CT411" s="446"/>
      <c r="CU411" s="446"/>
      <c r="CV411" s="446"/>
      <c r="CW411" s="233"/>
      <c r="CX411" s="446"/>
      <c r="CY411" s="446"/>
      <c r="CZ411" s="446"/>
      <c r="DA411" s="446"/>
      <c r="DB411" s="446"/>
      <c r="DC411" s="446"/>
      <c r="DD411" s="446"/>
      <c r="DE411" s="446"/>
      <c r="DF411" s="446"/>
      <c r="DG411" s="446"/>
      <c r="DH411" s="446"/>
      <c r="DI411" s="446"/>
      <c r="DJ411" s="446"/>
      <c r="DK411" s="446"/>
      <c r="DL411" s="446"/>
      <c r="DM411" s="446"/>
      <c r="DN411" s="446"/>
      <c r="DO411" s="446"/>
      <c r="DP411" s="446"/>
      <c r="DQ411" s="446"/>
      <c r="DR411" s="446"/>
      <c r="DS411" s="446"/>
      <c r="DT411" s="446"/>
      <c r="DU411" s="446"/>
      <c r="DV411" s="446"/>
      <c r="DW411" s="446"/>
      <c r="DX411" s="446"/>
      <c r="DY411" s="446"/>
      <c r="DZ411" s="283"/>
    </row>
    <row r="412" spans="2:130" s="223" customFormat="1" x14ac:dyDescent="0.2">
      <c r="D412" s="856"/>
      <c r="E412" s="820"/>
      <c r="F412" s="871"/>
      <c r="G412" s="872"/>
      <c r="H412" s="820"/>
      <c r="I412" s="820"/>
      <c r="J412" s="868"/>
      <c r="K412" s="820"/>
      <c r="L412" s="868"/>
      <c r="M412" s="820"/>
      <c r="N412" s="868"/>
      <c r="O412" s="820"/>
      <c r="P412" s="868"/>
      <c r="Q412" s="820"/>
      <c r="R412" s="820"/>
      <c r="S412" s="868"/>
      <c r="T412" s="820"/>
      <c r="U412" s="868"/>
      <c r="V412" s="820"/>
      <c r="W412" s="868"/>
      <c r="X412" s="820"/>
      <c r="Y412" s="868"/>
      <c r="Z412" s="820"/>
      <c r="AA412" s="868"/>
      <c r="AB412" s="820"/>
      <c r="AC412" s="868"/>
      <c r="AD412" s="861"/>
      <c r="AE412" s="868"/>
      <c r="AF412" s="861"/>
      <c r="AG412" s="868"/>
      <c r="AH412" s="446"/>
      <c r="AI412" s="446"/>
      <c r="AJ412" s="446"/>
      <c r="AK412" s="446"/>
      <c r="AL412" s="446"/>
      <c r="AM412" s="446"/>
      <c r="AN412" s="446"/>
      <c r="AO412" s="446"/>
      <c r="AP412" s="446"/>
      <c r="AQ412" s="446"/>
      <c r="AR412" s="446"/>
      <c r="AS412" s="446"/>
      <c r="AT412" s="446"/>
      <c r="AU412" s="446"/>
      <c r="AV412" s="446"/>
      <c r="AW412" s="446"/>
      <c r="AX412" s="446"/>
      <c r="AY412" s="446"/>
      <c r="AZ412" s="446"/>
      <c r="BA412" s="446"/>
      <c r="BB412" s="446"/>
      <c r="BC412" s="446"/>
      <c r="BD412" s="446"/>
      <c r="BE412" s="446"/>
      <c r="BF412" s="446"/>
      <c r="BG412" s="446"/>
      <c r="BH412" s="446"/>
      <c r="BI412" s="446"/>
      <c r="BJ412" s="446"/>
      <c r="BK412" s="446"/>
      <c r="BL412" s="446"/>
      <c r="BM412" s="446"/>
      <c r="BN412" s="446"/>
      <c r="BO412" s="446"/>
      <c r="BP412" s="446"/>
      <c r="BQ412" s="446"/>
      <c r="BR412" s="446"/>
      <c r="BS412" s="446"/>
      <c r="BT412" s="446"/>
      <c r="BU412" s="562"/>
      <c r="BV412" s="446"/>
      <c r="BW412" s="446"/>
      <c r="BX412" s="446"/>
      <c r="BY412" s="446"/>
      <c r="BZ412" s="446"/>
      <c r="CA412" s="446"/>
      <c r="CB412" s="446"/>
      <c r="CC412" s="446"/>
      <c r="CD412" s="446"/>
      <c r="CE412" s="446"/>
      <c r="CF412" s="446"/>
      <c r="CG412" s="446"/>
      <c r="CH412" s="446"/>
      <c r="CI412" s="446"/>
      <c r="CJ412" s="446"/>
      <c r="CK412" s="446"/>
      <c r="CL412" s="446"/>
      <c r="CM412" s="446"/>
      <c r="CN412" s="446"/>
      <c r="CO412" s="446"/>
      <c r="CP412" s="446"/>
      <c r="CQ412" s="446"/>
      <c r="CR412" s="446"/>
      <c r="CS412" s="446"/>
      <c r="CT412" s="446"/>
      <c r="CU412" s="446"/>
      <c r="CV412" s="446"/>
      <c r="CW412" s="233"/>
      <c r="CX412" s="446"/>
      <c r="CY412" s="446"/>
      <c r="CZ412" s="446"/>
      <c r="DA412" s="446"/>
      <c r="DB412" s="446"/>
      <c r="DC412" s="446"/>
      <c r="DD412" s="446"/>
      <c r="DE412" s="446"/>
      <c r="DF412" s="446"/>
      <c r="DG412" s="446"/>
      <c r="DH412" s="446"/>
      <c r="DI412" s="446"/>
      <c r="DJ412" s="446"/>
      <c r="DK412" s="446"/>
      <c r="DL412" s="446"/>
      <c r="DM412" s="446"/>
      <c r="DN412" s="446"/>
      <c r="DO412" s="446"/>
      <c r="DP412" s="446"/>
      <c r="DQ412" s="446"/>
      <c r="DR412" s="446"/>
      <c r="DS412" s="446"/>
      <c r="DT412" s="446"/>
      <c r="DU412" s="446"/>
      <c r="DV412" s="446"/>
      <c r="DW412" s="446"/>
      <c r="DX412" s="446"/>
      <c r="DY412" s="446"/>
      <c r="DZ412" s="283"/>
    </row>
    <row r="413" spans="2:130" s="223" customFormat="1" x14ac:dyDescent="0.2">
      <c r="D413" s="856"/>
      <c r="E413" s="283"/>
      <c r="F413" s="871"/>
      <c r="G413" s="856"/>
      <c r="H413" s="820"/>
      <c r="I413" s="820"/>
      <c r="J413" s="868"/>
      <c r="K413" s="820"/>
      <c r="L413" s="868"/>
      <c r="M413" s="820"/>
      <c r="N413" s="868"/>
      <c r="O413" s="820"/>
      <c r="P413" s="868"/>
      <c r="Q413" s="820"/>
      <c r="R413" s="820"/>
      <c r="S413" s="868"/>
      <c r="T413" s="820"/>
      <c r="U413" s="868"/>
      <c r="V413" s="820"/>
      <c r="W413" s="868"/>
      <c r="X413" s="820"/>
      <c r="Y413" s="868"/>
      <c r="Z413" s="820"/>
      <c r="AA413" s="868"/>
      <c r="AB413" s="820"/>
      <c r="AC413" s="868"/>
      <c r="AD413" s="820"/>
      <c r="AE413" s="868"/>
      <c r="AF413" s="820"/>
      <c r="AG413" s="868"/>
      <c r="AH413" s="446"/>
      <c r="AI413" s="446"/>
      <c r="AJ413" s="446"/>
      <c r="AK413" s="446"/>
      <c r="AL413" s="446"/>
      <c r="AM413" s="446"/>
      <c r="AN413" s="446"/>
      <c r="AO413" s="446"/>
      <c r="AP413" s="446"/>
      <c r="AQ413" s="446"/>
      <c r="AR413" s="446"/>
      <c r="AS413" s="446"/>
      <c r="AT413" s="446"/>
      <c r="AU413" s="446"/>
      <c r="AV413" s="446"/>
      <c r="AW413" s="446"/>
      <c r="AX413" s="446"/>
      <c r="AY413" s="446"/>
      <c r="AZ413" s="446"/>
      <c r="BA413" s="446"/>
      <c r="BB413" s="446"/>
      <c r="BC413" s="446"/>
      <c r="BD413" s="446"/>
      <c r="BE413" s="446"/>
      <c r="BF413" s="446"/>
      <c r="BG413" s="446"/>
      <c r="BH413" s="446"/>
      <c r="BI413" s="446"/>
      <c r="BJ413" s="446"/>
      <c r="BK413" s="446"/>
      <c r="BL413" s="446"/>
      <c r="BM413" s="446"/>
      <c r="BN413" s="446"/>
      <c r="BO413" s="446"/>
      <c r="BP413" s="446"/>
      <c r="BQ413" s="446"/>
      <c r="BR413" s="446"/>
      <c r="BS413" s="446"/>
      <c r="BT413" s="446"/>
      <c r="BU413" s="562"/>
      <c r="BV413" s="446"/>
      <c r="BW413" s="446"/>
      <c r="BX413" s="446"/>
      <c r="BY413" s="446"/>
      <c r="BZ413" s="446"/>
      <c r="CA413" s="446"/>
      <c r="CB413" s="446"/>
      <c r="CC413" s="446"/>
      <c r="CD413" s="446"/>
      <c r="CE413" s="446"/>
      <c r="CF413" s="446"/>
      <c r="CG413" s="446"/>
      <c r="CH413" s="446"/>
      <c r="CI413" s="446"/>
      <c r="CJ413" s="446"/>
      <c r="CK413" s="446"/>
      <c r="CL413" s="446"/>
      <c r="CM413" s="446"/>
      <c r="CN413" s="446"/>
      <c r="CO413" s="446"/>
      <c r="CP413" s="446"/>
      <c r="CQ413" s="446"/>
      <c r="CR413" s="446"/>
      <c r="CS413" s="446"/>
      <c r="CT413" s="446"/>
      <c r="CU413" s="446"/>
      <c r="CV413" s="446"/>
      <c r="CW413" s="233"/>
      <c r="CX413" s="446"/>
      <c r="CY413" s="446"/>
      <c r="CZ413" s="446"/>
      <c r="DA413" s="446"/>
      <c r="DB413" s="446"/>
      <c r="DC413" s="446"/>
      <c r="DD413" s="446"/>
      <c r="DE413" s="446"/>
      <c r="DF413" s="446"/>
      <c r="DG413" s="446"/>
      <c r="DH413" s="446"/>
      <c r="DI413" s="446"/>
      <c r="DJ413" s="446"/>
      <c r="DK413" s="446"/>
      <c r="DL413" s="446"/>
      <c r="DM413" s="446"/>
      <c r="DN413" s="446"/>
      <c r="DO413" s="446"/>
      <c r="DP413" s="446"/>
      <c r="DQ413" s="446"/>
      <c r="DR413" s="446"/>
      <c r="DS413" s="446"/>
      <c r="DT413" s="446"/>
      <c r="DU413" s="446"/>
      <c r="DV413" s="446"/>
      <c r="DW413" s="446"/>
      <c r="DX413" s="446"/>
      <c r="DY413" s="446"/>
      <c r="DZ413" s="283"/>
    </row>
    <row r="414" spans="2:130" s="223" customFormat="1" x14ac:dyDescent="0.2">
      <c r="D414" s="856"/>
      <c r="E414" s="283"/>
      <c r="F414" s="871"/>
      <c r="G414" s="872"/>
      <c r="H414" s="820"/>
      <c r="I414" s="820"/>
      <c r="J414" s="868"/>
      <c r="K414" s="820"/>
      <c r="L414" s="868"/>
      <c r="M414" s="820"/>
      <c r="N414" s="868"/>
      <c r="O414" s="820"/>
      <c r="P414" s="868"/>
      <c r="Q414" s="820"/>
      <c r="R414" s="820"/>
      <c r="S414" s="868"/>
      <c r="T414" s="820"/>
      <c r="U414" s="868"/>
      <c r="V414" s="820"/>
      <c r="W414" s="868"/>
      <c r="X414" s="820"/>
      <c r="Y414" s="868"/>
      <c r="Z414" s="820"/>
      <c r="AA414" s="868"/>
      <c r="AB414" s="820"/>
      <c r="AC414" s="868"/>
      <c r="AD414" s="820"/>
      <c r="AE414" s="868"/>
      <c r="AF414" s="820"/>
      <c r="AG414" s="868"/>
      <c r="AH414" s="446"/>
      <c r="AI414" s="446"/>
      <c r="AJ414" s="446"/>
      <c r="AK414" s="446"/>
      <c r="AL414" s="446"/>
      <c r="AM414" s="446"/>
      <c r="AN414" s="446"/>
      <c r="AO414" s="446"/>
      <c r="AP414" s="446"/>
      <c r="AQ414" s="446"/>
      <c r="AR414" s="446"/>
      <c r="AS414" s="446"/>
      <c r="AT414" s="446"/>
      <c r="AU414" s="446"/>
      <c r="AV414" s="446"/>
      <c r="AW414" s="446"/>
      <c r="AX414" s="446"/>
      <c r="AY414" s="446"/>
      <c r="AZ414" s="446"/>
      <c r="BA414" s="446"/>
      <c r="BB414" s="446"/>
      <c r="BC414" s="446"/>
      <c r="BD414" s="446"/>
      <c r="BE414" s="446"/>
      <c r="BF414" s="446"/>
      <c r="BG414" s="446"/>
      <c r="BH414" s="446"/>
      <c r="BI414" s="446"/>
      <c r="BJ414" s="446"/>
      <c r="BK414" s="446"/>
      <c r="BL414" s="446"/>
      <c r="BM414" s="446"/>
      <c r="BN414" s="446"/>
      <c r="BO414" s="446"/>
      <c r="BP414" s="446"/>
      <c r="BQ414" s="446"/>
      <c r="BR414" s="446"/>
      <c r="BS414" s="446"/>
      <c r="BT414" s="446"/>
      <c r="BU414" s="562"/>
      <c r="BV414" s="446"/>
      <c r="BW414" s="446"/>
      <c r="BX414" s="446"/>
      <c r="BY414" s="446"/>
      <c r="BZ414" s="446"/>
      <c r="CA414" s="446"/>
      <c r="CB414" s="446"/>
      <c r="CC414" s="446"/>
      <c r="CD414" s="446"/>
      <c r="CE414" s="446"/>
      <c r="CF414" s="446"/>
      <c r="CG414" s="446"/>
      <c r="CH414" s="446"/>
      <c r="CI414" s="446"/>
      <c r="CJ414" s="446"/>
      <c r="CK414" s="446"/>
      <c r="CL414" s="446"/>
      <c r="CM414" s="446"/>
      <c r="CN414" s="446"/>
      <c r="CO414" s="446"/>
      <c r="CP414" s="446"/>
      <c r="CQ414" s="446"/>
      <c r="CR414" s="446"/>
      <c r="CS414" s="446"/>
      <c r="CT414" s="446"/>
      <c r="CU414" s="446"/>
      <c r="CV414" s="446"/>
      <c r="CW414" s="233"/>
      <c r="CX414" s="446"/>
      <c r="CY414" s="446"/>
      <c r="CZ414" s="446"/>
      <c r="DA414" s="446"/>
      <c r="DB414" s="446"/>
      <c r="DC414" s="446"/>
      <c r="DD414" s="446"/>
      <c r="DE414" s="446"/>
      <c r="DF414" s="446"/>
      <c r="DG414" s="446"/>
      <c r="DH414" s="446"/>
      <c r="DI414" s="446"/>
      <c r="DJ414" s="446"/>
      <c r="DK414" s="446"/>
      <c r="DL414" s="446"/>
      <c r="DM414" s="446"/>
      <c r="DN414" s="446"/>
      <c r="DO414" s="446"/>
      <c r="DP414" s="446"/>
      <c r="DQ414" s="446"/>
      <c r="DR414" s="446"/>
      <c r="DS414" s="446"/>
      <c r="DT414" s="446"/>
      <c r="DU414" s="446"/>
      <c r="DV414" s="446"/>
      <c r="DW414" s="446"/>
      <c r="DX414" s="446"/>
      <c r="DY414" s="446"/>
      <c r="DZ414" s="283"/>
    </row>
    <row r="415" spans="2:130" s="223" customFormat="1" x14ac:dyDescent="0.2">
      <c r="B415" s="1650"/>
      <c r="C415" s="1650"/>
      <c r="D415" s="856"/>
      <c r="E415" s="283"/>
      <c r="F415" s="871"/>
      <c r="G415" s="856"/>
      <c r="H415" s="820"/>
      <c r="I415" s="820"/>
      <c r="J415" s="868"/>
      <c r="K415" s="820"/>
      <c r="L415" s="868"/>
      <c r="M415" s="820"/>
      <c r="N415" s="868"/>
      <c r="O415" s="820"/>
      <c r="P415" s="868"/>
      <c r="Q415" s="820"/>
      <c r="R415" s="820"/>
      <c r="S415" s="868"/>
      <c r="T415" s="820"/>
      <c r="U415" s="868"/>
      <c r="V415" s="820"/>
      <c r="W415" s="868"/>
      <c r="X415" s="820"/>
      <c r="Y415" s="868"/>
      <c r="Z415" s="820"/>
      <c r="AA415" s="868"/>
      <c r="AB415" s="820"/>
      <c r="AC415" s="868"/>
      <c r="AD415" s="867"/>
      <c r="AE415" s="868"/>
      <c r="AF415" s="820"/>
      <c r="AG415" s="868"/>
      <c r="AH415" s="446"/>
      <c r="AI415" s="446"/>
      <c r="AJ415" s="446"/>
      <c r="AK415" s="446"/>
      <c r="AL415" s="446"/>
      <c r="AM415" s="446"/>
      <c r="AN415" s="446"/>
      <c r="AO415" s="446"/>
      <c r="AP415" s="446"/>
      <c r="AQ415" s="446"/>
      <c r="AR415" s="446"/>
      <c r="AS415" s="446"/>
      <c r="AT415" s="446"/>
      <c r="AU415" s="446"/>
      <c r="AV415" s="446"/>
      <c r="AW415" s="446"/>
      <c r="AX415" s="446"/>
      <c r="AY415" s="446"/>
      <c r="AZ415" s="446"/>
      <c r="BA415" s="446"/>
      <c r="BB415" s="446"/>
      <c r="BC415" s="446"/>
      <c r="BD415" s="446"/>
      <c r="BE415" s="446"/>
      <c r="BF415" s="446"/>
      <c r="BG415" s="446"/>
      <c r="BH415" s="446"/>
      <c r="BI415" s="446"/>
      <c r="BJ415" s="446"/>
      <c r="BK415" s="446"/>
      <c r="BL415" s="446"/>
      <c r="BM415" s="446"/>
      <c r="BN415" s="446"/>
      <c r="BO415" s="446"/>
      <c r="BP415" s="446"/>
      <c r="BQ415" s="446"/>
      <c r="BR415" s="446"/>
      <c r="BS415" s="446"/>
      <c r="BT415" s="446"/>
      <c r="BU415" s="562"/>
      <c r="BV415" s="446"/>
      <c r="BW415" s="446"/>
      <c r="BX415" s="446"/>
      <c r="BY415" s="446"/>
      <c r="BZ415" s="446"/>
      <c r="CA415" s="446"/>
      <c r="CB415" s="446"/>
      <c r="CC415" s="446"/>
      <c r="CD415" s="446"/>
      <c r="CE415" s="446"/>
      <c r="CF415" s="446"/>
      <c r="CG415" s="446"/>
      <c r="CH415" s="446"/>
      <c r="CI415" s="446"/>
      <c r="CJ415" s="446"/>
      <c r="CK415" s="446"/>
      <c r="CL415" s="446"/>
      <c r="CM415" s="446"/>
      <c r="CN415" s="446"/>
      <c r="CO415" s="446"/>
      <c r="CP415" s="446"/>
      <c r="CQ415" s="446"/>
      <c r="CR415" s="446"/>
      <c r="CS415" s="446"/>
      <c r="CT415" s="446"/>
      <c r="CU415" s="446"/>
      <c r="CV415" s="446"/>
      <c r="CW415" s="984"/>
      <c r="CX415" s="446"/>
      <c r="CY415" s="446"/>
      <c r="CZ415" s="446"/>
      <c r="DA415" s="446"/>
      <c r="DB415" s="446"/>
      <c r="DC415" s="446"/>
      <c r="DD415" s="446"/>
      <c r="DE415" s="446"/>
      <c r="DF415" s="446"/>
      <c r="DG415" s="446"/>
      <c r="DH415" s="446"/>
      <c r="DI415" s="446"/>
      <c r="DJ415" s="446"/>
      <c r="DK415" s="446"/>
      <c r="DL415" s="446"/>
      <c r="DM415" s="446"/>
      <c r="DN415" s="446"/>
      <c r="DO415" s="446"/>
      <c r="DP415" s="446"/>
      <c r="DQ415" s="446"/>
      <c r="DR415" s="446"/>
      <c r="DS415" s="446"/>
      <c r="DT415" s="446"/>
      <c r="DU415" s="446"/>
      <c r="DV415" s="446"/>
      <c r="DW415" s="446"/>
      <c r="DX415" s="446"/>
      <c r="DY415" s="446"/>
      <c r="DZ415" s="283"/>
    </row>
    <row r="416" spans="2:130" s="223" customFormat="1" ht="42.75" customHeight="1" x14ac:dyDescent="0.2">
      <c r="B416" s="873"/>
      <c r="C416" s="851"/>
      <c r="D416" s="851"/>
      <c r="E416" s="820"/>
      <c r="F416" s="820"/>
      <c r="G416" s="862"/>
      <c r="H416" s="862"/>
      <c r="I416" s="862"/>
      <c r="J416" s="862"/>
      <c r="K416" s="862"/>
      <c r="L416" s="862"/>
      <c r="M416" s="862"/>
      <c r="N416" s="862"/>
      <c r="O416" s="862"/>
      <c r="P416" s="862"/>
      <c r="Q416" s="874"/>
      <c r="R416" s="862"/>
      <c r="S416" s="862"/>
      <c r="T416" s="862"/>
      <c r="U416" s="862"/>
      <c r="V416" s="862"/>
      <c r="W416" s="862"/>
      <c r="X416" s="862"/>
      <c r="Y416" s="862"/>
      <c r="Z416" s="862"/>
      <c r="AA416" s="862"/>
      <c r="AB416" s="862"/>
      <c r="AC416" s="862"/>
      <c r="AD416" s="862"/>
      <c r="AE416" s="862"/>
      <c r="AF416" s="862"/>
      <c r="AG416" s="862"/>
      <c r="AH416" s="446"/>
      <c r="AI416" s="446"/>
      <c r="AJ416" s="446"/>
      <c r="AK416" s="446"/>
      <c r="AL416" s="446"/>
      <c r="AM416" s="446"/>
      <c r="AN416" s="446"/>
      <c r="AO416" s="446"/>
      <c r="AP416" s="446"/>
      <c r="AQ416" s="446"/>
      <c r="AR416" s="446"/>
      <c r="AS416" s="446"/>
      <c r="AT416" s="446"/>
      <c r="AU416" s="446"/>
      <c r="AV416" s="446"/>
      <c r="AW416" s="446"/>
      <c r="AX416" s="446"/>
      <c r="AY416" s="446"/>
      <c r="AZ416" s="446"/>
      <c r="BA416" s="446"/>
      <c r="BB416" s="446"/>
      <c r="BC416" s="446"/>
      <c r="BD416" s="446"/>
      <c r="BE416" s="446"/>
      <c r="BF416" s="446"/>
      <c r="BG416" s="446"/>
      <c r="BH416" s="446"/>
      <c r="BI416" s="446"/>
      <c r="BJ416" s="446"/>
      <c r="BK416" s="446"/>
      <c r="BL416" s="446"/>
      <c r="BM416" s="446"/>
      <c r="BN416" s="446"/>
      <c r="BO416" s="446"/>
      <c r="BP416" s="446"/>
      <c r="BQ416" s="446"/>
      <c r="BR416" s="446"/>
      <c r="BS416" s="446"/>
      <c r="BT416" s="446"/>
      <c r="BU416" s="562"/>
      <c r="BV416" s="446"/>
      <c r="BW416" s="446"/>
      <c r="BX416" s="446"/>
      <c r="BY416" s="446"/>
      <c r="BZ416" s="446"/>
      <c r="CA416" s="446"/>
      <c r="CB416" s="446"/>
      <c r="CC416" s="446"/>
      <c r="CD416" s="446"/>
      <c r="CE416" s="446"/>
      <c r="CF416" s="446"/>
      <c r="CG416" s="446"/>
      <c r="CH416" s="446"/>
      <c r="CI416" s="446"/>
      <c r="CJ416" s="446"/>
      <c r="CK416" s="446"/>
      <c r="CL416" s="446"/>
      <c r="CM416" s="446"/>
      <c r="CN416" s="446"/>
      <c r="CO416" s="446"/>
      <c r="CP416" s="446"/>
      <c r="CQ416" s="446"/>
      <c r="CR416" s="446"/>
      <c r="CS416" s="446"/>
      <c r="CT416" s="446"/>
      <c r="CU416" s="446"/>
      <c r="CV416" s="446"/>
      <c r="CW416" s="851"/>
      <c r="CX416" s="446"/>
      <c r="CY416" s="446"/>
      <c r="CZ416" s="446"/>
      <c r="DA416" s="446"/>
      <c r="DB416" s="446"/>
      <c r="DC416" s="446"/>
      <c r="DD416" s="446"/>
      <c r="DE416" s="446"/>
      <c r="DF416" s="446"/>
      <c r="DG416" s="446"/>
      <c r="DH416" s="446"/>
      <c r="DI416" s="446"/>
      <c r="DJ416" s="446"/>
      <c r="DK416" s="446"/>
      <c r="DL416" s="446"/>
      <c r="DM416" s="446"/>
      <c r="DN416" s="446"/>
      <c r="DO416" s="446"/>
      <c r="DP416" s="446"/>
      <c r="DQ416" s="446"/>
      <c r="DR416" s="446"/>
      <c r="DS416" s="446"/>
      <c r="DT416" s="446"/>
      <c r="DU416" s="446"/>
      <c r="DV416" s="446"/>
      <c r="DW416" s="446"/>
      <c r="DX416" s="446"/>
      <c r="DY416" s="446"/>
      <c r="DZ416" s="283"/>
    </row>
    <row r="417" spans="2:130" s="223" customFormat="1" x14ac:dyDescent="0.2">
      <c r="B417" s="851"/>
      <c r="C417" s="851"/>
      <c r="D417" s="851"/>
      <c r="E417" s="861"/>
      <c r="F417" s="820"/>
      <c r="G417" s="862"/>
      <c r="H417" s="862"/>
      <c r="I417" s="862"/>
      <c r="J417" s="862"/>
      <c r="K417" s="862"/>
      <c r="L417" s="862"/>
      <c r="M417" s="862"/>
      <c r="N417" s="862"/>
      <c r="O417" s="862"/>
      <c r="P417" s="862"/>
      <c r="Q417" s="862"/>
      <c r="R417" s="862"/>
      <c r="S417" s="862"/>
      <c r="T417" s="862"/>
      <c r="U417" s="862"/>
      <c r="V417" s="862"/>
      <c r="W417" s="862"/>
      <c r="X417" s="862"/>
      <c r="Y417" s="862"/>
      <c r="Z417" s="862"/>
      <c r="AA417" s="862"/>
      <c r="AB417" s="862"/>
      <c r="AC417" s="862"/>
      <c r="AD417" s="862"/>
      <c r="AE417" s="862"/>
      <c r="AF417" s="862"/>
      <c r="AG417" s="862"/>
      <c r="AH417" s="446"/>
      <c r="AI417" s="446"/>
      <c r="AJ417" s="446"/>
      <c r="AK417" s="446"/>
      <c r="AL417" s="446"/>
      <c r="AM417" s="446"/>
      <c r="AN417" s="446"/>
      <c r="AO417" s="446"/>
      <c r="AP417" s="446"/>
      <c r="AQ417" s="446"/>
      <c r="AR417" s="446"/>
      <c r="AS417" s="446"/>
      <c r="AT417" s="446"/>
      <c r="AU417" s="446"/>
      <c r="AV417" s="446"/>
      <c r="AW417" s="446"/>
      <c r="AX417" s="446"/>
      <c r="AY417" s="446"/>
      <c r="AZ417" s="446"/>
      <c r="BA417" s="446"/>
      <c r="BB417" s="446"/>
      <c r="BC417" s="446"/>
      <c r="BD417" s="446"/>
      <c r="BE417" s="446"/>
      <c r="BF417" s="446"/>
      <c r="BG417" s="446"/>
      <c r="BH417" s="446"/>
      <c r="BI417" s="446"/>
      <c r="BJ417" s="446"/>
      <c r="BK417" s="446"/>
      <c r="BL417" s="446"/>
      <c r="BM417" s="446"/>
      <c r="BN417" s="446"/>
      <c r="BO417" s="446"/>
      <c r="BP417" s="446"/>
      <c r="BQ417" s="446"/>
      <c r="BR417" s="446"/>
      <c r="BS417" s="446"/>
      <c r="BT417" s="446"/>
      <c r="BU417" s="562"/>
      <c r="BV417" s="446"/>
      <c r="BW417" s="446"/>
      <c r="BX417" s="446"/>
      <c r="BY417" s="446"/>
      <c r="BZ417" s="446"/>
      <c r="CA417" s="446"/>
      <c r="CB417" s="446"/>
      <c r="CC417" s="446"/>
      <c r="CD417" s="446"/>
      <c r="CE417" s="446"/>
      <c r="CF417" s="446"/>
      <c r="CG417" s="446"/>
      <c r="CH417" s="446"/>
      <c r="CI417" s="446"/>
      <c r="CJ417" s="446"/>
      <c r="CK417" s="446"/>
      <c r="CL417" s="446"/>
      <c r="CM417" s="446"/>
      <c r="CN417" s="446"/>
      <c r="CO417" s="446"/>
      <c r="CP417" s="446"/>
      <c r="CQ417" s="446"/>
      <c r="CR417" s="446"/>
      <c r="CS417" s="446"/>
      <c r="CT417" s="446"/>
      <c r="CU417" s="446"/>
      <c r="CV417" s="446"/>
      <c r="CW417" s="851"/>
      <c r="CX417" s="446"/>
      <c r="CY417" s="446"/>
      <c r="CZ417" s="446"/>
      <c r="DA417" s="446"/>
      <c r="DB417" s="446"/>
      <c r="DC417" s="446"/>
      <c r="DD417" s="446"/>
      <c r="DE417" s="446"/>
      <c r="DF417" s="446"/>
      <c r="DG417" s="446"/>
      <c r="DH417" s="446"/>
      <c r="DI417" s="446"/>
      <c r="DJ417" s="446"/>
      <c r="DK417" s="446"/>
      <c r="DL417" s="446"/>
      <c r="DM417" s="446"/>
      <c r="DN417" s="446"/>
      <c r="DO417" s="446"/>
      <c r="DP417" s="446"/>
      <c r="DQ417" s="446"/>
      <c r="DR417" s="446"/>
      <c r="DS417" s="446"/>
      <c r="DT417" s="446"/>
      <c r="DU417" s="446"/>
      <c r="DV417" s="446"/>
      <c r="DW417" s="446"/>
      <c r="DX417" s="446"/>
      <c r="DY417" s="446"/>
      <c r="DZ417" s="283"/>
    </row>
    <row r="418" spans="2:130" s="223" customFormat="1" x14ac:dyDescent="0.2">
      <c r="B418" s="851"/>
      <c r="C418" s="851"/>
      <c r="D418" s="851"/>
      <c r="E418" s="820"/>
      <c r="F418" s="820"/>
      <c r="G418" s="853"/>
      <c r="H418" s="853"/>
      <c r="I418" s="853"/>
      <c r="J418" s="853"/>
      <c r="K418" s="853"/>
      <c r="L418" s="853"/>
      <c r="M418" s="853"/>
      <c r="N418" s="853"/>
      <c r="O418" s="853"/>
      <c r="P418" s="853"/>
      <c r="Q418" s="853"/>
      <c r="R418" s="853"/>
      <c r="S418" s="853"/>
      <c r="T418" s="853"/>
      <c r="U418" s="853"/>
      <c r="V418" s="853"/>
      <c r="W418" s="853"/>
      <c r="X418" s="853"/>
      <c r="Y418" s="853"/>
      <c r="Z418" s="853"/>
      <c r="AA418" s="853"/>
      <c r="AB418" s="853"/>
      <c r="AC418" s="853"/>
      <c r="AD418" s="853"/>
      <c r="AE418" s="853"/>
      <c r="AF418" s="853"/>
      <c r="AG418" s="853"/>
      <c r="AH418" s="446"/>
      <c r="AI418" s="446"/>
      <c r="AJ418" s="446"/>
      <c r="AK418" s="446"/>
      <c r="AL418" s="446"/>
      <c r="AM418" s="446"/>
      <c r="AN418" s="446"/>
      <c r="AO418" s="446"/>
      <c r="AP418" s="446"/>
      <c r="AQ418" s="446"/>
      <c r="AR418" s="446"/>
      <c r="AS418" s="446"/>
      <c r="AT418" s="446"/>
      <c r="AU418" s="446"/>
      <c r="AV418" s="446"/>
      <c r="AW418" s="446"/>
      <c r="AX418" s="446"/>
      <c r="AY418" s="446"/>
      <c r="AZ418" s="446"/>
      <c r="BA418" s="446"/>
      <c r="BB418" s="446"/>
      <c r="BC418" s="446"/>
      <c r="BD418" s="446"/>
      <c r="BE418" s="446"/>
      <c r="BF418" s="446"/>
      <c r="BG418" s="446"/>
      <c r="BH418" s="446"/>
      <c r="BI418" s="446"/>
      <c r="BJ418" s="446"/>
      <c r="BK418" s="446"/>
      <c r="BL418" s="446"/>
      <c r="BM418" s="446"/>
      <c r="BN418" s="446"/>
      <c r="BO418" s="446"/>
      <c r="BP418" s="446"/>
      <c r="BQ418" s="446"/>
      <c r="BR418" s="446"/>
      <c r="BS418" s="446"/>
      <c r="BT418" s="446"/>
      <c r="BU418" s="562"/>
      <c r="BV418" s="446"/>
      <c r="BW418" s="446"/>
      <c r="BX418" s="446"/>
      <c r="BY418" s="446"/>
      <c r="BZ418" s="446"/>
      <c r="CA418" s="446"/>
      <c r="CB418" s="446"/>
      <c r="CC418" s="446"/>
      <c r="CD418" s="446"/>
      <c r="CE418" s="446"/>
      <c r="CF418" s="446"/>
      <c r="CG418" s="446"/>
      <c r="CH418" s="446"/>
      <c r="CI418" s="446"/>
      <c r="CJ418" s="446"/>
      <c r="CK418" s="446"/>
      <c r="CL418" s="446"/>
      <c r="CM418" s="446"/>
      <c r="CN418" s="446"/>
      <c r="CO418" s="446"/>
      <c r="CP418" s="446"/>
      <c r="CQ418" s="446"/>
      <c r="CR418" s="446"/>
      <c r="CS418" s="446"/>
      <c r="CT418" s="446"/>
      <c r="CU418" s="446"/>
      <c r="CV418" s="446"/>
      <c r="CW418" s="851"/>
      <c r="CX418" s="446"/>
      <c r="CY418" s="446"/>
      <c r="CZ418" s="446"/>
      <c r="DA418" s="446"/>
      <c r="DB418" s="446"/>
      <c r="DC418" s="446"/>
      <c r="DD418" s="446"/>
      <c r="DE418" s="446"/>
      <c r="DF418" s="446"/>
      <c r="DG418" s="446"/>
      <c r="DH418" s="446"/>
      <c r="DI418" s="446"/>
      <c r="DJ418" s="446"/>
      <c r="DK418" s="446"/>
      <c r="DL418" s="446"/>
      <c r="DM418" s="446"/>
      <c r="DN418" s="446"/>
      <c r="DO418" s="446"/>
      <c r="DP418" s="446"/>
      <c r="DQ418" s="446"/>
      <c r="DR418" s="446"/>
      <c r="DS418" s="446"/>
      <c r="DT418" s="446"/>
      <c r="DU418" s="446"/>
      <c r="DV418" s="446"/>
      <c r="DW418" s="446"/>
      <c r="DX418" s="446"/>
      <c r="DY418" s="446"/>
      <c r="DZ418" s="283"/>
    </row>
    <row r="419" spans="2:130" s="223" customFormat="1" x14ac:dyDescent="0.2">
      <c r="B419" s="851"/>
      <c r="C419" s="851"/>
      <c r="D419" s="851"/>
      <c r="E419" s="820"/>
      <c r="F419" s="820"/>
      <c r="G419" s="853"/>
      <c r="H419" s="853"/>
      <c r="I419" s="853"/>
      <c r="J419" s="853"/>
      <c r="K419" s="853"/>
      <c r="L419" s="853"/>
      <c r="M419" s="853"/>
      <c r="N419" s="853"/>
      <c r="O419" s="853"/>
      <c r="P419" s="853"/>
      <c r="Q419" s="853"/>
      <c r="R419" s="853"/>
      <c r="S419" s="853"/>
      <c r="T419" s="853"/>
      <c r="U419" s="853"/>
      <c r="V419" s="853"/>
      <c r="W419" s="853"/>
      <c r="X419" s="853"/>
      <c r="Y419" s="853"/>
      <c r="Z419" s="853"/>
      <c r="AA419" s="853"/>
      <c r="AB419" s="853"/>
      <c r="AC419" s="853"/>
      <c r="AD419" s="853"/>
      <c r="AE419" s="853"/>
      <c r="AF419" s="853"/>
      <c r="AG419" s="853"/>
      <c r="AH419" s="446"/>
      <c r="AI419" s="446"/>
      <c r="AJ419" s="446"/>
      <c r="AK419" s="446"/>
      <c r="AL419" s="446"/>
      <c r="AM419" s="446"/>
      <c r="AN419" s="446"/>
      <c r="AO419" s="446"/>
      <c r="AP419" s="446"/>
      <c r="AQ419" s="446"/>
      <c r="AR419" s="446"/>
      <c r="AS419" s="446"/>
      <c r="AT419" s="446"/>
      <c r="AU419" s="446"/>
      <c r="AV419" s="446"/>
      <c r="AW419" s="446"/>
      <c r="AX419" s="446"/>
      <c r="AY419" s="446"/>
      <c r="AZ419" s="446"/>
      <c r="BA419" s="446"/>
      <c r="BB419" s="446"/>
      <c r="BC419" s="446"/>
      <c r="BD419" s="446"/>
      <c r="BE419" s="446"/>
      <c r="BF419" s="446"/>
      <c r="BG419" s="446"/>
      <c r="BH419" s="446"/>
      <c r="BI419" s="446"/>
      <c r="BJ419" s="446"/>
      <c r="BK419" s="446"/>
      <c r="BL419" s="446"/>
      <c r="BM419" s="446"/>
      <c r="BN419" s="446"/>
      <c r="BO419" s="446"/>
      <c r="BP419" s="446"/>
      <c r="BQ419" s="446"/>
      <c r="BR419" s="446"/>
      <c r="BS419" s="446"/>
      <c r="BT419" s="446"/>
      <c r="BU419" s="562"/>
      <c r="BV419" s="446"/>
      <c r="BW419" s="446"/>
      <c r="BX419" s="446"/>
      <c r="BY419" s="446"/>
      <c r="BZ419" s="446"/>
      <c r="CA419" s="446"/>
      <c r="CB419" s="446"/>
      <c r="CC419" s="446"/>
      <c r="CD419" s="446"/>
      <c r="CE419" s="446"/>
      <c r="CF419" s="446"/>
      <c r="CG419" s="446"/>
      <c r="CH419" s="446"/>
      <c r="CI419" s="446"/>
      <c r="CJ419" s="446"/>
      <c r="CK419" s="446"/>
      <c r="CL419" s="446"/>
      <c r="CM419" s="446"/>
      <c r="CN419" s="446"/>
      <c r="CO419" s="446"/>
      <c r="CP419" s="446"/>
      <c r="CQ419" s="446"/>
      <c r="CR419" s="446"/>
      <c r="CS419" s="446"/>
      <c r="CT419" s="446"/>
      <c r="CU419" s="446"/>
      <c r="CV419" s="446"/>
      <c r="CW419" s="851"/>
      <c r="CX419" s="446"/>
      <c r="CY419" s="446"/>
      <c r="CZ419" s="446"/>
      <c r="DA419" s="446"/>
      <c r="DB419" s="446"/>
      <c r="DC419" s="446"/>
      <c r="DD419" s="446"/>
      <c r="DE419" s="446"/>
      <c r="DF419" s="446"/>
      <c r="DG419" s="446"/>
      <c r="DH419" s="446"/>
      <c r="DI419" s="446"/>
      <c r="DJ419" s="446"/>
      <c r="DK419" s="446"/>
      <c r="DL419" s="446"/>
      <c r="DM419" s="446"/>
      <c r="DN419" s="446"/>
      <c r="DO419" s="446"/>
      <c r="DP419" s="446"/>
      <c r="DQ419" s="446"/>
      <c r="DR419" s="446"/>
      <c r="DS419" s="446"/>
      <c r="DT419" s="446"/>
      <c r="DU419" s="446"/>
      <c r="DV419" s="446"/>
      <c r="DW419" s="446"/>
      <c r="DX419" s="446"/>
      <c r="DY419" s="446"/>
      <c r="DZ419" s="283"/>
    </row>
    <row r="420" spans="2:130" s="223" customFormat="1" x14ac:dyDescent="0.2">
      <c r="B420" s="851"/>
      <c r="C420" s="851"/>
      <c r="D420" s="851"/>
      <c r="E420" s="820"/>
      <c r="F420" s="820"/>
      <c r="G420" s="853"/>
      <c r="H420" s="853"/>
      <c r="I420" s="853"/>
      <c r="J420" s="853"/>
      <c r="K420" s="853"/>
      <c r="L420" s="853"/>
      <c r="M420" s="853"/>
      <c r="N420" s="853"/>
      <c r="O420" s="853"/>
      <c r="P420" s="853"/>
      <c r="Q420" s="853"/>
      <c r="R420" s="853"/>
      <c r="S420" s="853"/>
      <c r="T420" s="853"/>
      <c r="U420" s="853"/>
      <c r="V420" s="853"/>
      <c r="W420" s="853"/>
      <c r="X420" s="853"/>
      <c r="Y420" s="853"/>
      <c r="Z420" s="853"/>
      <c r="AA420" s="853"/>
      <c r="AB420" s="853"/>
      <c r="AC420" s="853"/>
      <c r="AD420" s="853"/>
      <c r="AE420" s="853"/>
      <c r="AF420" s="853"/>
      <c r="AG420" s="853"/>
      <c r="AH420" s="446"/>
      <c r="AI420" s="446"/>
      <c r="AJ420" s="446"/>
      <c r="AK420" s="446"/>
      <c r="AL420" s="446"/>
      <c r="AM420" s="446"/>
      <c r="AN420" s="446"/>
      <c r="AO420" s="446"/>
      <c r="AP420" s="446"/>
      <c r="AQ420" s="446"/>
      <c r="AR420" s="446"/>
      <c r="AS420" s="446"/>
      <c r="AT420" s="446"/>
      <c r="AU420" s="446"/>
      <c r="AV420" s="446"/>
      <c r="AW420" s="446"/>
      <c r="AX420" s="446"/>
      <c r="AY420" s="446"/>
      <c r="AZ420" s="446"/>
      <c r="BA420" s="446"/>
      <c r="BB420" s="446"/>
      <c r="BC420" s="446"/>
      <c r="BD420" s="446"/>
      <c r="BE420" s="446"/>
      <c r="BF420" s="446"/>
      <c r="BG420" s="446"/>
      <c r="BH420" s="446"/>
      <c r="BI420" s="446"/>
      <c r="BJ420" s="446"/>
      <c r="BK420" s="446"/>
      <c r="BL420" s="446"/>
      <c r="BM420" s="446"/>
      <c r="BN420" s="446"/>
      <c r="BO420" s="446"/>
      <c r="BP420" s="446"/>
      <c r="BQ420" s="446"/>
      <c r="BR420" s="446"/>
      <c r="BS420" s="446"/>
      <c r="BT420" s="446"/>
      <c r="BU420" s="562"/>
      <c r="BV420" s="446"/>
      <c r="BW420" s="446"/>
      <c r="BX420" s="446"/>
      <c r="BY420" s="446"/>
      <c r="BZ420" s="446"/>
      <c r="CA420" s="446"/>
      <c r="CB420" s="446"/>
      <c r="CC420" s="446"/>
      <c r="CD420" s="446"/>
      <c r="CE420" s="446"/>
      <c r="CF420" s="446"/>
      <c r="CG420" s="446"/>
      <c r="CH420" s="446"/>
      <c r="CI420" s="446"/>
      <c r="CJ420" s="446"/>
      <c r="CK420" s="446"/>
      <c r="CL420" s="446"/>
      <c r="CM420" s="446"/>
      <c r="CN420" s="446"/>
      <c r="CO420" s="446"/>
      <c r="CP420" s="446"/>
      <c r="CQ420" s="446"/>
      <c r="CR420" s="446"/>
      <c r="CS420" s="446"/>
      <c r="CT420" s="446"/>
      <c r="CU420" s="446"/>
      <c r="CV420" s="446"/>
      <c r="CW420" s="851"/>
      <c r="CX420" s="446"/>
      <c r="CY420" s="446"/>
      <c r="CZ420" s="446"/>
      <c r="DA420" s="446"/>
      <c r="DB420" s="446"/>
      <c r="DC420" s="446"/>
      <c r="DD420" s="446"/>
      <c r="DE420" s="446"/>
      <c r="DF420" s="446"/>
      <c r="DG420" s="446"/>
      <c r="DH420" s="446"/>
      <c r="DI420" s="446"/>
      <c r="DJ420" s="446"/>
      <c r="DK420" s="446"/>
      <c r="DL420" s="446"/>
      <c r="DM420" s="446"/>
      <c r="DN420" s="446"/>
      <c r="DO420" s="446"/>
      <c r="DP420" s="446"/>
      <c r="DQ420" s="446"/>
      <c r="DR420" s="446"/>
      <c r="DS420" s="446"/>
      <c r="DT420" s="446"/>
      <c r="DU420" s="446"/>
      <c r="DV420" s="446"/>
      <c r="DW420" s="446"/>
      <c r="DX420" s="446"/>
      <c r="DY420" s="446"/>
      <c r="DZ420" s="283"/>
    </row>
    <row r="421" spans="2:130" s="223" customFormat="1" x14ac:dyDescent="0.2">
      <c r="B421" s="851"/>
      <c r="C421" s="851"/>
      <c r="D421" s="851"/>
      <c r="E421" s="820"/>
      <c r="F421" s="820"/>
      <c r="G421" s="853"/>
      <c r="H421" s="853"/>
      <c r="I421" s="853"/>
      <c r="J421" s="853"/>
      <c r="K421" s="853"/>
      <c r="L421" s="853"/>
      <c r="M421" s="853"/>
      <c r="N421" s="853"/>
      <c r="O421" s="853"/>
      <c r="P421" s="853"/>
      <c r="Q421" s="853"/>
      <c r="R421" s="853"/>
      <c r="S421" s="853"/>
      <c r="T421" s="853"/>
      <c r="U421" s="853"/>
      <c r="V421" s="853"/>
      <c r="W421" s="853"/>
      <c r="X421" s="853"/>
      <c r="Y421" s="853"/>
      <c r="Z421" s="853"/>
      <c r="AA421" s="853"/>
      <c r="AB421" s="853"/>
      <c r="AC421" s="853"/>
      <c r="AD421" s="853"/>
      <c r="AE421" s="853"/>
      <c r="AF421" s="853"/>
      <c r="AG421" s="853"/>
      <c r="AH421" s="446"/>
      <c r="AI421" s="446"/>
      <c r="AJ421" s="446"/>
      <c r="AK421" s="446"/>
      <c r="AL421" s="446"/>
      <c r="AM421" s="446"/>
      <c r="AN421" s="446"/>
      <c r="AO421" s="446"/>
      <c r="AP421" s="446"/>
      <c r="AQ421" s="446"/>
      <c r="AR421" s="446"/>
      <c r="AS421" s="446"/>
      <c r="AT421" s="446"/>
      <c r="AU421" s="446"/>
      <c r="AV421" s="446"/>
      <c r="AW421" s="446"/>
      <c r="AX421" s="446"/>
      <c r="AY421" s="446"/>
      <c r="AZ421" s="446"/>
      <c r="BA421" s="446"/>
      <c r="BB421" s="446"/>
      <c r="BC421" s="446"/>
      <c r="BD421" s="446"/>
      <c r="BE421" s="446"/>
      <c r="BF421" s="446"/>
      <c r="BG421" s="446"/>
      <c r="BH421" s="446"/>
      <c r="BI421" s="446"/>
      <c r="BJ421" s="446"/>
      <c r="BK421" s="446"/>
      <c r="BL421" s="446"/>
      <c r="BM421" s="446"/>
      <c r="BN421" s="446"/>
      <c r="BO421" s="446"/>
      <c r="BP421" s="446"/>
      <c r="BQ421" s="446"/>
      <c r="BR421" s="446"/>
      <c r="BS421" s="446"/>
      <c r="BT421" s="446"/>
      <c r="BU421" s="562"/>
      <c r="BV421" s="446"/>
      <c r="BW421" s="446"/>
      <c r="BX421" s="446"/>
      <c r="BY421" s="446"/>
      <c r="BZ421" s="446"/>
      <c r="CA421" s="446"/>
      <c r="CB421" s="446"/>
      <c r="CC421" s="446"/>
      <c r="CD421" s="446"/>
      <c r="CE421" s="446"/>
      <c r="CF421" s="446"/>
      <c r="CG421" s="446"/>
      <c r="CH421" s="446"/>
      <c r="CI421" s="446"/>
      <c r="CJ421" s="446"/>
      <c r="CK421" s="446"/>
      <c r="CL421" s="446"/>
      <c r="CM421" s="446"/>
      <c r="CN421" s="446"/>
      <c r="CO421" s="446"/>
      <c r="CP421" s="446"/>
      <c r="CQ421" s="446"/>
      <c r="CR421" s="446"/>
      <c r="CS421" s="446"/>
      <c r="CT421" s="446"/>
      <c r="CU421" s="446"/>
      <c r="CV421" s="446"/>
      <c r="CW421" s="851"/>
      <c r="CX421" s="446"/>
      <c r="CY421" s="446"/>
      <c r="CZ421" s="446"/>
      <c r="DA421" s="446"/>
      <c r="DB421" s="446"/>
      <c r="DC421" s="446"/>
      <c r="DD421" s="446"/>
      <c r="DE421" s="446"/>
      <c r="DF421" s="446"/>
      <c r="DG421" s="446"/>
      <c r="DH421" s="446"/>
      <c r="DI421" s="446"/>
      <c r="DJ421" s="446"/>
      <c r="DK421" s="446"/>
      <c r="DL421" s="446"/>
      <c r="DM421" s="446"/>
      <c r="DN421" s="446"/>
      <c r="DO421" s="446"/>
      <c r="DP421" s="446"/>
      <c r="DQ421" s="446"/>
      <c r="DR421" s="446"/>
      <c r="DS421" s="446"/>
      <c r="DT421" s="446"/>
      <c r="DU421" s="446"/>
      <c r="DV421" s="446"/>
      <c r="DW421" s="446"/>
      <c r="DX421" s="446"/>
      <c r="DY421" s="446"/>
      <c r="DZ421" s="283"/>
    </row>
    <row r="422" spans="2:130" s="223" customFormat="1" x14ac:dyDescent="0.2">
      <c r="B422" s="851"/>
      <c r="C422" s="851"/>
      <c r="D422" s="851"/>
      <c r="E422" s="820"/>
      <c r="F422" s="820"/>
      <c r="G422" s="853"/>
      <c r="H422" s="853"/>
      <c r="I422" s="853"/>
      <c r="J422" s="853"/>
      <c r="K422" s="853"/>
      <c r="L422" s="853"/>
      <c r="M422" s="853"/>
      <c r="N422" s="853"/>
      <c r="O422" s="853"/>
      <c r="P422" s="853"/>
      <c r="Q422" s="853"/>
      <c r="R422" s="853"/>
      <c r="S422" s="853"/>
      <c r="T422" s="853"/>
      <c r="U422" s="853"/>
      <c r="V422" s="853"/>
      <c r="W422" s="853"/>
      <c r="X422" s="853"/>
      <c r="Y422" s="853"/>
      <c r="Z422" s="853"/>
      <c r="AA422" s="853"/>
      <c r="AB422" s="853"/>
      <c r="AC422" s="853"/>
      <c r="AD422" s="853"/>
      <c r="AE422" s="853"/>
      <c r="AF422" s="853"/>
      <c r="AG422" s="853"/>
      <c r="AH422" s="446"/>
      <c r="AI422" s="446"/>
      <c r="AJ422" s="446"/>
      <c r="AK422" s="446"/>
      <c r="AL422" s="446"/>
      <c r="AM422" s="446"/>
      <c r="AN422" s="446"/>
      <c r="AO422" s="446"/>
      <c r="AP422" s="446"/>
      <c r="AQ422" s="446"/>
      <c r="AR422" s="446"/>
      <c r="AS422" s="446"/>
      <c r="AT422" s="446"/>
      <c r="AU422" s="446"/>
      <c r="AV422" s="446"/>
      <c r="AW422" s="446"/>
      <c r="AX422" s="446"/>
      <c r="AY422" s="446"/>
      <c r="AZ422" s="446"/>
      <c r="BA422" s="446"/>
      <c r="BB422" s="446"/>
      <c r="BC422" s="446"/>
      <c r="BD422" s="446"/>
      <c r="BE422" s="446"/>
      <c r="BF422" s="446"/>
      <c r="BG422" s="446"/>
      <c r="BH422" s="446"/>
      <c r="BI422" s="446"/>
      <c r="BJ422" s="446"/>
      <c r="BK422" s="446"/>
      <c r="BL422" s="446"/>
      <c r="BM422" s="446"/>
      <c r="BN422" s="446"/>
      <c r="BO422" s="446"/>
      <c r="BP422" s="446"/>
      <c r="BQ422" s="446"/>
      <c r="BR422" s="446"/>
      <c r="BS422" s="446"/>
      <c r="BT422" s="446"/>
      <c r="BU422" s="562"/>
      <c r="BV422" s="446"/>
      <c r="BW422" s="446"/>
      <c r="BX422" s="446"/>
      <c r="BY422" s="446"/>
      <c r="BZ422" s="446"/>
      <c r="CA422" s="446"/>
      <c r="CB422" s="446"/>
      <c r="CC422" s="446"/>
      <c r="CD422" s="446"/>
      <c r="CE422" s="446"/>
      <c r="CF422" s="446"/>
      <c r="CG422" s="446"/>
      <c r="CH422" s="446"/>
      <c r="CI422" s="446"/>
      <c r="CJ422" s="446"/>
      <c r="CK422" s="446"/>
      <c r="CL422" s="446"/>
      <c r="CM422" s="446"/>
      <c r="CN422" s="446"/>
      <c r="CO422" s="446"/>
      <c r="CP422" s="446"/>
      <c r="CQ422" s="446"/>
      <c r="CR422" s="446"/>
      <c r="CS422" s="446"/>
      <c r="CT422" s="446"/>
      <c r="CU422" s="446"/>
      <c r="CV422" s="446"/>
      <c r="CW422" s="851"/>
      <c r="CX422" s="446"/>
      <c r="CY422" s="446"/>
      <c r="CZ422" s="446"/>
      <c r="DA422" s="446"/>
      <c r="DB422" s="446"/>
      <c r="DC422" s="446"/>
      <c r="DD422" s="446"/>
      <c r="DE422" s="446"/>
      <c r="DF422" s="446"/>
      <c r="DG422" s="446"/>
      <c r="DH422" s="446"/>
      <c r="DI422" s="446"/>
      <c r="DJ422" s="446"/>
      <c r="DK422" s="446"/>
      <c r="DL422" s="446"/>
      <c r="DM422" s="446"/>
      <c r="DN422" s="446"/>
      <c r="DO422" s="446"/>
      <c r="DP422" s="446"/>
      <c r="DQ422" s="446"/>
      <c r="DR422" s="446"/>
      <c r="DS422" s="446"/>
      <c r="DT422" s="446"/>
      <c r="DU422" s="446"/>
      <c r="DV422" s="446"/>
      <c r="DW422" s="446"/>
      <c r="DX422" s="446"/>
      <c r="DY422" s="446"/>
      <c r="DZ422" s="283"/>
    </row>
    <row r="423" spans="2:130" s="223" customFormat="1" x14ac:dyDescent="0.2">
      <c r="B423" s="851"/>
      <c r="C423" s="851"/>
      <c r="D423" s="851"/>
      <c r="E423" s="820"/>
      <c r="F423" s="820"/>
      <c r="G423" s="853"/>
      <c r="H423" s="853"/>
      <c r="I423" s="853"/>
      <c r="J423" s="853"/>
      <c r="K423" s="853"/>
      <c r="L423" s="853"/>
      <c r="M423" s="853"/>
      <c r="N423" s="853"/>
      <c r="O423" s="853"/>
      <c r="P423" s="853"/>
      <c r="Q423" s="853"/>
      <c r="R423" s="853"/>
      <c r="S423" s="853"/>
      <c r="T423" s="853"/>
      <c r="U423" s="853"/>
      <c r="V423" s="853"/>
      <c r="W423" s="853"/>
      <c r="X423" s="853"/>
      <c r="Y423" s="853"/>
      <c r="Z423" s="853"/>
      <c r="AA423" s="853"/>
      <c r="AB423" s="853"/>
      <c r="AC423" s="853"/>
      <c r="AD423" s="853"/>
      <c r="AE423" s="853"/>
      <c r="AF423" s="853"/>
      <c r="AG423" s="853"/>
      <c r="AH423" s="446"/>
      <c r="AI423" s="446"/>
      <c r="AJ423" s="446"/>
      <c r="AK423" s="446"/>
      <c r="AL423" s="446"/>
      <c r="AM423" s="446"/>
      <c r="AN423" s="446"/>
      <c r="AO423" s="446"/>
      <c r="AP423" s="446"/>
      <c r="AQ423" s="446"/>
      <c r="AR423" s="446"/>
      <c r="AS423" s="446"/>
      <c r="AT423" s="446"/>
      <c r="AU423" s="446"/>
      <c r="AV423" s="446"/>
      <c r="AW423" s="446"/>
      <c r="AX423" s="446"/>
      <c r="AY423" s="446"/>
      <c r="AZ423" s="446"/>
      <c r="BA423" s="446"/>
      <c r="BB423" s="446"/>
      <c r="BC423" s="446"/>
      <c r="BD423" s="446"/>
      <c r="BE423" s="446"/>
      <c r="BF423" s="446"/>
      <c r="BG423" s="446"/>
      <c r="BH423" s="446"/>
      <c r="BI423" s="446"/>
      <c r="BJ423" s="446"/>
      <c r="BK423" s="446"/>
      <c r="BL423" s="446"/>
      <c r="BM423" s="446"/>
      <c r="BN423" s="446"/>
      <c r="BO423" s="446"/>
      <c r="BP423" s="446"/>
      <c r="BQ423" s="446"/>
      <c r="BR423" s="446"/>
      <c r="BS423" s="446"/>
      <c r="BT423" s="446"/>
      <c r="BU423" s="562"/>
      <c r="BV423" s="446"/>
      <c r="BW423" s="446"/>
      <c r="BX423" s="446"/>
      <c r="BY423" s="446"/>
      <c r="BZ423" s="446"/>
      <c r="CA423" s="446"/>
      <c r="CB423" s="446"/>
      <c r="CC423" s="446"/>
      <c r="CD423" s="446"/>
      <c r="CE423" s="446"/>
      <c r="CF423" s="446"/>
      <c r="CG423" s="446"/>
      <c r="CH423" s="446"/>
      <c r="CI423" s="446"/>
      <c r="CJ423" s="446"/>
      <c r="CK423" s="446"/>
      <c r="CL423" s="446"/>
      <c r="CM423" s="446"/>
      <c r="CN423" s="446"/>
      <c r="CO423" s="446"/>
      <c r="CP423" s="446"/>
      <c r="CQ423" s="446"/>
      <c r="CR423" s="446"/>
      <c r="CS423" s="446"/>
      <c r="CT423" s="446"/>
      <c r="CU423" s="446"/>
      <c r="CV423" s="446"/>
      <c r="CW423" s="851"/>
      <c r="CX423" s="446"/>
      <c r="CY423" s="446"/>
      <c r="CZ423" s="446"/>
      <c r="DA423" s="446"/>
      <c r="DB423" s="446"/>
      <c r="DC423" s="446"/>
      <c r="DD423" s="446"/>
      <c r="DE423" s="446"/>
      <c r="DF423" s="446"/>
      <c r="DG423" s="446"/>
      <c r="DH423" s="446"/>
      <c r="DI423" s="446"/>
      <c r="DJ423" s="446"/>
      <c r="DK423" s="446"/>
      <c r="DL423" s="446"/>
      <c r="DM423" s="446"/>
      <c r="DN423" s="446"/>
      <c r="DO423" s="446"/>
      <c r="DP423" s="446"/>
      <c r="DQ423" s="446"/>
      <c r="DR423" s="446"/>
      <c r="DS423" s="446"/>
      <c r="DT423" s="446"/>
      <c r="DU423" s="446"/>
      <c r="DV423" s="446"/>
      <c r="DW423" s="446"/>
      <c r="DX423" s="446"/>
      <c r="DY423" s="446"/>
      <c r="DZ423" s="283"/>
    </row>
    <row r="424" spans="2:130" s="223" customFormat="1" x14ac:dyDescent="0.2">
      <c r="B424" s="851"/>
      <c r="C424" s="851"/>
      <c r="D424" s="851"/>
      <c r="E424" s="820"/>
      <c r="F424" s="820"/>
      <c r="G424" s="853"/>
      <c r="H424" s="853"/>
      <c r="I424" s="853"/>
      <c r="J424" s="853"/>
      <c r="K424" s="853"/>
      <c r="L424" s="853"/>
      <c r="M424" s="853"/>
      <c r="N424" s="853"/>
      <c r="O424" s="853"/>
      <c r="P424" s="853"/>
      <c r="Q424" s="853"/>
      <c r="R424" s="853"/>
      <c r="S424" s="853"/>
      <c r="T424" s="853"/>
      <c r="U424" s="853"/>
      <c r="V424" s="853"/>
      <c r="W424" s="853"/>
      <c r="X424" s="853"/>
      <c r="Y424" s="853"/>
      <c r="Z424" s="853"/>
      <c r="AA424" s="853"/>
      <c r="AB424" s="853"/>
      <c r="AC424" s="853"/>
      <c r="AD424" s="853"/>
      <c r="AE424" s="853"/>
      <c r="AF424" s="853"/>
      <c r="AG424" s="853"/>
      <c r="AH424" s="446"/>
      <c r="AI424" s="446"/>
      <c r="AJ424" s="446"/>
      <c r="AK424" s="446"/>
      <c r="AL424" s="446"/>
      <c r="AM424" s="446"/>
      <c r="AN424" s="446"/>
      <c r="AO424" s="446"/>
      <c r="AP424" s="446"/>
      <c r="AQ424" s="446"/>
      <c r="AR424" s="446"/>
      <c r="AS424" s="446"/>
      <c r="AT424" s="446"/>
      <c r="AU424" s="446"/>
      <c r="AV424" s="446"/>
      <c r="AW424" s="446"/>
      <c r="AX424" s="446"/>
      <c r="AY424" s="446"/>
      <c r="AZ424" s="446"/>
      <c r="BA424" s="446"/>
      <c r="BB424" s="446"/>
      <c r="BC424" s="446"/>
      <c r="BD424" s="446"/>
      <c r="BE424" s="446"/>
      <c r="BF424" s="446"/>
      <c r="BG424" s="446"/>
      <c r="BH424" s="446"/>
      <c r="BI424" s="446"/>
      <c r="BJ424" s="446"/>
      <c r="BK424" s="446"/>
      <c r="BL424" s="446"/>
      <c r="BM424" s="446"/>
      <c r="BN424" s="446"/>
      <c r="BO424" s="446"/>
      <c r="BP424" s="446"/>
      <c r="BQ424" s="446"/>
      <c r="BR424" s="446"/>
      <c r="BS424" s="446"/>
      <c r="BT424" s="446"/>
      <c r="BU424" s="562"/>
      <c r="BV424" s="446"/>
      <c r="BW424" s="446"/>
      <c r="BX424" s="446"/>
      <c r="BY424" s="446"/>
      <c r="BZ424" s="446"/>
      <c r="CA424" s="446"/>
      <c r="CB424" s="446"/>
      <c r="CC424" s="446"/>
      <c r="CD424" s="446"/>
      <c r="CE424" s="446"/>
      <c r="CF424" s="446"/>
      <c r="CG424" s="446"/>
      <c r="CH424" s="446"/>
      <c r="CI424" s="446"/>
      <c r="CJ424" s="446"/>
      <c r="CK424" s="446"/>
      <c r="CL424" s="446"/>
      <c r="CM424" s="446"/>
      <c r="CN424" s="446"/>
      <c r="CO424" s="446"/>
      <c r="CP424" s="446"/>
      <c r="CQ424" s="446"/>
      <c r="CR424" s="446"/>
      <c r="CS424" s="446"/>
      <c r="CT424" s="446"/>
      <c r="CU424" s="446"/>
      <c r="CV424" s="446"/>
      <c r="CW424" s="851"/>
      <c r="CX424" s="446"/>
      <c r="CY424" s="446"/>
      <c r="CZ424" s="446"/>
      <c r="DA424" s="446"/>
      <c r="DB424" s="446"/>
      <c r="DC424" s="446"/>
      <c r="DD424" s="446"/>
      <c r="DE424" s="446"/>
      <c r="DF424" s="446"/>
      <c r="DG424" s="446"/>
      <c r="DH424" s="446"/>
      <c r="DI424" s="446"/>
      <c r="DJ424" s="446"/>
      <c r="DK424" s="446"/>
      <c r="DL424" s="446"/>
      <c r="DM424" s="446"/>
      <c r="DN424" s="446"/>
      <c r="DO424" s="446"/>
      <c r="DP424" s="446"/>
      <c r="DQ424" s="446"/>
      <c r="DR424" s="446"/>
      <c r="DS424" s="446"/>
      <c r="DT424" s="446"/>
      <c r="DU424" s="446"/>
      <c r="DV424" s="446"/>
      <c r="DW424" s="446"/>
      <c r="DX424" s="446"/>
      <c r="DY424" s="446"/>
      <c r="DZ424" s="283"/>
    </row>
    <row r="425" spans="2:130" s="223" customFormat="1" x14ac:dyDescent="0.2">
      <c r="B425" s="851"/>
      <c r="C425" s="851"/>
      <c r="D425" s="851"/>
      <c r="E425" s="820"/>
      <c r="F425" s="820"/>
      <c r="G425" s="853"/>
      <c r="H425" s="853"/>
      <c r="I425" s="853"/>
      <c r="J425" s="853"/>
      <c r="K425" s="853"/>
      <c r="L425" s="853"/>
      <c r="M425" s="853"/>
      <c r="N425" s="853"/>
      <c r="O425" s="853"/>
      <c r="P425" s="853"/>
      <c r="Q425" s="853"/>
      <c r="R425" s="853"/>
      <c r="S425" s="853"/>
      <c r="T425" s="853"/>
      <c r="U425" s="853"/>
      <c r="V425" s="853"/>
      <c r="W425" s="853"/>
      <c r="X425" s="853"/>
      <c r="Y425" s="853"/>
      <c r="Z425" s="853"/>
      <c r="AA425" s="853"/>
      <c r="AB425" s="853"/>
      <c r="AC425" s="853"/>
      <c r="AD425" s="853"/>
      <c r="AE425" s="853"/>
      <c r="AF425" s="853"/>
      <c r="AG425" s="853"/>
      <c r="AH425" s="446"/>
      <c r="AI425" s="446"/>
      <c r="AJ425" s="446"/>
      <c r="AK425" s="446"/>
      <c r="AL425" s="446"/>
      <c r="AM425" s="446"/>
      <c r="AN425" s="446"/>
      <c r="AO425" s="446"/>
      <c r="AP425" s="446"/>
      <c r="AQ425" s="446"/>
      <c r="AR425" s="446"/>
      <c r="AS425" s="446"/>
      <c r="AT425" s="446"/>
      <c r="AU425" s="446"/>
      <c r="AV425" s="446"/>
      <c r="AW425" s="446"/>
      <c r="AX425" s="446"/>
      <c r="AY425" s="446"/>
      <c r="AZ425" s="446"/>
      <c r="BA425" s="446"/>
      <c r="BB425" s="446"/>
      <c r="BC425" s="446"/>
      <c r="BD425" s="446"/>
      <c r="BE425" s="446"/>
      <c r="BF425" s="446"/>
      <c r="BG425" s="446"/>
      <c r="BH425" s="446"/>
      <c r="BI425" s="446"/>
      <c r="BJ425" s="446"/>
      <c r="BK425" s="446"/>
      <c r="BL425" s="446"/>
      <c r="BM425" s="446"/>
      <c r="BN425" s="446"/>
      <c r="BO425" s="446"/>
      <c r="BP425" s="446"/>
      <c r="BQ425" s="446"/>
      <c r="BR425" s="446"/>
      <c r="BS425" s="446"/>
      <c r="BT425" s="446"/>
      <c r="BU425" s="562"/>
      <c r="BV425" s="446"/>
      <c r="BW425" s="446"/>
      <c r="BX425" s="446"/>
      <c r="BY425" s="446"/>
      <c r="BZ425" s="446"/>
      <c r="CA425" s="446"/>
      <c r="CB425" s="446"/>
      <c r="CC425" s="446"/>
      <c r="CD425" s="446"/>
      <c r="CE425" s="446"/>
      <c r="CF425" s="446"/>
      <c r="CG425" s="446"/>
      <c r="CH425" s="446"/>
      <c r="CI425" s="446"/>
      <c r="CJ425" s="446"/>
      <c r="CK425" s="446"/>
      <c r="CL425" s="446"/>
      <c r="CM425" s="446"/>
      <c r="CN425" s="446"/>
      <c r="CO425" s="446"/>
      <c r="CP425" s="446"/>
      <c r="CQ425" s="446"/>
      <c r="CR425" s="446"/>
      <c r="CS425" s="446"/>
      <c r="CT425" s="446"/>
      <c r="CU425" s="446"/>
      <c r="CV425" s="446"/>
      <c r="CW425" s="851"/>
      <c r="CX425" s="446"/>
      <c r="CY425" s="446"/>
      <c r="CZ425" s="446"/>
      <c r="DA425" s="446"/>
      <c r="DB425" s="446"/>
      <c r="DC425" s="446"/>
      <c r="DD425" s="446"/>
      <c r="DE425" s="446"/>
      <c r="DF425" s="446"/>
      <c r="DG425" s="446"/>
      <c r="DH425" s="446"/>
      <c r="DI425" s="446"/>
      <c r="DJ425" s="446"/>
      <c r="DK425" s="446"/>
      <c r="DL425" s="446"/>
      <c r="DM425" s="446"/>
      <c r="DN425" s="446"/>
      <c r="DO425" s="446"/>
      <c r="DP425" s="446"/>
      <c r="DQ425" s="446"/>
      <c r="DR425" s="446"/>
      <c r="DS425" s="446"/>
      <c r="DT425" s="446"/>
      <c r="DU425" s="446"/>
      <c r="DV425" s="446"/>
      <c r="DW425" s="446"/>
      <c r="DX425" s="446"/>
      <c r="DY425" s="446"/>
      <c r="DZ425" s="283"/>
    </row>
    <row r="426" spans="2:130" s="223" customFormat="1" x14ac:dyDescent="0.2">
      <c r="B426" s="851"/>
      <c r="C426" s="851"/>
      <c r="D426" s="851"/>
      <c r="E426" s="820"/>
      <c r="F426" s="820"/>
      <c r="G426" s="853"/>
      <c r="H426" s="853"/>
      <c r="I426" s="853"/>
      <c r="J426" s="853"/>
      <c r="K426" s="853"/>
      <c r="L426" s="853"/>
      <c r="M426" s="853"/>
      <c r="N426" s="853"/>
      <c r="O426" s="853"/>
      <c r="P426" s="853"/>
      <c r="Q426" s="853"/>
      <c r="R426" s="853"/>
      <c r="S426" s="853"/>
      <c r="T426" s="853"/>
      <c r="U426" s="853"/>
      <c r="V426" s="853"/>
      <c r="W426" s="853"/>
      <c r="X426" s="853"/>
      <c r="Y426" s="853"/>
      <c r="Z426" s="853"/>
      <c r="AA426" s="853"/>
      <c r="AB426" s="853"/>
      <c r="AC426" s="853"/>
      <c r="AD426" s="853"/>
      <c r="AE426" s="853"/>
      <c r="AF426" s="853"/>
      <c r="AG426" s="853"/>
      <c r="AH426" s="446"/>
      <c r="AI426" s="446"/>
      <c r="AJ426" s="446"/>
      <c r="AK426" s="446"/>
      <c r="AL426" s="446"/>
      <c r="AM426" s="446"/>
      <c r="AN426" s="446"/>
      <c r="AO426" s="446"/>
      <c r="AP426" s="446"/>
      <c r="AQ426" s="446"/>
      <c r="AR426" s="446"/>
      <c r="AS426" s="446"/>
      <c r="AT426" s="446"/>
      <c r="AU426" s="446"/>
      <c r="AV426" s="446"/>
      <c r="AW426" s="446"/>
      <c r="AX426" s="446"/>
      <c r="AY426" s="446"/>
      <c r="AZ426" s="446"/>
      <c r="BA426" s="446"/>
      <c r="BB426" s="446"/>
      <c r="BC426" s="446"/>
      <c r="BD426" s="446"/>
      <c r="BE426" s="446"/>
      <c r="BF426" s="446"/>
      <c r="BG426" s="446"/>
      <c r="BH426" s="446"/>
      <c r="BI426" s="446"/>
      <c r="BJ426" s="446"/>
      <c r="BK426" s="446"/>
      <c r="BL426" s="446"/>
      <c r="BM426" s="446"/>
      <c r="BN426" s="446"/>
      <c r="BO426" s="446"/>
      <c r="BP426" s="446"/>
      <c r="BQ426" s="446"/>
      <c r="BR426" s="446"/>
      <c r="BS426" s="446"/>
      <c r="BT426" s="446"/>
      <c r="BU426" s="562"/>
      <c r="BV426" s="446"/>
      <c r="BW426" s="446"/>
      <c r="BX426" s="446"/>
      <c r="BY426" s="446"/>
      <c r="BZ426" s="446"/>
      <c r="CA426" s="446"/>
      <c r="CB426" s="446"/>
      <c r="CC426" s="446"/>
      <c r="CD426" s="446"/>
      <c r="CE426" s="446"/>
      <c r="CF426" s="446"/>
      <c r="CG426" s="446"/>
      <c r="CH426" s="446"/>
      <c r="CI426" s="446"/>
      <c r="CJ426" s="446"/>
      <c r="CK426" s="446"/>
      <c r="CL426" s="446"/>
      <c r="CM426" s="446"/>
      <c r="CN426" s="446"/>
      <c r="CO426" s="446"/>
      <c r="CP426" s="446"/>
      <c r="CQ426" s="446"/>
      <c r="CR426" s="446"/>
      <c r="CS426" s="446"/>
      <c r="CT426" s="446"/>
      <c r="CU426" s="446"/>
      <c r="CV426" s="446"/>
      <c r="CW426" s="851"/>
      <c r="CX426" s="446"/>
      <c r="CY426" s="446"/>
      <c r="CZ426" s="446"/>
      <c r="DA426" s="446"/>
      <c r="DB426" s="446"/>
      <c r="DC426" s="446"/>
      <c r="DD426" s="446"/>
      <c r="DE426" s="446"/>
      <c r="DF426" s="446"/>
      <c r="DG426" s="446"/>
      <c r="DH426" s="446"/>
      <c r="DI426" s="446"/>
      <c r="DJ426" s="446"/>
      <c r="DK426" s="446"/>
      <c r="DL426" s="446"/>
      <c r="DM426" s="446"/>
      <c r="DN426" s="446"/>
      <c r="DO426" s="446"/>
      <c r="DP426" s="446"/>
      <c r="DQ426" s="446"/>
      <c r="DR426" s="446"/>
      <c r="DS426" s="446"/>
      <c r="DT426" s="446"/>
      <c r="DU426" s="446"/>
      <c r="DV426" s="446"/>
      <c r="DW426" s="446"/>
      <c r="DX426" s="446"/>
      <c r="DY426" s="446"/>
      <c r="DZ426" s="283"/>
    </row>
    <row r="427" spans="2:130" s="223" customFormat="1" x14ac:dyDescent="0.2">
      <c r="B427" s="851"/>
      <c r="C427" s="851"/>
      <c r="D427" s="851"/>
      <c r="E427" s="820"/>
      <c r="F427" s="820"/>
      <c r="G427" s="853"/>
      <c r="H427" s="853"/>
      <c r="I427" s="853"/>
      <c r="J427" s="853"/>
      <c r="K427" s="853"/>
      <c r="L427" s="853"/>
      <c r="M427" s="853"/>
      <c r="N427" s="853"/>
      <c r="O427" s="853"/>
      <c r="P427" s="853"/>
      <c r="Q427" s="853"/>
      <c r="R427" s="853"/>
      <c r="S427" s="853"/>
      <c r="T427" s="853"/>
      <c r="U427" s="853"/>
      <c r="V427" s="853"/>
      <c r="W427" s="853"/>
      <c r="X427" s="853"/>
      <c r="Y427" s="853"/>
      <c r="Z427" s="853"/>
      <c r="AA427" s="853"/>
      <c r="AB427" s="853"/>
      <c r="AC427" s="853"/>
      <c r="AD427" s="853"/>
      <c r="AE427" s="853"/>
      <c r="AF427" s="853"/>
      <c r="AG427" s="853"/>
      <c r="AH427" s="446"/>
      <c r="AI427" s="446"/>
      <c r="AJ427" s="446"/>
      <c r="AK427" s="446"/>
      <c r="AL427" s="446"/>
      <c r="AM427" s="446"/>
      <c r="AN427" s="446"/>
      <c r="AO427" s="446"/>
      <c r="AP427" s="446"/>
      <c r="AQ427" s="446"/>
      <c r="AR427" s="446"/>
      <c r="AS427" s="446"/>
      <c r="AT427" s="446"/>
      <c r="AU427" s="446"/>
      <c r="AV427" s="446"/>
      <c r="AW427" s="446"/>
      <c r="AX427" s="446"/>
      <c r="AY427" s="446"/>
      <c r="AZ427" s="446"/>
      <c r="BA427" s="446"/>
      <c r="BB427" s="446"/>
      <c r="BC427" s="446"/>
      <c r="BD427" s="446"/>
      <c r="BE427" s="446"/>
      <c r="BF427" s="446"/>
      <c r="BG427" s="446"/>
      <c r="BH427" s="446"/>
      <c r="BI427" s="446"/>
      <c r="BJ427" s="446"/>
      <c r="BK427" s="446"/>
      <c r="BL427" s="446"/>
      <c r="BM427" s="446"/>
      <c r="BN427" s="446"/>
      <c r="BO427" s="446"/>
      <c r="BP427" s="446"/>
      <c r="BQ427" s="446"/>
      <c r="BR427" s="446"/>
      <c r="BS427" s="446"/>
      <c r="BT427" s="446"/>
      <c r="BU427" s="562"/>
      <c r="BV427" s="446"/>
      <c r="BW427" s="446"/>
      <c r="BX427" s="446"/>
      <c r="BY427" s="446"/>
      <c r="BZ427" s="446"/>
      <c r="CA427" s="446"/>
      <c r="CB427" s="446"/>
      <c r="CC427" s="446"/>
      <c r="CD427" s="446"/>
      <c r="CE427" s="446"/>
      <c r="CF427" s="446"/>
      <c r="CG427" s="446"/>
      <c r="CH427" s="446"/>
      <c r="CI427" s="446"/>
      <c r="CJ427" s="446"/>
      <c r="CK427" s="446"/>
      <c r="CL427" s="446"/>
      <c r="CM427" s="446"/>
      <c r="CN427" s="446"/>
      <c r="CO427" s="446"/>
      <c r="CP427" s="446"/>
      <c r="CQ427" s="446"/>
      <c r="CR427" s="446"/>
      <c r="CS427" s="446"/>
      <c r="CT427" s="446"/>
      <c r="CU427" s="446"/>
      <c r="CV427" s="446"/>
      <c r="CW427" s="851"/>
      <c r="CX427" s="446"/>
      <c r="CY427" s="446"/>
      <c r="CZ427" s="446"/>
      <c r="DA427" s="446"/>
      <c r="DB427" s="446"/>
      <c r="DC427" s="446"/>
      <c r="DD427" s="446"/>
      <c r="DE427" s="446"/>
      <c r="DF427" s="446"/>
      <c r="DG427" s="446"/>
      <c r="DH427" s="446"/>
      <c r="DI427" s="446"/>
      <c r="DJ427" s="446"/>
      <c r="DK427" s="446"/>
      <c r="DL427" s="446"/>
      <c r="DM427" s="446"/>
      <c r="DN427" s="446"/>
      <c r="DO427" s="446"/>
      <c r="DP427" s="446"/>
      <c r="DQ427" s="446"/>
      <c r="DR427" s="446"/>
      <c r="DS427" s="446"/>
      <c r="DT427" s="446"/>
      <c r="DU427" s="446"/>
      <c r="DV427" s="446"/>
      <c r="DW427" s="446"/>
      <c r="DX427" s="446"/>
      <c r="DY427" s="446"/>
      <c r="DZ427" s="283"/>
    </row>
    <row r="428" spans="2:130" s="223" customFormat="1" x14ac:dyDescent="0.2">
      <c r="B428" s="851"/>
      <c r="C428" s="851"/>
      <c r="D428" s="851"/>
      <c r="E428" s="820"/>
      <c r="F428" s="820"/>
      <c r="G428" s="853"/>
      <c r="H428" s="853"/>
      <c r="I428" s="853"/>
      <c r="J428" s="853"/>
      <c r="K428" s="853"/>
      <c r="L428" s="853"/>
      <c r="M428" s="853"/>
      <c r="N428" s="853"/>
      <c r="O428" s="853"/>
      <c r="P428" s="853"/>
      <c r="Q428" s="853"/>
      <c r="R428" s="853"/>
      <c r="S428" s="853"/>
      <c r="T428" s="853"/>
      <c r="U428" s="853"/>
      <c r="V428" s="853"/>
      <c r="W428" s="853"/>
      <c r="X428" s="853"/>
      <c r="Y428" s="853"/>
      <c r="Z428" s="853"/>
      <c r="AA428" s="853"/>
      <c r="AB428" s="853"/>
      <c r="AC428" s="853"/>
      <c r="AD428" s="853"/>
      <c r="AE428" s="853"/>
      <c r="AF428" s="853"/>
      <c r="AG428" s="853"/>
      <c r="AH428" s="446"/>
      <c r="AI428" s="446"/>
      <c r="AJ428" s="446"/>
      <c r="AK428" s="446"/>
      <c r="AL428" s="446"/>
      <c r="AM428" s="446"/>
      <c r="AN428" s="446"/>
      <c r="AO428" s="446"/>
      <c r="AP428" s="446"/>
      <c r="AQ428" s="446"/>
      <c r="AR428" s="446"/>
      <c r="AS428" s="446"/>
      <c r="AT428" s="446"/>
      <c r="AU428" s="446"/>
      <c r="AV428" s="446"/>
      <c r="AW428" s="446"/>
      <c r="AX428" s="446"/>
      <c r="AY428" s="446"/>
      <c r="AZ428" s="446"/>
      <c r="BA428" s="446"/>
      <c r="BB428" s="446"/>
      <c r="BC428" s="446"/>
      <c r="BD428" s="446"/>
      <c r="BE428" s="446"/>
      <c r="BF428" s="446"/>
      <c r="BG428" s="446"/>
      <c r="BH428" s="446"/>
      <c r="BI428" s="446"/>
      <c r="BJ428" s="446"/>
      <c r="BK428" s="446"/>
      <c r="BL428" s="446"/>
      <c r="BM428" s="446"/>
      <c r="BN428" s="446"/>
      <c r="BO428" s="446"/>
      <c r="BP428" s="446"/>
      <c r="BQ428" s="446"/>
      <c r="BR428" s="446"/>
      <c r="BS428" s="446"/>
      <c r="BT428" s="446"/>
      <c r="BU428" s="562"/>
      <c r="BV428" s="446"/>
      <c r="BW428" s="446"/>
      <c r="BX428" s="446"/>
      <c r="BY428" s="446"/>
      <c r="BZ428" s="446"/>
      <c r="CA428" s="446"/>
      <c r="CB428" s="446"/>
      <c r="CC428" s="446"/>
      <c r="CD428" s="446"/>
      <c r="CE428" s="446"/>
      <c r="CF428" s="446"/>
      <c r="CG428" s="446"/>
      <c r="CH428" s="446"/>
      <c r="CI428" s="446"/>
      <c r="CJ428" s="446"/>
      <c r="CK428" s="446"/>
      <c r="CL428" s="446"/>
      <c r="CM428" s="446"/>
      <c r="CN428" s="446"/>
      <c r="CO428" s="446"/>
      <c r="CP428" s="446"/>
      <c r="CQ428" s="446"/>
      <c r="CR428" s="446"/>
      <c r="CS428" s="446"/>
      <c r="CT428" s="446"/>
      <c r="CU428" s="446"/>
      <c r="CV428" s="446"/>
      <c r="CW428" s="851"/>
      <c r="CX428" s="446"/>
      <c r="CY428" s="446"/>
      <c r="CZ428" s="446"/>
      <c r="DA428" s="446"/>
      <c r="DB428" s="446"/>
      <c r="DC428" s="446"/>
      <c r="DD428" s="446"/>
      <c r="DE428" s="446"/>
      <c r="DF428" s="446"/>
      <c r="DG428" s="446"/>
      <c r="DH428" s="446"/>
      <c r="DI428" s="446"/>
      <c r="DJ428" s="446"/>
      <c r="DK428" s="446"/>
      <c r="DL428" s="446"/>
      <c r="DM428" s="446"/>
      <c r="DN428" s="446"/>
      <c r="DO428" s="446"/>
      <c r="DP428" s="446"/>
      <c r="DQ428" s="446"/>
      <c r="DR428" s="446"/>
      <c r="DS428" s="446"/>
      <c r="DT428" s="446"/>
      <c r="DU428" s="446"/>
      <c r="DV428" s="446"/>
      <c r="DW428" s="446"/>
      <c r="DX428" s="446"/>
      <c r="DY428" s="446"/>
      <c r="DZ428" s="283"/>
    </row>
    <row r="429" spans="2:130" s="223" customFormat="1" x14ac:dyDescent="0.2">
      <c r="B429" s="851"/>
      <c r="C429" s="851"/>
      <c r="D429" s="851"/>
      <c r="E429" s="820"/>
      <c r="F429" s="820"/>
      <c r="G429" s="853"/>
      <c r="H429" s="853"/>
      <c r="I429" s="853"/>
      <c r="J429" s="853"/>
      <c r="K429" s="853"/>
      <c r="L429" s="853"/>
      <c r="M429" s="853"/>
      <c r="N429" s="853"/>
      <c r="O429" s="853"/>
      <c r="P429" s="853"/>
      <c r="Q429" s="853"/>
      <c r="R429" s="853"/>
      <c r="S429" s="853"/>
      <c r="T429" s="853"/>
      <c r="U429" s="853"/>
      <c r="V429" s="853"/>
      <c r="W429" s="853"/>
      <c r="X429" s="853"/>
      <c r="Y429" s="853"/>
      <c r="Z429" s="853"/>
      <c r="AA429" s="853"/>
      <c r="AB429" s="853"/>
      <c r="AC429" s="853"/>
      <c r="AD429" s="853"/>
      <c r="AE429" s="853"/>
      <c r="AF429" s="853"/>
      <c r="AG429" s="853"/>
      <c r="AH429" s="446"/>
      <c r="AI429" s="446"/>
      <c r="AJ429" s="446"/>
      <c r="AK429" s="446"/>
      <c r="AL429" s="446"/>
      <c r="AM429" s="446"/>
      <c r="AN429" s="446"/>
      <c r="AO429" s="446"/>
      <c r="AP429" s="446"/>
      <c r="AQ429" s="446"/>
      <c r="AR429" s="446"/>
      <c r="AS429" s="446"/>
      <c r="AT429" s="446"/>
      <c r="AU429" s="446"/>
      <c r="AV429" s="446"/>
      <c r="AW429" s="446"/>
      <c r="AX429" s="446"/>
      <c r="AY429" s="446"/>
      <c r="AZ429" s="446"/>
      <c r="BA429" s="446"/>
      <c r="BB429" s="446"/>
      <c r="BC429" s="446"/>
      <c r="BD429" s="446"/>
      <c r="BE429" s="446"/>
      <c r="BF429" s="446"/>
      <c r="BG429" s="446"/>
      <c r="BH429" s="446"/>
      <c r="BI429" s="446"/>
      <c r="BJ429" s="446"/>
      <c r="BK429" s="446"/>
      <c r="BL429" s="446"/>
      <c r="BM429" s="446"/>
      <c r="BN429" s="446"/>
      <c r="BO429" s="446"/>
      <c r="BP429" s="446"/>
      <c r="BQ429" s="446"/>
      <c r="BR429" s="446"/>
      <c r="BS429" s="446"/>
      <c r="BT429" s="446"/>
      <c r="BU429" s="562"/>
      <c r="BV429" s="446"/>
      <c r="BW429" s="446"/>
      <c r="BX429" s="446"/>
      <c r="BY429" s="446"/>
      <c r="BZ429" s="446"/>
      <c r="CA429" s="446"/>
      <c r="CB429" s="446"/>
      <c r="CC429" s="446"/>
      <c r="CD429" s="446"/>
      <c r="CE429" s="446"/>
      <c r="CF429" s="446"/>
      <c r="CG429" s="446"/>
      <c r="CH429" s="446"/>
      <c r="CI429" s="446"/>
      <c r="CJ429" s="446"/>
      <c r="CK429" s="446"/>
      <c r="CL429" s="446"/>
      <c r="CM429" s="446"/>
      <c r="CN429" s="446"/>
      <c r="CO429" s="446"/>
      <c r="CP429" s="446"/>
      <c r="CQ429" s="446"/>
      <c r="CR429" s="446"/>
      <c r="CS429" s="446"/>
      <c r="CT429" s="446"/>
      <c r="CU429" s="446"/>
      <c r="CV429" s="446"/>
      <c r="CW429" s="851"/>
      <c r="CX429" s="446"/>
      <c r="CY429" s="446"/>
      <c r="CZ429" s="446"/>
      <c r="DA429" s="446"/>
      <c r="DB429" s="446"/>
      <c r="DC429" s="446"/>
      <c r="DD429" s="446"/>
      <c r="DE429" s="446"/>
      <c r="DF429" s="446"/>
      <c r="DG429" s="446"/>
      <c r="DH429" s="446"/>
      <c r="DI429" s="446"/>
      <c r="DJ429" s="446"/>
      <c r="DK429" s="446"/>
      <c r="DL429" s="446"/>
      <c r="DM429" s="446"/>
      <c r="DN429" s="446"/>
      <c r="DO429" s="446"/>
      <c r="DP429" s="446"/>
      <c r="DQ429" s="446"/>
      <c r="DR429" s="446"/>
      <c r="DS429" s="446"/>
      <c r="DT429" s="446"/>
      <c r="DU429" s="446"/>
      <c r="DV429" s="446"/>
      <c r="DW429" s="446"/>
      <c r="DX429" s="446"/>
      <c r="DY429" s="446"/>
      <c r="DZ429" s="283"/>
    </row>
    <row r="430" spans="2:130" s="223" customFormat="1" x14ac:dyDescent="0.2">
      <c r="B430" s="851"/>
      <c r="C430" s="851"/>
      <c r="D430" s="851"/>
      <c r="E430" s="820"/>
      <c r="F430" s="820"/>
      <c r="G430" s="853"/>
      <c r="H430" s="853"/>
      <c r="I430" s="853"/>
      <c r="J430" s="853"/>
      <c r="K430" s="853"/>
      <c r="L430" s="853"/>
      <c r="M430" s="853"/>
      <c r="N430" s="853"/>
      <c r="O430" s="853"/>
      <c r="P430" s="853"/>
      <c r="Q430" s="853"/>
      <c r="R430" s="853"/>
      <c r="S430" s="853"/>
      <c r="T430" s="853"/>
      <c r="U430" s="853"/>
      <c r="V430" s="853"/>
      <c r="W430" s="853"/>
      <c r="X430" s="853"/>
      <c r="Y430" s="853"/>
      <c r="Z430" s="853"/>
      <c r="AA430" s="853"/>
      <c r="AB430" s="853"/>
      <c r="AC430" s="853"/>
      <c r="AD430" s="853"/>
      <c r="AE430" s="853"/>
      <c r="AF430" s="853"/>
      <c r="AG430" s="853"/>
      <c r="AH430" s="446"/>
      <c r="AI430" s="446"/>
      <c r="AJ430" s="446"/>
      <c r="AK430" s="446"/>
      <c r="AL430" s="446"/>
      <c r="AM430" s="446"/>
      <c r="AN430" s="446"/>
      <c r="AO430" s="446"/>
      <c r="AP430" s="446"/>
      <c r="AQ430" s="446"/>
      <c r="AR430" s="446"/>
      <c r="AS430" s="446"/>
      <c r="AT430" s="446"/>
      <c r="AU430" s="446"/>
      <c r="AV430" s="446"/>
      <c r="AW430" s="446"/>
      <c r="AX430" s="446"/>
      <c r="AY430" s="446"/>
      <c r="AZ430" s="446"/>
      <c r="BA430" s="446"/>
      <c r="BB430" s="446"/>
      <c r="BC430" s="446"/>
      <c r="BD430" s="446"/>
      <c r="BE430" s="446"/>
      <c r="BF430" s="446"/>
      <c r="BG430" s="446"/>
      <c r="BH430" s="446"/>
      <c r="BI430" s="446"/>
      <c r="BJ430" s="446"/>
      <c r="BK430" s="446"/>
      <c r="BL430" s="446"/>
      <c r="BM430" s="446"/>
      <c r="BN430" s="446"/>
      <c r="BO430" s="446"/>
      <c r="BP430" s="446"/>
      <c r="BQ430" s="446"/>
      <c r="BR430" s="446"/>
      <c r="BS430" s="446"/>
      <c r="BT430" s="446"/>
      <c r="BU430" s="562"/>
      <c r="BV430" s="446"/>
      <c r="BW430" s="446"/>
      <c r="BX430" s="446"/>
      <c r="BY430" s="446"/>
      <c r="BZ430" s="446"/>
      <c r="CA430" s="446"/>
      <c r="CB430" s="446"/>
      <c r="CC430" s="446"/>
      <c r="CD430" s="446"/>
      <c r="CE430" s="446"/>
      <c r="CF430" s="446"/>
      <c r="CG430" s="446"/>
      <c r="CH430" s="446"/>
      <c r="CI430" s="446"/>
      <c r="CJ430" s="446"/>
      <c r="CK430" s="446"/>
      <c r="CL430" s="446"/>
      <c r="CM430" s="446"/>
      <c r="CN430" s="446"/>
      <c r="CO430" s="446"/>
      <c r="CP430" s="446"/>
      <c r="CQ430" s="446"/>
      <c r="CR430" s="446"/>
      <c r="CS430" s="446"/>
      <c r="CT430" s="446"/>
      <c r="CU430" s="446"/>
      <c r="CV430" s="446"/>
      <c r="CW430" s="851"/>
      <c r="CX430" s="446"/>
      <c r="CY430" s="446"/>
      <c r="CZ430" s="446"/>
      <c r="DA430" s="446"/>
      <c r="DB430" s="446"/>
      <c r="DC430" s="446"/>
      <c r="DD430" s="446"/>
      <c r="DE430" s="446"/>
      <c r="DF430" s="446"/>
      <c r="DG430" s="446"/>
      <c r="DH430" s="446"/>
      <c r="DI430" s="446"/>
      <c r="DJ430" s="446"/>
      <c r="DK430" s="446"/>
      <c r="DL430" s="446"/>
      <c r="DM430" s="446"/>
      <c r="DN430" s="446"/>
      <c r="DO430" s="446"/>
      <c r="DP430" s="446"/>
      <c r="DQ430" s="446"/>
      <c r="DR430" s="446"/>
      <c r="DS430" s="446"/>
      <c r="DT430" s="446"/>
      <c r="DU430" s="446"/>
      <c r="DV430" s="446"/>
      <c r="DW430" s="446"/>
      <c r="DX430" s="446"/>
      <c r="DY430" s="446"/>
      <c r="DZ430" s="283"/>
    </row>
    <row r="431" spans="2:130" s="223" customFormat="1" x14ac:dyDescent="0.2">
      <c r="B431" s="851"/>
      <c r="C431" s="851"/>
      <c r="D431" s="851"/>
      <c r="E431" s="820"/>
      <c r="F431" s="820"/>
      <c r="G431" s="853"/>
      <c r="H431" s="853"/>
      <c r="I431" s="853"/>
      <c r="J431" s="853"/>
      <c r="K431" s="853"/>
      <c r="L431" s="853"/>
      <c r="M431" s="853"/>
      <c r="N431" s="853"/>
      <c r="O431" s="853"/>
      <c r="P431" s="853"/>
      <c r="Q431" s="853"/>
      <c r="R431" s="853"/>
      <c r="S431" s="853"/>
      <c r="T431" s="853"/>
      <c r="U431" s="853"/>
      <c r="V431" s="853"/>
      <c r="W431" s="853"/>
      <c r="X431" s="853"/>
      <c r="Y431" s="853"/>
      <c r="Z431" s="853"/>
      <c r="AA431" s="853"/>
      <c r="AB431" s="853"/>
      <c r="AC431" s="853"/>
      <c r="AD431" s="853"/>
      <c r="AE431" s="853"/>
      <c r="AF431" s="853"/>
      <c r="AG431" s="853"/>
      <c r="AH431" s="446"/>
      <c r="AI431" s="446"/>
      <c r="AJ431" s="446"/>
      <c r="AK431" s="446"/>
      <c r="AL431" s="446"/>
      <c r="AM431" s="446"/>
      <c r="AN431" s="446"/>
      <c r="AO431" s="446"/>
      <c r="AP431" s="446"/>
      <c r="AQ431" s="446"/>
      <c r="AR431" s="446"/>
      <c r="AS431" s="446"/>
      <c r="AT431" s="446"/>
      <c r="AU431" s="446"/>
      <c r="AV431" s="446"/>
      <c r="AW431" s="446"/>
      <c r="AX431" s="446"/>
      <c r="AY431" s="446"/>
      <c r="AZ431" s="446"/>
      <c r="BA431" s="446"/>
      <c r="BB431" s="446"/>
      <c r="BC431" s="446"/>
      <c r="BD431" s="446"/>
      <c r="BE431" s="446"/>
      <c r="BF431" s="446"/>
      <c r="BG431" s="446"/>
      <c r="BH431" s="446"/>
      <c r="BI431" s="446"/>
      <c r="BJ431" s="446"/>
      <c r="BK431" s="446"/>
      <c r="BL431" s="446"/>
      <c r="BM431" s="446"/>
      <c r="BN431" s="446"/>
      <c r="BO431" s="446"/>
      <c r="BP431" s="446"/>
      <c r="BQ431" s="446"/>
      <c r="BR431" s="446"/>
      <c r="BS431" s="446"/>
      <c r="BT431" s="446"/>
      <c r="BU431" s="562"/>
      <c r="BV431" s="446"/>
      <c r="BW431" s="446"/>
      <c r="BX431" s="446"/>
      <c r="BY431" s="446"/>
      <c r="BZ431" s="446"/>
      <c r="CA431" s="446"/>
      <c r="CB431" s="446"/>
      <c r="CC431" s="446"/>
      <c r="CD431" s="446"/>
      <c r="CE431" s="446"/>
      <c r="CF431" s="446"/>
      <c r="CG431" s="446"/>
      <c r="CH431" s="446"/>
      <c r="CI431" s="446"/>
      <c r="CJ431" s="446"/>
      <c r="CK431" s="446"/>
      <c r="CL431" s="446"/>
      <c r="CM431" s="446"/>
      <c r="CN431" s="446"/>
      <c r="CO431" s="446"/>
      <c r="CP431" s="446"/>
      <c r="CQ431" s="446"/>
      <c r="CR431" s="446"/>
      <c r="CS431" s="446"/>
      <c r="CT431" s="446"/>
      <c r="CU431" s="446"/>
      <c r="CV431" s="446"/>
      <c r="CW431" s="851"/>
      <c r="CX431" s="446"/>
      <c r="CY431" s="446"/>
      <c r="CZ431" s="446"/>
      <c r="DA431" s="446"/>
      <c r="DB431" s="446"/>
      <c r="DC431" s="446"/>
      <c r="DD431" s="446"/>
      <c r="DE431" s="446"/>
      <c r="DF431" s="446"/>
      <c r="DG431" s="446"/>
      <c r="DH431" s="446"/>
      <c r="DI431" s="446"/>
      <c r="DJ431" s="446"/>
      <c r="DK431" s="446"/>
      <c r="DL431" s="446"/>
      <c r="DM431" s="446"/>
      <c r="DN431" s="446"/>
      <c r="DO431" s="446"/>
      <c r="DP431" s="446"/>
      <c r="DQ431" s="446"/>
      <c r="DR431" s="446"/>
      <c r="DS431" s="446"/>
      <c r="DT431" s="446"/>
      <c r="DU431" s="446"/>
      <c r="DV431" s="446"/>
      <c r="DW431" s="446"/>
      <c r="DX431" s="446"/>
      <c r="DY431" s="446"/>
      <c r="DZ431" s="283"/>
    </row>
    <row r="432" spans="2:130" s="223" customFormat="1" x14ac:dyDescent="0.2">
      <c r="B432" s="851"/>
      <c r="C432" s="851"/>
      <c r="D432" s="851"/>
      <c r="E432" s="820"/>
      <c r="F432" s="820"/>
      <c r="G432" s="853"/>
      <c r="H432" s="853"/>
      <c r="I432" s="853"/>
      <c r="J432" s="853"/>
      <c r="K432" s="853"/>
      <c r="L432" s="853"/>
      <c r="M432" s="853"/>
      <c r="N432" s="853"/>
      <c r="O432" s="853"/>
      <c r="P432" s="853"/>
      <c r="Q432" s="853"/>
      <c r="R432" s="853"/>
      <c r="S432" s="853"/>
      <c r="T432" s="853"/>
      <c r="U432" s="853"/>
      <c r="V432" s="853"/>
      <c r="W432" s="853"/>
      <c r="X432" s="853"/>
      <c r="Y432" s="853"/>
      <c r="Z432" s="853"/>
      <c r="AA432" s="853"/>
      <c r="AB432" s="853"/>
      <c r="AC432" s="853"/>
      <c r="AD432" s="853"/>
      <c r="AE432" s="853"/>
      <c r="AF432" s="853"/>
      <c r="AG432" s="853"/>
      <c r="AH432" s="446"/>
      <c r="AI432" s="446"/>
      <c r="AJ432" s="446"/>
      <c r="AK432" s="446"/>
      <c r="AL432" s="446"/>
      <c r="AM432" s="446"/>
      <c r="AN432" s="446"/>
      <c r="AO432" s="446"/>
      <c r="AP432" s="446"/>
      <c r="AQ432" s="446"/>
      <c r="AR432" s="446"/>
      <c r="AS432" s="446"/>
      <c r="AT432" s="446"/>
      <c r="AU432" s="446"/>
      <c r="AV432" s="446"/>
      <c r="AW432" s="446"/>
      <c r="AX432" s="446"/>
      <c r="AY432" s="446"/>
      <c r="AZ432" s="446"/>
      <c r="BA432" s="446"/>
      <c r="BB432" s="446"/>
      <c r="BC432" s="446"/>
      <c r="BD432" s="446"/>
      <c r="BE432" s="446"/>
      <c r="BF432" s="446"/>
      <c r="BG432" s="446"/>
      <c r="BH432" s="446"/>
      <c r="BI432" s="446"/>
      <c r="BJ432" s="446"/>
      <c r="BK432" s="446"/>
      <c r="BL432" s="446"/>
      <c r="BM432" s="446"/>
      <c r="BN432" s="446"/>
      <c r="BO432" s="446"/>
      <c r="BP432" s="446"/>
      <c r="BQ432" s="446"/>
      <c r="BR432" s="446"/>
      <c r="BS432" s="446"/>
      <c r="BT432" s="446"/>
      <c r="BU432" s="562"/>
      <c r="BV432" s="446"/>
      <c r="BW432" s="446"/>
      <c r="BX432" s="446"/>
      <c r="BY432" s="446"/>
      <c r="BZ432" s="446"/>
      <c r="CA432" s="446"/>
      <c r="CB432" s="446"/>
      <c r="CC432" s="446"/>
      <c r="CD432" s="446"/>
      <c r="CE432" s="446"/>
      <c r="CF432" s="446"/>
      <c r="CG432" s="446"/>
      <c r="CH432" s="446"/>
      <c r="CI432" s="446"/>
      <c r="CJ432" s="446"/>
      <c r="CK432" s="446"/>
      <c r="CL432" s="446"/>
      <c r="CM432" s="446"/>
      <c r="CN432" s="446"/>
      <c r="CO432" s="446"/>
      <c r="CP432" s="446"/>
      <c r="CQ432" s="446"/>
      <c r="CR432" s="446"/>
      <c r="CS432" s="446"/>
      <c r="CT432" s="446"/>
      <c r="CU432" s="446"/>
      <c r="CV432" s="446"/>
      <c r="CW432" s="851"/>
      <c r="CX432" s="446"/>
      <c r="CY432" s="446"/>
      <c r="CZ432" s="446"/>
      <c r="DA432" s="446"/>
      <c r="DB432" s="446"/>
      <c r="DC432" s="446"/>
      <c r="DD432" s="446"/>
      <c r="DE432" s="446"/>
      <c r="DF432" s="446"/>
      <c r="DG432" s="446"/>
      <c r="DH432" s="446"/>
      <c r="DI432" s="446"/>
      <c r="DJ432" s="446"/>
      <c r="DK432" s="446"/>
      <c r="DL432" s="446"/>
      <c r="DM432" s="446"/>
      <c r="DN432" s="446"/>
      <c r="DO432" s="446"/>
      <c r="DP432" s="446"/>
      <c r="DQ432" s="446"/>
      <c r="DR432" s="446"/>
      <c r="DS432" s="446"/>
      <c r="DT432" s="446"/>
      <c r="DU432" s="446"/>
      <c r="DV432" s="446"/>
      <c r="DW432" s="446"/>
      <c r="DX432" s="446"/>
      <c r="DY432" s="446"/>
      <c r="DZ432" s="283"/>
    </row>
    <row r="433" spans="2:130" s="223" customFormat="1" x14ac:dyDescent="0.2">
      <c r="B433" s="851"/>
      <c r="C433" s="851"/>
      <c r="D433" s="851"/>
      <c r="E433" s="820"/>
      <c r="F433" s="820"/>
      <c r="G433" s="853"/>
      <c r="H433" s="853"/>
      <c r="I433" s="853"/>
      <c r="J433" s="853"/>
      <c r="K433" s="853"/>
      <c r="L433" s="853"/>
      <c r="M433" s="853"/>
      <c r="N433" s="853"/>
      <c r="O433" s="853"/>
      <c r="P433" s="853"/>
      <c r="Q433" s="853"/>
      <c r="R433" s="853"/>
      <c r="S433" s="853"/>
      <c r="T433" s="853"/>
      <c r="U433" s="853"/>
      <c r="V433" s="853"/>
      <c r="W433" s="853"/>
      <c r="X433" s="853"/>
      <c r="Y433" s="853"/>
      <c r="Z433" s="853"/>
      <c r="AA433" s="853"/>
      <c r="AB433" s="853"/>
      <c r="AC433" s="853"/>
      <c r="AD433" s="853"/>
      <c r="AE433" s="853"/>
      <c r="AF433" s="853"/>
      <c r="AG433" s="853"/>
      <c r="AH433" s="446"/>
      <c r="AI433" s="446"/>
      <c r="AJ433" s="446"/>
      <c r="AK433" s="446"/>
      <c r="AL433" s="446"/>
      <c r="AM433" s="446"/>
      <c r="AN433" s="446"/>
      <c r="AO433" s="446"/>
      <c r="AP433" s="446"/>
      <c r="AQ433" s="446"/>
      <c r="AR433" s="446"/>
      <c r="AS433" s="446"/>
      <c r="AT433" s="446"/>
      <c r="AU433" s="446"/>
      <c r="AV433" s="446"/>
      <c r="AW433" s="446"/>
      <c r="AX433" s="446"/>
      <c r="AY433" s="446"/>
      <c r="AZ433" s="446"/>
      <c r="BA433" s="446"/>
      <c r="BB433" s="446"/>
      <c r="BC433" s="446"/>
      <c r="BD433" s="446"/>
      <c r="BE433" s="446"/>
      <c r="BF433" s="446"/>
      <c r="BG433" s="446"/>
      <c r="BH433" s="446"/>
      <c r="BI433" s="446"/>
      <c r="BJ433" s="446"/>
      <c r="BK433" s="446"/>
      <c r="BL433" s="446"/>
      <c r="BM433" s="446"/>
      <c r="BN433" s="446"/>
      <c r="BO433" s="446"/>
      <c r="BP433" s="446"/>
      <c r="BQ433" s="446"/>
      <c r="BR433" s="446"/>
      <c r="BS433" s="446"/>
      <c r="BT433" s="446"/>
      <c r="BU433" s="562"/>
      <c r="BV433" s="446"/>
      <c r="BW433" s="446"/>
      <c r="BX433" s="446"/>
      <c r="BY433" s="446"/>
      <c r="BZ433" s="446"/>
      <c r="CA433" s="446"/>
      <c r="CB433" s="446"/>
      <c r="CC433" s="446"/>
      <c r="CD433" s="446"/>
      <c r="CE433" s="446"/>
      <c r="CF433" s="446"/>
      <c r="CG433" s="446"/>
      <c r="CH433" s="446"/>
      <c r="CI433" s="446"/>
      <c r="CJ433" s="446"/>
      <c r="CK433" s="446"/>
      <c r="CL433" s="446"/>
      <c r="CM433" s="446"/>
      <c r="CN433" s="446"/>
      <c r="CO433" s="446"/>
      <c r="CP433" s="446"/>
      <c r="CQ433" s="446"/>
      <c r="CR433" s="446"/>
      <c r="CS433" s="446"/>
      <c r="CT433" s="446"/>
      <c r="CU433" s="446"/>
      <c r="CV433" s="446"/>
      <c r="CW433" s="851"/>
      <c r="CX433" s="446"/>
      <c r="CY433" s="446"/>
      <c r="CZ433" s="446"/>
      <c r="DA433" s="446"/>
      <c r="DB433" s="446"/>
      <c r="DC433" s="446"/>
      <c r="DD433" s="446"/>
      <c r="DE433" s="446"/>
      <c r="DF433" s="446"/>
      <c r="DG433" s="446"/>
      <c r="DH433" s="446"/>
      <c r="DI433" s="446"/>
      <c r="DJ433" s="446"/>
      <c r="DK433" s="446"/>
      <c r="DL433" s="446"/>
      <c r="DM433" s="446"/>
      <c r="DN433" s="446"/>
      <c r="DO433" s="446"/>
      <c r="DP433" s="446"/>
      <c r="DQ433" s="446"/>
      <c r="DR433" s="446"/>
      <c r="DS433" s="446"/>
      <c r="DT433" s="446"/>
      <c r="DU433" s="446"/>
      <c r="DV433" s="446"/>
      <c r="DW433" s="446"/>
      <c r="DX433" s="446"/>
      <c r="DY433" s="446"/>
      <c r="DZ433" s="283"/>
    </row>
    <row r="434" spans="2:130" s="223" customFormat="1" x14ac:dyDescent="0.2">
      <c r="B434" s="851"/>
      <c r="C434" s="851"/>
      <c r="D434" s="851"/>
      <c r="E434" s="820"/>
      <c r="F434" s="820"/>
      <c r="G434" s="853"/>
      <c r="H434" s="853"/>
      <c r="I434" s="853"/>
      <c r="J434" s="853"/>
      <c r="K434" s="853"/>
      <c r="L434" s="853"/>
      <c r="M434" s="853"/>
      <c r="N434" s="853"/>
      <c r="O434" s="853"/>
      <c r="P434" s="853"/>
      <c r="Q434" s="853"/>
      <c r="R434" s="853"/>
      <c r="S434" s="853"/>
      <c r="T434" s="853"/>
      <c r="U434" s="853"/>
      <c r="V434" s="853"/>
      <c r="W434" s="853"/>
      <c r="X434" s="853"/>
      <c r="Y434" s="853"/>
      <c r="Z434" s="853"/>
      <c r="AA434" s="853"/>
      <c r="AB434" s="853"/>
      <c r="AC434" s="853"/>
      <c r="AD434" s="853"/>
      <c r="AE434" s="853"/>
      <c r="AF434" s="853"/>
      <c r="AG434" s="853"/>
      <c r="AH434" s="446"/>
      <c r="AI434" s="446"/>
      <c r="AJ434" s="446"/>
      <c r="AK434" s="446"/>
      <c r="AL434" s="446"/>
      <c r="AM434" s="446"/>
      <c r="AN434" s="446"/>
      <c r="AO434" s="446"/>
      <c r="AP434" s="446"/>
      <c r="AQ434" s="446"/>
      <c r="AR434" s="446"/>
      <c r="AS434" s="446"/>
      <c r="AT434" s="446"/>
      <c r="AU434" s="446"/>
      <c r="AV434" s="446"/>
      <c r="AW434" s="446"/>
      <c r="AX434" s="446"/>
      <c r="AY434" s="446"/>
      <c r="AZ434" s="446"/>
      <c r="BA434" s="446"/>
      <c r="BB434" s="446"/>
      <c r="BC434" s="446"/>
      <c r="BD434" s="446"/>
      <c r="BE434" s="446"/>
      <c r="BF434" s="446"/>
      <c r="BG434" s="446"/>
      <c r="BH434" s="446"/>
      <c r="BI434" s="446"/>
      <c r="BJ434" s="446"/>
      <c r="BK434" s="446"/>
      <c r="BL434" s="446"/>
      <c r="BM434" s="446"/>
      <c r="BN434" s="446"/>
      <c r="BO434" s="446"/>
      <c r="BP434" s="446"/>
      <c r="BQ434" s="446"/>
      <c r="BR434" s="446"/>
      <c r="BS434" s="446"/>
      <c r="BT434" s="446"/>
      <c r="BU434" s="562"/>
      <c r="BV434" s="446"/>
      <c r="BW434" s="446"/>
      <c r="BX434" s="446"/>
      <c r="BY434" s="446"/>
      <c r="BZ434" s="446"/>
      <c r="CA434" s="446"/>
      <c r="CB434" s="446"/>
      <c r="CC434" s="446"/>
      <c r="CD434" s="446"/>
      <c r="CE434" s="446"/>
      <c r="CF434" s="446"/>
      <c r="CG434" s="446"/>
      <c r="CH434" s="446"/>
      <c r="CI434" s="446"/>
      <c r="CJ434" s="446"/>
      <c r="CK434" s="446"/>
      <c r="CL434" s="446"/>
      <c r="CM434" s="446"/>
      <c r="CN434" s="446"/>
      <c r="CO434" s="446"/>
      <c r="CP434" s="446"/>
      <c r="CQ434" s="446"/>
      <c r="CR434" s="446"/>
      <c r="CS434" s="446"/>
      <c r="CT434" s="446"/>
      <c r="CU434" s="446"/>
      <c r="CV434" s="446"/>
      <c r="CW434" s="851"/>
      <c r="CX434" s="446"/>
      <c r="CY434" s="446"/>
      <c r="CZ434" s="446"/>
      <c r="DA434" s="446"/>
      <c r="DB434" s="446"/>
      <c r="DC434" s="446"/>
      <c r="DD434" s="446"/>
      <c r="DE434" s="446"/>
      <c r="DF434" s="446"/>
      <c r="DG434" s="446"/>
      <c r="DH434" s="446"/>
      <c r="DI434" s="446"/>
      <c r="DJ434" s="446"/>
      <c r="DK434" s="446"/>
      <c r="DL434" s="446"/>
      <c r="DM434" s="446"/>
      <c r="DN434" s="446"/>
      <c r="DO434" s="446"/>
      <c r="DP434" s="446"/>
      <c r="DQ434" s="446"/>
      <c r="DR434" s="446"/>
      <c r="DS434" s="446"/>
      <c r="DT434" s="446"/>
      <c r="DU434" s="446"/>
      <c r="DV434" s="446"/>
      <c r="DW434" s="446"/>
      <c r="DX434" s="446"/>
      <c r="DY434" s="446"/>
      <c r="DZ434" s="283"/>
    </row>
    <row r="435" spans="2:130" s="223" customFormat="1" x14ac:dyDescent="0.2">
      <c r="B435" s="851"/>
      <c r="C435" s="851"/>
      <c r="D435" s="851"/>
      <c r="E435" s="820"/>
      <c r="F435" s="820"/>
      <c r="G435" s="853"/>
      <c r="H435" s="853"/>
      <c r="I435" s="853"/>
      <c r="J435" s="853"/>
      <c r="K435" s="853"/>
      <c r="L435" s="853"/>
      <c r="M435" s="853"/>
      <c r="N435" s="853"/>
      <c r="O435" s="853"/>
      <c r="P435" s="853"/>
      <c r="Q435" s="853"/>
      <c r="R435" s="853"/>
      <c r="S435" s="853"/>
      <c r="T435" s="853"/>
      <c r="U435" s="853"/>
      <c r="V435" s="853"/>
      <c r="W435" s="853"/>
      <c r="X435" s="853"/>
      <c r="Y435" s="853"/>
      <c r="Z435" s="853"/>
      <c r="AA435" s="853"/>
      <c r="AB435" s="853"/>
      <c r="AC435" s="853"/>
      <c r="AD435" s="853"/>
      <c r="AE435" s="853"/>
      <c r="AF435" s="853"/>
      <c r="AG435" s="853"/>
      <c r="AH435" s="446"/>
      <c r="AI435" s="446"/>
      <c r="AJ435" s="446"/>
      <c r="AK435" s="446"/>
      <c r="AL435" s="446"/>
      <c r="AM435" s="446"/>
      <c r="AN435" s="446"/>
      <c r="AO435" s="446"/>
      <c r="AP435" s="446"/>
      <c r="AQ435" s="446"/>
      <c r="AR435" s="446"/>
      <c r="AS435" s="446"/>
      <c r="AT435" s="446"/>
      <c r="AU435" s="446"/>
      <c r="AV435" s="446"/>
      <c r="AW435" s="446"/>
      <c r="AX435" s="446"/>
      <c r="AY435" s="446"/>
      <c r="AZ435" s="446"/>
      <c r="BA435" s="446"/>
      <c r="BB435" s="446"/>
      <c r="BC435" s="446"/>
      <c r="BD435" s="446"/>
      <c r="BE435" s="446"/>
      <c r="BF435" s="446"/>
      <c r="BG435" s="446"/>
      <c r="BH435" s="446"/>
      <c r="BI435" s="446"/>
      <c r="BJ435" s="446"/>
      <c r="BK435" s="446"/>
      <c r="BL435" s="446"/>
      <c r="BM435" s="446"/>
      <c r="BN435" s="446"/>
      <c r="BO435" s="446"/>
      <c r="BP435" s="446"/>
      <c r="BQ435" s="446"/>
      <c r="BR435" s="446"/>
      <c r="BS435" s="446"/>
      <c r="BT435" s="446"/>
      <c r="BU435" s="562"/>
      <c r="BV435" s="446"/>
      <c r="BW435" s="446"/>
      <c r="BX435" s="446"/>
      <c r="BY435" s="446"/>
      <c r="BZ435" s="446"/>
      <c r="CA435" s="446"/>
      <c r="CB435" s="446"/>
      <c r="CC435" s="446"/>
      <c r="CD435" s="446"/>
      <c r="CE435" s="446"/>
      <c r="CF435" s="446"/>
      <c r="CG435" s="446"/>
      <c r="CH435" s="446"/>
      <c r="CI435" s="446"/>
      <c r="CJ435" s="446"/>
      <c r="CK435" s="446"/>
      <c r="CL435" s="446"/>
      <c r="CM435" s="446"/>
      <c r="CN435" s="446"/>
      <c r="CO435" s="446"/>
      <c r="CP435" s="446"/>
      <c r="CQ435" s="446"/>
      <c r="CR435" s="446"/>
      <c r="CS435" s="446"/>
      <c r="CT435" s="446"/>
      <c r="CU435" s="446"/>
      <c r="CV435" s="446"/>
      <c r="CW435" s="851"/>
      <c r="CX435" s="446"/>
      <c r="CY435" s="446"/>
      <c r="CZ435" s="446"/>
      <c r="DA435" s="446"/>
      <c r="DB435" s="446"/>
      <c r="DC435" s="446"/>
      <c r="DD435" s="446"/>
      <c r="DE435" s="446"/>
      <c r="DF435" s="446"/>
      <c r="DG435" s="446"/>
      <c r="DH435" s="446"/>
      <c r="DI435" s="446"/>
      <c r="DJ435" s="446"/>
      <c r="DK435" s="446"/>
      <c r="DL435" s="446"/>
      <c r="DM435" s="446"/>
      <c r="DN435" s="446"/>
      <c r="DO435" s="446"/>
      <c r="DP435" s="446"/>
      <c r="DQ435" s="446"/>
      <c r="DR435" s="446"/>
      <c r="DS435" s="446"/>
      <c r="DT435" s="446"/>
      <c r="DU435" s="446"/>
      <c r="DV435" s="446"/>
      <c r="DW435" s="446"/>
      <c r="DX435" s="446"/>
      <c r="DY435" s="446"/>
      <c r="DZ435" s="283"/>
    </row>
    <row r="436" spans="2:130" s="223" customFormat="1" x14ac:dyDescent="0.2">
      <c r="B436" s="851"/>
      <c r="C436" s="851"/>
      <c r="D436" s="851"/>
      <c r="E436" s="820"/>
      <c r="F436" s="820"/>
      <c r="G436" s="853"/>
      <c r="H436" s="853"/>
      <c r="I436" s="853"/>
      <c r="J436" s="853"/>
      <c r="K436" s="853"/>
      <c r="L436" s="853"/>
      <c r="M436" s="853"/>
      <c r="N436" s="853"/>
      <c r="O436" s="853"/>
      <c r="P436" s="853"/>
      <c r="Q436" s="853"/>
      <c r="R436" s="853"/>
      <c r="S436" s="853"/>
      <c r="T436" s="853"/>
      <c r="U436" s="853"/>
      <c r="V436" s="853"/>
      <c r="W436" s="853"/>
      <c r="X436" s="853"/>
      <c r="Y436" s="853"/>
      <c r="Z436" s="853"/>
      <c r="AA436" s="853"/>
      <c r="AB436" s="853"/>
      <c r="AC436" s="853"/>
      <c r="AD436" s="853"/>
      <c r="AE436" s="853"/>
      <c r="AF436" s="853"/>
      <c r="AG436" s="853"/>
      <c r="AH436" s="446"/>
      <c r="AI436" s="446"/>
      <c r="AJ436" s="446"/>
      <c r="AK436" s="446"/>
      <c r="AL436" s="446"/>
      <c r="AM436" s="446"/>
      <c r="AN436" s="446"/>
      <c r="AO436" s="446"/>
      <c r="AP436" s="446"/>
      <c r="AQ436" s="446"/>
      <c r="AR436" s="446"/>
      <c r="AS436" s="446"/>
      <c r="AT436" s="446"/>
      <c r="AU436" s="446"/>
      <c r="AV436" s="446"/>
      <c r="AW436" s="446"/>
      <c r="AX436" s="446"/>
      <c r="AY436" s="446"/>
      <c r="AZ436" s="446"/>
      <c r="BA436" s="446"/>
      <c r="BB436" s="446"/>
      <c r="BC436" s="446"/>
      <c r="BD436" s="446"/>
      <c r="BE436" s="446"/>
      <c r="BF436" s="446"/>
      <c r="BG436" s="446"/>
      <c r="BH436" s="446"/>
      <c r="BI436" s="446"/>
      <c r="BJ436" s="446"/>
      <c r="BK436" s="446"/>
      <c r="BL436" s="446"/>
      <c r="BM436" s="446"/>
      <c r="BN436" s="446"/>
      <c r="BO436" s="446"/>
      <c r="BP436" s="446"/>
      <c r="BQ436" s="446"/>
      <c r="BR436" s="446"/>
      <c r="BS436" s="446"/>
      <c r="BT436" s="446"/>
      <c r="BU436" s="562"/>
      <c r="BV436" s="446"/>
      <c r="BW436" s="446"/>
      <c r="BX436" s="446"/>
      <c r="BY436" s="446"/>
      <c r="BZ436" s="446"/>
      <c r="CA436" s="446"/>
      <c r="CB436" s="446"/>
      <c r="CC436" s="446"/>
      <c r="CD436" s="446"/>
      <c r="CE436" s="446"/>
      <c r="CF436" s="446"/>
      <c r="CG436" s="446"/>
      <c r="CH436" s="446"/>
      <c r="CI436" s="446"/>
      <c r="CJ436" s="446"/>
      <c r="CK436" s="446"/>
      <c r="CL436" s="446"/>
      <c r="CM436" s="446"/>
      <c r="CN436" s="446"/>
      <c r="CO436" s="446"/>
      <c r="CP436" s="446"/>
      <c r="CQ436" s="446"/>
      <c r="CR436" s="446"/>
      <c r="CS436" s="446"/>
      <c r="CT436" s="446"/>
      <c r="CU436" s="446"/>
      <c r="CV436" s="446"/>
      <c r="CW436" s="851"/>
      <c r="CX436" s="446"/>
      <c r="CY436" s="446"/>
      <c r="CZ436" s="446"/>
      <c r="DA436" s="446"/>
      <c r="DB436" s="446"/>
      <c r="DC436" s="446"/>
      <c r="DD436" s="446"/>
      <c r="DE436" s="446"/>
      <c r="DF436" s="446"/>
      <c r="DG436" s="446"/>
      <c r="DH436" s="446"/>
      <c r="DI436" s="446"/>
      <c r="DJ436" s="446"/>
      <c r="DK436" s="446"/>
      <c r="DL436" s="446"/>
      <c r="DM436" s="446"/>
      <c r="DN436" s="446"/>
      <c r="DO436" s="446"/>
      <c r="DP436" s="446"/>
      <c r="DQ436" s="446"/>
      <c r="DR436" s="446"/>
      <c r="DS436" s="446"/>
      <c r="DT436" s="446"/>
      <c r="DU436" s="446"/>
      <c r="DV436" s="446"/>
      <c r="DW436" s="446"/>
      <c r="DX436" s="446"/>
      <c r="DY436" s="446"/>
      <c r="DZ436" s="283"/>
    </row>
    <row r="437" spans="2:130" s="223" customFormat="1" x14ac:dyDescent="0.2">
      <c r="B437" s="851"/>
      <c r="C437" s="851"/>
      <c r="D437" s="851"/>
      <c r="E437" s="820"/>
      <c r="F437" s="820"/>
      <c r="G437" s="853"/>
      <c r="H437" s="853"/>
      <c r="I437" s="853"/>
      <c r="J437" s="853"/>
      <c r="K437" s="853"/>
      <c r="L437" s="853"/>
      <c r="M437" s="853"/>
      <c r="N437" s="853"/>
      <c r="O437" s="853"/>
      <c r="P437" s="853"/>
      <c r="Q437" s="853"/>
      <c r="R437" s="853"/>
      <c r="S437" s="853"/>
      <c r="T437" s="853"/>
      <c r="U437" s="853"/>
      <c r="V437" s="853"/>
      <c r="W437" s="853"/>
      <c r="X437" s="853"/>
      <c r="Y437" s="853"/>
      <c r="Z437" s="853"/>
      <c r="AA437" s="853"/>
      <c r="AB437" s="853"/>
      <c r="AC437" s="853"/>
      <c r="AD437" s="853"/>
      <c r="AE437" s="853"/>
      <c r="AF437" s="853"/>
      <c r="AG437" s="853"/>
      <c r="AH437" s="446"/>
      <c r="AI437" s="446"/>
      <c r="AJ437" s="446"/>
      <c r="AK437" s="446"/>
      <c r="AL437" s="446"/>
      <c r="AM437" s="446"/>
      <c r="AN437" s="446"/>
      <c r="AO437" s="446"/>
      <c r="AP437" s="446"/>
      <c r="AQ437" s="446"/>
      <c r="AR437" s="446"/>
      <c r="AS437" s="446"/>
      <c r="AT437" s="446"/>
      <c r="AU437" s="446"/>
      <c r="AV437" s="446"/>
      <c r="AW437" s="446"/>
      <c r="AX437" s="446"/>
      <c r="AY437" s="446"/>
      <c r="AZ437" s="446"/>
      <c r="BA437" s="446"/>
      <c r="BB437" s="446"/>
      <c r="BC437" s="446"/>
      <c r="BD437" s="446"/>
      <c r="BE437" s="446"/>
      <c r="BF437" s="446"/>
      <c r="BG437" s="446"/>
      <c r="BH437" s="446"/>
      <c r="BI437" s="446"/>
      <c r="BJ437" s="446"/>
      <c r="BK437" s="446"/>
      <c r="BL437" s="446"/>
      <c r="BM437" s="446"/>
      <c r="BN437" s="446"/>
      <c r="BO437" s="446"/>
      <c r="BP437" s="446"/>
      <c r="BQ437" s="446"/>
      <c r="BR437" s="446"/>
      <c r="BS437" s="446"/>
      <c r="BT437" s="446"/>
      <c r="BU437" s="562"/>
      <c r="BV437" s="446"/>
      <c r="BW437" s="446"/>
      <c r="BX437" s="446"/>
      <c r="BY437" s="446"/>
      <c r="BZ437" s="446"/>
      <c r="CA437" s="446"/>
      <c r="CB437" s="446"/>
      <c r="CC437" s="446"/>
      <c r="CD437" s="446"/>
      <c r="CE437" s="446"/>
      <c r="CF437" s="446"/>
      <c r="CG437" s="446"/>
      <c r="CH437" s="446"/>
      <c r="CI437" s="446"/>
      <c r="CJ437" s="446"/>
      <c r="CK437" s="446"/>
      <c r="CL437" s="446"/>
      <c r="CM437" s="446"/>
      <c r="CN437" s="446"/>
      <c r="CO437" s="446"/>
      <c r="CP437" s="446"/>
      <c r="CQ437" s="446"/>
      <c r="CR437" s="446"/>
      <c r="CS437" s="446"/>
      <c r="CT437" s="446"/>
      <c r="CU437" s="446"/>
      <c r="CV437" s="446"/>
      <c r="CW437" s="851"/>
      <c r="CX437" s="446"/>
      <c r="CY437" s="446"/>
      <c r="CZ437" s="446"/>
      <c r="DA437" s="446"/>
      <c r="DB437" s="446"/>
      <c r="DC437" s="446"/>
      <c r="DD437" s="446"/>
      <c r="DE437" s="446"/>
      <c r="DF437" s="446"/>
      <c r="DG437" s="446"/>
      <c r="DH437" s="446"/>
      <c r="DI437" s="446"/>
      <c r="DJ437" s="446"/>
      <c r="DK437" s="446"/>
      <c r="DL437" s="446"/>
      <c r="DM437" s="446"/>
      <c r="DN437" s="446"/>
      <c r="DO437" s="446"/>
      <c r="DP437" s="446"/>
      <c r="DQ437" s="446"/>
      <c r="DR437" s="446"/>
      <c r="DS437" s="446"/>
      <c r="DT437" s="446"/>
      <c r="DU437" s="446"/>
      <c r="DV437" s="446"/>
      <c r="DW437" s="446"/>
      <c r="DX437" s="446"/>
      <c r="DY437" s="446"/>
      <c r="DZ437" s="283"/>
    </row>
    <row r="438" spans="2:130" s="223" customFormat="1" x14ac:dyDescent="0.2">
      <c r="B438" s="851"/>
      <c r="C438" s="851"/>
      <c r="D438" s="851"/>
      <c r="E438" s="820"/>
      <c r="F438" s="820"/>
      <c r="G438" s="853"/>
      <c r="H438" s="853"/>
      <c r="I438" s="853"/>
      <c r="J438" s="853"/>
      <c r="K438" s="853"/>
      <c r="L438" s="853"/>
      <c r="M438" s="853"/>
      <c r="N438" s="853"/>
      <c r="O438" s="853"/>
      <c r="P438" s="853"/>
      <c r="Q438" s="853"/>
      <c r="R438" s="853"/>
      <c r="S438" s="853"/>
      <c r="T438" s="853"/>
      <c r="U438" s="853"/>
      <c r="V438" s="853"/>
      <c r="W438" s="853"/>
      <c r="X438" s="853"/>
      <c r="Y438" s="853"/>
      <c r="Z438" s="853"/>
      <c r="AA438" s="853"/>
      <c r="AB438" s="853"/>
      <c r="AC438" s="853"/>
      <c r="AD438" s="853"/>
      <c r="AE438" s="853"/>
      <c r="AF438" s="853"/>
      <c r="AG438" s="853"/>
      <c r="AH438" s="446"/>
      <c r="AI438" s="446"/>
      <c r="AJ438" s="446"/>
      <c r="AK438" s="446"/>
      <c r="AL438" s="446"/>
      <c r="AM438" s="446"/>
      <c r="AN438" s="446"/>
      <c r="AO438" s="446"/>
      <c r="AP438" s="446"/>
      <c r="AQ438" s="446"/>
      <c r="AR438" s="446"/>
      <c r="AS438" s="446"/>
      <c r="AT438" s="446"/>
      <c r="AU438" s="446"/>
      <c r="AV438" s="446"/>
      <c r="AW438" s="446"/>
      <c r="AX438" s="446"/>
      <c r="AY438" s="446"/>
      <c r="AZ438" s="446"/>
      <c r="BA438" s="446"/>
      <c r="BB438" s="446"/>
      <c r="BC438" s="446"/>
      <c r="BD438" s="446"/>
      <c r="BE438" s="446"/>
      <c r="BF438" s="446"/>
      <c r="BG438" s="446"/>
      <c r="BH438" s="446"/>
      <c r="BI438" s="446"/>
      <c r="BJ438" s="446"/>
      <c r="BK438" s="446"/>
      <c r="BL438" s="446"/>
      <c r="BM438" s="446"/>
      <c r="BN438" s="446"/>
      <c r="BO438" s="446"/>
      <c r="BP438" s="446"/>
      <c r="BQ438" s="446"/>
      <c r="BR438" s="446"/>
      <c r="BS438" s="446"/>
      <c r="BT438" s="446"/>
      <c r="BU438" s="562"/>
      <c r="BV438" s="446"/>
      <c r="BW438" s="446"/>
      <c r="BX438" s="446"/>
      <c r="BY438" s="446"/>
      <c r="BZ438" s="446"/>
      <c r="CA438" s="446"/>
      <c r="CB438" s="446"/>
      <c r="CC438" s="446"/>
      <c r="CD438" s="446"/>
      <c r="CE438" s="446"/>
      <c r="CF438" s="446"/>
      <c r="CG438" s="446"/>
      <c r="CH438" s="446"/>
      <c r="CI438" s="446"/>
      <c r="CJ438" s="446"/>
      <c r="CK438" s="446"/>
      <c r="CL438" s="446"/>
      <c r="CM438" s="446"/>
      <c r="CN438" s="446"/>
      <c r="CO438" s="446"/>
      <c r="CP438" s="446"/>
      <c r="CQ438" s="446"/>
      <c r="CR438" s="446"/>
      <c r="CS438" s="446"/>
      <c r="CT438" s="446"/>
      <c r="CU438" s="446"/>
      <c r="CV438" s="446"/>
      <c r="CW438" s="851"/>
      <c r="CX438" s="446"/>
      <c r="CY438" s="446"/>
      <c r="CZ438" s="446"/>
      <c r="DA438" s="446"/>
      <c r="DB438" s="446"/>
      <c r="DC438" s="446"/>
      <c r="DD438" s="446"/>
      <c r="DE438" s="446"/>
      <c r="DF438" s="446"/>
      <c r="DG438" s="446"/>
      <c r="DH438" s="446"/>
      <c r="DI438" s="446"/>
      <c r="DJ438" s="446"/>
      <c r="DK438" s="446"/>
      <c r="DL438" s="446"/>
      <c r="DM438" s="446"/>
      <c r="DN438" s="446"/>
      <c r="DO438" s="446"/>
      <c r="DP438" s="446"/>
      <c r="DQ438" s="446"/>
      <c r="DR438" s="446"/>
      <c r="DS438" s="446"/>
      <c r="DT438" s="446"/>
      <c r="DU438" s="446"/>
      <c r="DV438" s="446"/>
      <c r="DW438" s="446"/>
      <c r="DX438" s="446"/>
      <c r="DY438" s="446"/>
      <c r="DZ438" s="283"/>
    </row>
    <row r="439" spans="2:130" s="223" customFormat="1" x14ac:dyDescent="0.2">
      <c r="B439" s="851"/>
      <c r="C439" s="851"/>
      <c r="D439" s="851"/>
      <c r="E439" s="820"/>
      <c r="F439" s="820"/>
      <c r="G439" s="853"/>
      <c r="H439" s="853"/>
      <c r="I439" s="853"/>
      <c r="J439" s="853"/>
      <c r="K439" s="853"/>
      <c r="L439" s="853"/>
      <c r="M439" s="853"/>
      <c r="N439" s="853"/>
      <c r="O439" s="853"/>
      <c r="P439" s="853"/>
      <c r="Q439" s="853"/>
      <c r="R439" s="853"/>
      <c r="S439" s="853"/>
      <c r="T439" s="853"/>
      <c r="U439" s="853"/>
      <c r="V439" s="853"/>
      <c r="W439" s="853"/>
      <c r="X439" s="853"/>
      <c r="Y439" s="853"/>
      <c r="Z439" s="853"/>
      <c r="AA439" s="853"/>
      <c r="AB439" s="853"/>
      <c r="AC439" s="853"/>
      <c r="AD439" s="853"/>
      <c r="AE439" s="853"/>
      <c r="AF439" s="853"/>
      <c r="AG439" s="853"/>
      <c r="AH439" s="446"/>
      <c r="AI439" s="446"/>
      <c r="AJ439" s="446"/>
      <c r="AK439" s="446"/>
      <c r="AL439" s="446"/>
      <c r="AM439" s="446"/>
      <c r="AN439" s="446"/>
      <c r="AO439" s="446"/>
      <c r="AP439" s="446"/>
      <c r="AQ439" s="446"/>
      <c r="AR439" s="446"/>
      <c r="AS439" s="446"/>
      <c r="AT439" s="446"/>
      <c r="AU439" s="446"/>
      <c r="AV439" s="446"/>
      <c r="AW439" s="446"/>
      <c r="AX439" s="446"/>
      <c r="AY439" s="446"/>
      <c r="AZ439" s="446"/>
      <c r="BA439" s="446"/>
      <c r="BB439" s="446"/>
      <c r="BC439" s="446"/>
      <c r="BD439" s="446"/>
      <c r="BE439" s="446"/>
      <c r="BF439" s="446"/>
      <c r="BG439" s="446"/>
      <c r="BH439" s="446"/>
      <c r="BI439" s="446"/>
      <c r="BJ439" s="446"/>
      <c r="BK439" s="446"/>
      <c r="BL439" s="446"/>
      <c r="BM439" s="446"/>
      <c r="BN439" s="446"/>
      <c r="BO439" s="446"/>
      <c r="BP439" s="446"/>
      <c r="BQ439" s="446"/>
      <c r="BR439" s="446"/>
      <c r="BS439" s="446"/>
      <c r="BT439" s="446"/>
      <c r="BU439" s="562"/>
      <c r="BV439" s="446"/>
      <c r="BW439" s="446"/>
      <c r="BX439" s="446"/>
      <c r="BY439" s="446"/>
      <c r="BZ439" s="446"/>
      <c r="CA439" s="446"/>
      <c r="CB439" s="446"/>
      <c r="CC439" s="446"/>
      <c r="CD439" s="446"/>
      <c r="CE439" s="446"/>
      <c r="CF439" s="446"/>
      <c r="CG439" s="446"/>
      <c r="CH439" s="446"/>
      <c r="CI439" s="446"/>
      <c r="CJ439" s="446"/>
      <c r="CK439" s="446"/>
      <c r="CL439" s="446"/>
      <c r="CM439" s="446"/>
      <c r="CN439" s="446"/>
      <c r="CO439" s="446"/>
      <c r="CP439" s="446"/>
      <c r="CQ439" s="446"/>
      <c r="CR439" s="446"/>
      <c r="CS439" s="446"/>
      <c r="CT439" s="446"/>
      <c r="CU439" s="446"/>
      <c r="CV439" s="446"/>
      <c r="CW439" s="851"/>
      <c r="CX439" s="446"/>
      <c r="CY439" s="446"/>
      <c r="CZ439" s="446"/>
      <c r="DA439" s="446"/>
      <c r="DB439" s="446"/>
      <c r="DC439" s="446"/>
      <c r="DD439" s="446"/>
      <c r="DE439" s="446"/>
      <c r="DF439" s="446"/>
      <c r="DG439" s="446"/>
      <c r="DH439" s="446"/>
      <c r="DI439" s="446"/>
      <c r="DJ439" s="446"/>
      <c r="DK439" s="446"/>
      <c r="DL439" s="446"/>
      <c r="DM439" s="446"/>
      <c r="DN439" s="446"/>
      <c r="DO439" s="446"/>
      <c r="DP439" s="446"/>
      <c r="DQ439" s="446"/>
      <c r="DR439" s="446"/>
      <c r="DS439" s="446"/>
      <c r="DT439" s="446"/>
      <c r="DU439" s="446"/>
      <c r="DV439" s="446"/>
      <c r="DW439" s="446"/>
      <c r="DX439" s="446"/>
      <c r="DY439" s="446"/>
      <c r="DZ439" s="283"/>
    </row>
    <row r="440" spans="2:130" s="223" customFormat="1" x14ac:dyDescent="0.2">
      <c r="B440" s="851"/>
      <c r="C440" s="851"/>
      <c r="D440" s="851"/>
      <c r="E440" s="820"/>
      <c r="F440" s="820"/>
      <c r="G440" s="853"/>
      <c r="H440" s="853"/>
      <c r="I440" s="853"/>
      <c r="J440" s="853"/>
      <c r="K440" s="853"/>
      <c r="L440" s="853"/>
      <c r="M440" s="853"/>
      <c r="N440" s="853"/>
      <c r="O440" s="853"/>
      <c r="P440" s="853"/>
      <c r="Q440" s="853"/>
      <c r="R440" s="853"/>
      <c r="S440" s="853"/>
      <c r="T440" s="853"/>
      <c r="U440" s="853"/>
      <c r="V440" s="853"/>
      <c r="W440" s="853"/>
      <c r="X440" s="853"/>
      <c r="Y440" s="853"/>
      <c r="Z440" s="853"/>
      <c r="AA440" s="853"/>
      <c r="AB440" s="853"/>
      <c r="AC440" s="853"/>
      <c r="AD440" s="853"/>
      <c r="AE440" s="853"/>
      <c r="AF440" s="853"/>
      <c r="AG440" s="853"/>
      <c r="AH440" s="446"/>
      <c r="AI440" s="446"/>
      <c r="AJ440" s="446"/>
      <c r="AK440" s="446"/>
      <c r="AL440" s="446"/>
      <c r="AM440" s="446"/>
      <c r="AN440" s="446"/>
      <c r="AO440" s="446"/>
      <c r="AP440" s="446"/>
      <c r="AQ440" s="446"/>
      <c r="AR440" s="446"/>
      <c r="AS440" s="446"/>
      <c r="AT440" s="446"/>
      <c r="AU440" s="446"/>
      <c r="AV440" s="446"/>
      <c r="AW440" s="446"/>
      <c r="AX440" s="446"/>
      <c r="AY440" s="446"/>
      <c r="AZ440" s="446"/>
      <c r="BA440" s="446"/>
      <c r="BB440" s="446"/>
      <c r="BC440" s="446"/>
      <c r="BD440" s="446"/>
      <c r="BE440" s="446"/>
      <c r="BF440" s="446"/>
      <c r="BG440" s="446"/>
      <c r="BH440" s="446"/>
      <c r="BI440" s="446"/>
      <c r="BJ440" s="446"/>
      <c r="BK440" s="446"/>
      <c r="BL440" s="446"/>
      <c r="BM440" s="446"/>
      <c r="BN440" s="446"/>
      <c r="BO440" s="446"/>
      <c r="BP440" s="446"/>
      <c r="BQ440" s="446"/>
      <c r="BR440" s="446"/>
      <c r="BS440" s="446"/>
      <c r="BT440" s="446"/>
      <c r="BU440" s="562"/>
      <c r="BV440" s="446"/>
      <c r="BW440" s="446"/>
      <c r="BX440" s="446"/>
      <c r="BY440" s="446"/>
      <c r="BZ440" s="446"/>
      <c r="CA440" s="446"/>
      <c r="CB440" s="446"/>
      <c r="CC440" s="446"/>
      <c r="CD440" s="446"/>
      <c r="CE440" s="446"/>
      <c r="CF440" s="446"/>
      <c r="CG440" s="446"/>
      <c r="CH440" s="446"/>
      <c r="CI440" s="446"/>
      <c r="CJ440" s="446"/>
      <c r="CK440" s="446"/>
      <c r="CL440" s="446"/>
      <c r="CM440" s="446"/>
      <c r="CN440" s="446"/>
      <c r="CO440" s="446"/>
      <c r="CP440" s="446"/>
      <c r="CQ440" s="446"/>
      <c r="CR440" s="446"/>
      <c r="CS440" s="446"/>
      <c r="CT440" s="446"/>
      <c r="CU440" s="446"/>
      <c r="CV440" s="446"/>
      <c r="CW440" s="851"/>
      <c r="CX440" s="446"/>
      <c r="CY440" s="446"/>
      <c r="CZ440" s="446"/>
      <c r="DA440" s="446"/>
      <c r="DB440" s="446"/>
      <c r="DC440" s="446"/>
      <c r="DD440" s="446"/>
      <c r="DE440" s="446"/>
      <c r="DF440" s="446"/>
      <c r="DG440" s="446"/>
      <c r="DH440" s="446"/>
      <c r="DI440" s="446"/>
      <c r="DJ440" s="446"/>
      <c r="DK440" s="446"/>
      <c r="DL440" s="446"/>
      <c r="DM440" s="446"/>
      <c r="DN440" s="446"/>
      <c r="DO440" s="446"/>
      <c r="DP440" s="446"/>
      <c r="DQ440" s="446"/>
      <c r="DR440" s="446"/>
      <c r="DS440" s="446"/>
      <c r="DT440" s="446"/>
      <c r="DU440" s="446"/>
      <c r="DV440" s="446"/>
      <c r="DW440" s="446"/>
      <c r="DX440" s="446"/>
      <c r="DY440" s="446"/>
      <c r="DZ440" s="283"/>
    </row>
    <row r="441" spans="2:130" s="223" customFormat="1" x14ac:dyDescent="0.2">
      <c r="B441" s="851"/>
      <c r="C441" s="851"/>
      <c r="D441" s="851"/>
      <c r="E441" s="820"/>
      <c r="F441" s="820"/>
      <c r="G441" s="853"/>
      <c r="H441" s="853"/>
      <c r="I441" s="853"/>
      <c r="J441" s="853"/>
      <c r="K441" s="853"/>
      <c r="L441" s="853"/>
      <c r="M441" s="853"/>
      <c r="N441" s="853"/>
      <c r="O441" s="853"/>
      <c r="P441" s="853"/>
      <c r="Q441" s="853"/>
      <c r="R441" s="853"/>
      <c r="S441" s="853"/>
      <c r="T441" s="853"/>
      <c r="U441" s="853"/>
      <c r="V441" s="853"/>
      <c r="W441" s="853"/>
      <c r="X441" s="853"/>
      <c r="Y441" s="853"/>
      <c r="Z441" s="853"/>
      <c r="AA441" s="853"/>
      <c r="AB441" s="853"/>
      <c r="AC441" s="853"/>
      <c r="AD441" s="853"/>
      <c r="AE441" s="853"/>
      <c r="AF441" s="853"/>
      <c r="AG441" s="853"/>
      <c r="AH441" s="446"/>
      <c r="AI441" s="446"/>
      <c r="AJ441" s="446"/>
      <c r="AK441" s="446"/>
      <c r="AL441" s="446"/>
      <c r="AM441" s="446"/>
      <c r="AN441" s="446"/>
      <c r="AO441" s="446"/>
      <c r="AP441" s="446"/>
      <c r="AQ441" s="446"/>
      <c r="AR441" s="446"/>
      <c r="AS441" s="446"/>
      <c r="AT441" s="446"/>
      <c r="AU441" s="446"/>
      <c r="AV441" s="446"/>
      <c r="AW441" s="446"/>
      <c r="AX441" s="446"/>
      <c r="AY441" s="446"/>
      <c r="AZ441" s="446"/>
      <c r="BA441" s="446"/>
      <c r="BB441" s="446"/>
      <c r="BC441" s="446"/>
      <c r="BD441" s="446"/>
      <c r="BE441" s="446"/>
      <c r="BF441" s="446"/>
      <c r="BG441" s="446"/>
      <c r="BH441" s="446"/>
      <c r="BI441" s="446"/>
      <c r="BJ441" s="446"/>
      <c r="BK441" s="446"/>
      <c r="BL441" s="446"/>
      <c r="BM441" s="446"/>
      <c r="BN441" s="446"/>
      <c r="BO441" s="446"/>
      <c r="BP441" s="446"/>
      <c r="BQ441" s="446"/>
      <c r="BR441" s="446"/>
      <c r="BS441" s="446"/>
      <c r="BT441" s="446"/>
      <c r="BU441" s="562"/>
      <c r="BV441" s="446"/>
      <c r="BW441" s="446"/>
      <c r="BX441" s="446"/>
      <c r="BY441" s="446"/>
      <c r="BZ441" s="446"/>
      <c r="CA441" s="446"/>
      <c r="CB441" s="446"/>
      <c r="CC441" s="446"/>
      <c r="CD441" s="446"/>
      <c r="CE441" s="446"/>
      <c r="CF441" s="446"/>
      <c r="CG441" s="446"/>
      <c r="CH441" s="446"/>
      <c r="CI441" s="446"/>
      <c r="CJ441" s="446"/>
      <c r="CK441" s="446"/>
      <c r="CL441" s="446"/>
      <c r="CM441" s="446"/>
      <c r="CN441" s="446"/>
      <c r="CO441" s="446"/>
      <c r="CP441" s="446"/>
      <c r="CQ441" s="446"/>
      <c r="CR441" s="446"/>
      <c r="CS441" s="446"/>
      <c r="CT441" s="446"/>
      <c r="CU441" s="446"/>
      <c r="CV441" s="446"/>
      <c r="CW441" s="851"/>
      <c r="CX441" s="446"/>
      <c r="CY441" s="446"/>
      <c r="CZ441" s="446"/>
      <c r="DA441" s="446"/>
      <c r="DB441" s="446"/>
      <c r="DC441" s="446"/>
      <c r="DD441" s="446"/>
      <c r="DE441" s="446"/>
      <c r="DF441" s="446"/>
      <c r="DG441" s="446"/>
      <c r="DH441" s="446"/>
      <c r="DI441" s="446"/>
      <c r="DJ441" s="446"/>
      <c r="DK441" s="446"/>
      <c r="DL441" s="446"/>
      <c r="DM441" s="446"/>
      <c r="DN441" s="446"/>
      <c r="DO441" s="446"/>
      <c r="DP441" s="446"/>
      <c r="DQ441" s="446"/>
      <c r="DR441" s="446"/>
      <c r="DS441" s="446"/>
      <c r="DT441" s="446"/>
      <c r="DU441" s="446"/>
      <c r="DV441" s="446"/>
      <c r="DW441" s="446"/>
      <c r="DX441" s="446"/>
      <c r="DY441" s="446"/>
      <c r="DZ441" s="283"/>
    </row>
    <row r="442" spans="2:130" s="223" customFormat="1" x14ac:dyDescent="0.2">
      <c r="B442" s="851"/>
      <c r="C442" s="851"/>
      <c r="D442" s="851"/>
      <c r="E442" s="820"/>
      <c r="F442" s="820"/>
      <c r="G442" s="853"/>
      <c r="H442" s="853"/>
      <c r="I442" s="853"/>
      <c r="J442" s="853"/>
      <c r="K442" s="853"/>
      <c r="L442" s="853"/>
      <c r="M442" s="853"/>
      <c r="N442" s="853"/>
      <c r="O442" s="853"/>
      <c r="P442" s="853"/>
      <c r="Q442" s="853"/>
      <c r="R442" s="853"/>
      <c r="S442" s="853"/>
      <c r="T442" s="853"/>
      <c r="U442" s="853"/>
      <c r="V442" s="853"/>
      <c r="W442" s="853"/>
      <c r="X442" s="853"/>
      <c r="Y442" s="853"/>
      <c r="Z442" s="853"/>
      <c r="AA442" s="853"/>
      <c r="AB442" s="853"/>
      <c r="AC442" s="853"/>
      <c r="AD442" s="853"/>
      <c r="AE442" s="853"/>
      <c r="AF442" s="853"/>
      <c r="AG442" s="853"/>
      <c r="AH442" s="446"/>
      <c r="AI442" s="446"/>
      <c r="AJ442" s="446"/>
      <c r="AK442" s="446"/>
      <c r="AL442" s="446"/>
      <c r="AM442" s="446"/>
      <c r="AN442" s="446"/>
      <c r="AO442" s="446"/>
      <c r="AP442" s="446"/>
      <c r="AQ442" s="446"/>
      <c r="AR442" s="446"/>
      <c r="AS442" s="446"/>
      <c r="AT442" s="446"/>
      <c r="AU442" s="446"/>
      <c r="AV442" s="446"/>
      <c r="AW442" s="446"/>
      <c r="AX442" s="446"/>
      <c r="AY442" s="446"/>
      <c r="AZ442" s="446"/>
      <c r="BA442" s="446"/>
      <c r="BB442" s="446"/>
      <c r="BC442" s="446"/>
      <c r="BD442" s="446"/>
      <c r="BE442" s="446"/>
      <c r="BF442" s="446"/>
      <c r="BG442" s="446"/>
      <c r="BH442" s="446"/>
      <c r="BI442" s="446"/>
      <c r="BJ442" s="446"/>
      <c r="BK442" s="446"/>
      <c r="BL442" s="446"/>
      <c r="BM442" s="446"/>
      <c r="BN442" s="446"/>
      <c r="BO442" s="446"/>
      <c r="BP442" s="446"/>
      <c r="BQ442" s="446"/>
      <c r="BR442" s="446"/>
      <c r="BS442" s="446"/>
      <c r="BT442" s="446"/>
      <c r="BU442" s="562"/>
      <c r="BV442" s="446"/>
      <c r="BW442" s="446"/>
      <c r="BX442" s="446"/>
      <c r="BY442" s="446"/>
      <c r="BZ442" s="446"/>
      <c r="CA442" s="446"/>
      <c r="CB442" s="446"/>
      <c r="CC442" s="446"/>
      <c r="CD442" s="446"/>
      <c r="CE442" s="446"/>
      <c r="CF442" s="446"/>
      <c r="CG442" s="446"/>
      <c r="CH442" s="446"/>
      <c r="CI442" s="446"/>
      <c r="CJ442" s="446"/>
      <c r="CK442" s="446"/>
      <c r="CL442" s="446"/>
      <c r="CM442" s="446"/>
      <c r="CN442" s="446"/>
      <c r="CO442" s="446"/>
      <c r="CP442" s="446"/>
      <c r="CQ442" s="446"/>
      <c r="CR442" s="446"/>
      <c r="CS442" s="446"/>
      <c r="CT442" s="446"/>
      <c r="CU442" s="446"/>
      <c r="CV442" s="446"/>
      <c r="CW442" s="851"/>
      <c r="CX442" s="446"/>
      <c r="CY442" s="446"/>
      <c r="CZ442" s="446"/>
      <c r="DA442" s="446"/>
      <c r="DB442" s="446"/>
      <c r="DC442" s="446"/>
      <c r="DD442" s="446"/>
      <c r="DE442" s="446"/>
      <c r="DF442" s="446"/>
      <c r="DG442" s="446"/>
      <c r="DH442" s="446"/>
      <c r="DI442" s="446"/>
      <c r="DJ442" s="446"/>
      <c r="DK442" s="446"/>
      <c r="DL442" s="446"/>
      <c r="DM442" s="446"/>
      <c r="DN442" s="446"/>
      <c r="DO442" s="446"/>
      <c r="DP442" s="446"/>
      <c r="DQ442" s="446"/>
      <c r="DR442" s="446"/>
      <c r="DS442" s="446"/>
      <c r="DT442" s="446"/>
      <c r="DU442" s="446"/>
      <c r="DV442" s="446"/>
      <c r="DW442" s="446"/>
      <c r="DX442" s="446"/>
      <c r="DY442" s="446"/>
      <c r="DZ442" s="283"/>
    </row>
    <row r="443" spans="2:130" s="223" customFormat="1" x14ac:dyDescent="0.2">
      <c r="B443" s="851"/>
      <c r="C443" s="851"/>
      <c r="D443" s="851"/>
      <c r="E443" s="820"/>
      <c r="F443" s="820"/>
      <c r="G443" s="853"/>
      <c r="H443" s="853"/>
      <c r="I443" s="853"/>
      <c r="J443" s="853"/>
      <c r="K443" s="853"/>
      <c r="L443" s="853"/>
      <c r="M443" s="853"/>
      <c r="N443" s="853"/>
      <c r="O443" s="853"/>
      <c r="P443" s="853"/>
      <c r="Q443" s="853"/>
      <c r="R443" s="853"/>
      <c r="S443" s="853"/>
      <c r="T443" s="853"/>
      <c r="U443" s="853"/>
      <c r="V443" s="853"/>
      <c r="W443" s="853"/>
      <c r="X443" s="853"/>
      <c r="Y443" s="853"/>
      <c r="Z443" s="853"/>
      <c r="AA443" s="853"/>
      <c r="AB443" s="853"/>
      <c r="AC443" s="853"/>
      <c r="AD443" s="853"/>
      <c r="AE443" s="853"/>
      <c r="AF443" s="853"/>
      <c r="AG443" s="853"/>
      <c r="AH443" s="446"/>
      <c r="AI443" s="446"/>
      <c r="AJ443" s="446"/>
      <c r="AK443" s="446"/>
      <c r="AL443" s="446"/>
      <c r="AM443" s="446"/>
      <c r="AN443" s="446"/>
      <c r="AO443" s="446"/>
      <c r="AP443" s="446"/>
      <c r="AQ443" s="446"/>
      <c r="AR443" s="446"/>
      <c r="AS443" s="446"/>
      <c r="AT443" s="446"/>
      <c r="AU443" s="446"/>
      <c r="AV443" s="446"/>
      <c r="AW443" s="446"/>
      <c r="AX443" s="446"/>
      <c r="AY443" s="446"/>
      <c r="AZ443" s="446"/>
      <c r="BA443" s="446"/>
      <c r="BB443" s="446"/>
      <c r="BC443" s="446"/>
      <c r="BD443" s="446"/>
      <c r="BE443" s="446"/>
      <c r="BF443" s="446"/>
      <c r="BG443" s="446"/>
      <c r="BH443" s="446"/>
      <c r="BI443" s="446"/>
      <c r="BJ443" s="446"/>
      <c r="BK443" s="446"/>
      <c r="BL443" s="446"/>
      <c r="BM443" s="446"/>
      <c r="BN443" s="446"/>
      <c r="BO443" s="446"/>
      <c r="BP443" s="446"/>
      <c r="BQ443" s="446"/>
      <c r="BR443" s="446"/>
      <c r="BS443" s="446"/>
      <c r="BT443" s="446"/>
      <c r="BU443" s="562"/>
      <c r="BV443" s="446"/>
      <c r="BW443" s="446"/>
      <c r="BX443" s="446"/>
      <c r="BY443" s="446"/>
      <c r="BZ443" s="446"/>
      <c r="CA443" s="446"/>
      <c r="CB443" s="446"/>
      <c r="CC443" s="446"/>
      <c r="CD443" s="446"/>
      <c r="CE443" s="446"/>
      <c r="CF443" s="446"/>
      <c r="CG443" s="446"/>
      <c r="CH443" s="446"/>
      <c r="CI443" s="446"/>
      <c r="CJ443" s="446"/>
      <c r="CK443" s="446"/>
      <c r="CL443" s="446"/>
      <c r="CM443" s="446"/>
      <c r="CN443" s="446"/>
      <c r="CO443" s="446"/>
      <c r="CP443" s="446"/>
      <c r="CQ443" s="446"/>
      <c r="CR443" s="446"/>
      <c r="CS443" s="446"/>
      <c r="CT443" s="446"/>
      <c r="CU443" s="446"/>
      <c r="CV443" s="446"/>
      <c r="CW443" s="851"/>
      <c r="CX443" s="446"/>
      <c r="CY443" s="446"/>
      <c r="CZ443" s="446"/>
      <c r="DA443" s="446"/>
      <c r="DB443" s="446"/>
      <c r="DC443" s="446"/>
      <c r="DD443" s="446"/>
      <c r="DE443" s="446"/>
      <c r="DF443" s="446"/>
      <c r="DG443" s="446"/>
      <c r="DH443" s="446"/>
      <c r="DI443" s="446"/>
      <c r="DJ443" s="446"/>
      <c r="DK443" s="446"/>
      <c r="DL443" s="446"/>
      <c r="DM443" s="446"/>
      <c r="DN443" s="446"/>
      <c r="DO443" s="446"/>
      <c r="DP443" s="446"/>
      <c r="DQ443" s="446"/>
      <c r="DR443" s="446"/>
      <c r="DS443" s="446"/>
      <c r="DT443" s="446"/>
      <c r="DU443" s="446"/>
      <c r="DV443" s="446"/>
      <c r="DW443" s="446"/>
      <c r="DX443" s="446"/>
      <c r="DY443" s="446"/>
      <c r="DZ443" s="283"/>
    </row>
    <row r="444" spans="2:130" s="223" customFormat="1" x14ac:dyDescent="0.2">
      <c r="B444" s="851"/>
      <c r="C444" s="851"/>
      <c r="D444" s="851"/>
      <c r="E444" s="820"/>
      <c r="F444" s="820"/>
      <c r="G444" s="853"/>
      <c r="H444" s="853"/>
      <c r="I444" s="853"/>
      <c r="J444" s="853"/>
      <c r="K444" s="853"/>
      <c r="L444" s="853"/>
      <c r="M444" s="853"/>
      <c r="N444" s="853"/>
      <c r="O444" s="853"/>
      <c r="P444" s="853"/>
      <c r="Q444" s="853"/>
      <c r="R444" s="853"/>
      <c r="S444" s="853"/>
      <c r="T444" s="853"/>
      <c r="U444" s="853"/>
      <c r="V444" s="853"/>
      <c r="W444" s="853"/>
      <c r="X444" s="853"/>
      <c r="Y444" s="853"/>
      <c r="Z444" s="853"/>
      <c r="AA444" s="853"/>
      <c r="AB444" s="853"/>
      <c r="AC444" s="853"/>
      <c r="AD444" s="853"/>
      <c r="AE444" s="853"/>
      <c r="AF444" s="853"/>
      <c r="AG444" s="853"/>
      <c r="AH444" s="446"/>
      <c r="AI444" s="446"/>
      <c r="AJ444" s="446"/>
      <c r="AK444" s="446"/>
      <c r="AL444" s="446"/>
      <c r="AM444" s="446"/>
      <c r="AN444" s="446"/>
      <c r="AO444" s="446"/>
      <c r="AP444" s="446"/>
      <c r="AQ444" s="446"/>
      <c r="AR444" s="446"/>
      <c r="AS444" s="446"/>
      <c r="AT444" s="446"/>
      <c r="AU444" s="446"/>
      <c r="AV444" s="446"/>
      <c r="AW444" s="446"/>
      <c r="AX444" s="446"/>
      <c r="AY444" s="446"/>
      <c r="AZ444" s="446"/>
      <c r="BA444" s="446"/>
      <c r="BB444" s="446"/>
      <c r="BC444" s="446"/>
      <c r="BD444" s="446"/>
      <c r="BE444" s="446"/>
      <c r="BF444" s="446"/>
      <c r="BG444" s="446"/>
      <c r="BH444" s="446"/>
      <c r="BI444" s="446"/>
      <c r="BJ444" s="446"/>
      <c r="BK444" s="446"/>
      <c r="BL444" s="446"/>
      <c r="BM444" s="446"/>
      <c r="BN444" s="446"/>
      <c r="BO444" s="446"/>
      <c r="BP444" s="446"/>
      <c r="BQ444" s="446"/>
      <c r="BR444" s="446"/>
      <c r="BS444" s="446"/>
      <c r="BT444" s="446"/>
      <c r="BU444" s="562"/>
      <c r="BV444" s="446"/>
      <c r="BW444" s="446"/>
      <c r="BX444" s="446"/>
      <c r="BY444" s="446"/>
      <c r="BZ444" s="446"/>
      <c r="CA444" s="446"/>
      <c r="CB444" s="446"/>
      <c r="CC444" s="446"/>
      <c r="CD444" s="446"/>
      <c r="CE444" s="446"/>
      <c r="CF444" s="446"/>
      <c r="CG444" s="446"/>
      <c r="CH444" s="446"/>
      <c r="CI444" s="446"/>
      <c r="CJ444" s="446"/>
      <c r="CK444" s="446"/>
      <c r="CL444" s="446"/>
      <c r="CM444" s="446"/>
      <c r="CN444" s="446"/>
      <c r="CO444" s="446"/>
      <c r="CP444" s="446"/>
      <c r="CQ444" s="446"/>
      <c r="CR444" s="446"/>
      <c r="CS444" s="446"/>
      <c r="CT444" s="446"/>
      <c r="CU444" s="446"/>
      <c r="CV444" s="446"/>
      <c r="CW444" s="851"/>
      <c r="CX444" s="446"/>
      <c r="CY444" s="446"/>
      <c r="CZ444" s="446"/>
      <c r="DA444" s="446"/>
      <c r="DB444" s="446"/>
      <c r="DC444" s="446"/>
      <c r="DD444" s="446"/>
      <c r="DE444" s="446"/>
      <c r="DF444" s="446"/>
      <c r="DG444" s="446"/>
      <c r="DH444" s="446"/>
      <c r="DI444" s="446"/>
      <c r="DJ444" s="446"/>
      <c r="DK444" s="446"/>
      <c r="DL444" s="446"/>
      <c r="DM444" s="446"/>
      <c r="DN444" s="446"/>
      <c r="DO444" s="446"/>
      <c r="DP444" s="446"/>
      <c r="DQ444" s="446"/>
      <c r="DR444" s="446"/>
      <c r="DS444" s="446"/>
      <c r="DT444" s="446"/>
      <c r="DU444" s="446"/>
      <c r="DV444" s="446"/>
      <c r="DW444" s="446"/>
      <c r="DX444" s="446"/>
      <c r="DY444" s="446"/>
      <c r="DZ444" s="283"/>
    </row>
    <row r="445" spans="2:130" s="223" customFormat="1" x14ac:dyDescent="0.2">
      <c r="B445" s="851"/>
      <c r="C445" s="851"/>
      <c r="D445" s="851"/>
      <c r="E445" s="820"/>
      <c r="F445" s="820"/>
      <c r="G445" s="853"/>
      <c r="H445" s="853"/>
      <c r="I445" s="853"/>
      <c r="J445" s="853"/>
      <c r="K445" s="853"/>
      <c r="L445" s="853"/>
      <c r="M445" s="853"/>
      <c r="N445" s="853"/>
      <c r="O445" s="853"/>
      <c r="P445" s="853"/>
      <c r="Q445" s="853"/>
      <c r="R445" s="853"/>
      <c r="S445" s="853"/>
      <c r="T445" s="853"/>
      <c r="U445" s="853"/>
      <c r="V445" s="853"/>
      <c r="W445" s="853"/>
      <c r="X445" s="853"/>
      <c r="Y445" s="853"/>
      <c r="Z445" s="853"/>
      <c r="AA445" s="853"/>
      <c r="AB445" s="853"/>
      <c r="AC445" s="853"/>
      <c r="AD445" s="853"/>
      <c r="AE445" s="853"/>
      <c r="AF445" s="853"/>
      <c r="AG445" s="853"/>
      <c r="AH445" s="446"/>
      <c r="AI445" s="446"/>
      <c r="AJ445" s="446"/>
      <c r="AK445" s="446"/>
      <c r="AL445" s="446"/>
      <c r="AM445" s="446"/>
      <c r="AN445" s="446"/>
      <c r="AO445" s="446"/>
      <c r="AP445" s="446"/>
      <c r="AQ445" s="446"/>
      <c r="AR445" s="446"/>
      <c r="AS445" s="446"/>
      <c r="AT445" s="446"/>
      <c r="AU445" s="446"/>
      <c r="AV445" s="446"/>
      <c r="AW445" s="446"/>
      <c r="AX445" s="446"/>
      <c r="AY445" s="446"/>
      <c r="AZ445" s="446"/>
      <c r="BA445" s="446"/>
      <c r="BB445" s="446"/>
      <c r="BC445" s="446"/>
      <c r="BD445" s="446"/>
      <c r="BE445" s="446"/>
      <c r="BF445" s="446"/>
      <c r="BG445" s="446"/>
      <c r="BH445" s="446"/>
      <c r="BI445" s="446"/>
      <c r="BJ445" s="446"/>
      <c r="BK445" s="446"/>
      <c r="BL445" s="446"/>
      <c r="BM445" s="446"/>
      <c r="BN445" s="446"/>
      <c r="BO445" s="446"/>
      <c r="BP445" s="446"/>
      <c r="BQ445" s="446"/>
      <c r="BR445" s="446"/>
      <c r="BS445" s="446"/>
      <c r="BT445" s="446"/>
      <c r="BU445" s="562"/>
      <c r="BV445" s="446"/>
      <c r="BW445" s="446"/>
      <c r="BX445" s="446"/>
      <c r="BY445" s="446"/>
      <c r="BZ445" s="446"/>
      <c r="CA445" s="446"/>
      <c r="CB445" s="446"/>
      <c r="CC445" s="446"/>
      <c r="CD445" s="446"/>
      <c r="CE445" s="446"/>
      <c r="CF445" s="446"/>
      <c r="CG445" s="446"/>
      <c r="CH445" s="446"/>
      <c r="CI445" s="446"/>
      <c r="CJ445" s="446"/>
      <c r="CK445" s="446"/>
      <c r="CL445" s="446"/>
      <c r="CM445" s="446"/>
      <c r="CN445" s="446"/>
      <c r="CO445" s="446"/>
      <c r="CP445" s="446"/>
      <c r="CQ445" s="446"/>
      <c r="CR445" s="446"/>
      <c r="CS445" s="446"/>
      <c r="CT445" s="446"/>
      <c r="CU445" s="446"/>
      <c r="CV445" s="446"/>
      <c r="CW445" s="851"/>
      <c r="CX445" s="446"/>
      <c r="CY445" s="446"/>
      <c r="CZ445" s="446"/>
      <c r="DA445" s="446"/>
      <c r="DB445" s="446"/>
      <c r="DC445" s="446"/>
      <c r="DD445" s="446"/>
      <c r="DE445" s="446"/>
      <c r="DF445" s="446"/>
      <c r="DG445" s="446"/>
      <c r="DH445" s="446"/>
      <c r="DI445" s="446"/>
      <c r="DJ445" s="446"/>
      <c r="DK445" s="446"/>
      <c r="DL445" s="446"/>
      <c r="DM445" s="446"/>
      <c r="DN445" s="446"/>
      <c r="DO445" s="446"/>
      <c r="DP445" s="446"/>
      <c r="DQ445" s="446"/>
      <c r="DR445" s="446"/>
      <c r="DS445" s="446"/>
      <c r="DT445" s="446"/>
      <c r="DU445" s="446"/>
      <c r="DV445" s="446"/>
      <c r="DW445" s="446"/>
      <c r="DX445" s="446"/>
      <c r="DY445" s="446"/>
      <c r="DZ445" s="283"/>
    </row>
    <row r="446" spans="2:130" s="223" customFormat="1" x14ac:dyDescent="0.2">
      <c r="B446" s="851"/>
      <c r="C446" s="851"/>
      <c r="D446" s="851"/>
      <c r="E446" s="820"/>
      <c r="F446" s="820"/>
      <c r="G446" s="853"/>
      <c r="H446" s="853"/>
      <c r="I446" s="853"/>
      <c r="J446" s="853"/>
      <c r="K446" s="853"/>
      <c r="L446" s="853"/>
      <c r="M446" s="853"/>
      <c r="N446" s="853"/>
      <c r="O446" s="853"/>
      <c r="P446" s="853"/>
      <c r="Q446" s="853"/>
      <c r="R446" s="853"/>
      <c r="S446" s="853"/>
      <c r="T446" s="853"/>
      <c r="U446" s="853"/>
      <c r="V446" s="853"/>
      <c r="W446" s="853"/>
      <c r="X446" s="853"/>
      <c r="Y446" s="853"/>
      <c r="Z446" s="853"/>
      <c r="AA446" s="853"/>
      <c r="AB446" s="853"/>
      <c r="AC446" s="853"/>
      <c r="AD446" s="853"/>
      <c r="AE446" s="853"/>
      <c r="AF446" s="853"/>
      <c r="AG446" s="853"/>
      <c r="AH446" s="446"/>
      <c r="AI446" s="446"/>
      <c r="AJ446" s="446"/>
      <c r="AK446" s="446"/>
      <c r="AL446" s="446"/>
      <c r="AM446" s="446"/>
      <c r="AN446" s="446"/>
      <c r="AO446" s="446"/>
      <c r="AP446" s="446"/>
      <c r="AQ446" s="446"/>
      <c r="AR446" s="446"/>
      <c r="AS446" s="446"/>
      <c r="AT446" s="446"/>
      <c r="AU446" s="446"/>
      <c r="AV446" s="446"/>
      <c r="AW446" s="446"/>
      <c r="AX446" s="446"/>
      <c r="AY446" s="446"/>
      <c r="AZ446" s="446"/>
      <c r="BA446" s="446"/>
      <c r="BB446" s="446"/>
      <c r="BC446" s="446"/>
      <c r="BD446" s="446"/>
      <c r="BE446" s="446"/>
      <c r="BF446" s="446"/>
      <c r="BG446" s="446"/>
      <c r="BH446" s="446"/>
      <c r="BI446" s="446"/>
      <c r="BJ446" s="446"/>
      <c r="BK446" s="446"/>
      <c r="BL446" s="446"/>
      <c r="BM446" s="446"/>
      <c r="BN446" s="446"/>
      <c r="BO446" s="446"/>
      <c r="BP446" s="446"/>
      <c r="BQ446" s="446"/>
      <c r="BR446" s="446"/>
      <c r="BS446" s="446"/>
      <c r="BT446" s="446"/>
      <c r="BU446" s="562"/>
      <c r="BV446" s="446"/>
      <c r="BW446" s="446"/>
      <c r="BX446" s="446"/>
      <c r="BY446" s="446"/>
      <c r="BZ446" s="446"/>
      <c r="CA446" s="446"/>
      <c r="CB446" s="446"/>
      <c r="CC446" s="446"/>
      <c r="CD446" s="446"/>
      <c r="CE446" s="446"/>
      <c r="CF446" s="446"/>
      <c r="CG446" s="446"/>
      <c r="CH446" s="446"/>
      <c r="CI446" s="446"/>
      <c r="CJ446" s="446"/>
      <c r="CK446" s="446"/>
      <c r="CL446" s="446"/>
      <c r="CM446" s="446"/>
      <c r="CN446" s="446"/>
      <c r="CO446" s="446"/>
      <c r="CP446" s="446"/>
      <c r="CQ446" s="446"/>
      <c r="CR446" s="446"/>
      <c r="CS446" s="446"/>
      <c r="CT446" s="446"/>
      <c r="CU446" s="446"/>
      <c r="CV446" s="446"/>
      <c r="CW446" s="851"/>
      <c r="CX446" s="446"/>
      <c r="CY446" s="446"/>
      <c r="CZ446" s="446"/>
      <c r="DA446" s="446"/>
      <c r="DB446" s="446"/>
      <c r="DC446" s="446"/>
      <c r="DD446" s="446"/>
      <c r="DE446" s="446"/>
      <c r="DF446" s="446"/>
      <c r="DG446" s="446"/>
      <c r="DH446" s="446"/>
      <c r="DI446" s="446"/>
      <c r="DJ446" s="446"/>
      <c r="DK446" s="446"/>
      <c r="DL446" s="446"/>
      <c r="DM446" s="446"/>
      <c r="DN446" s="446"/>
      <c r="DO446" s="446"/>
      <c r="DP446" s="446"/>
      <c r="DQ446" s="446"/>
      <c r="DR446" s="446"/>
      <c r="DS446" s="446"/>
      <c r="DT446" s="446"/>
      <c r="DU446" s="446"/>
      <c r="DV446" s="446"/>
      <c r="DW446" s="446"/>
      <c r="DX446" s="446"/>
      <c r="DY446" s="446"/>
      <c r="DZ446" s="283"/>
    </row>
    <row r="447" spans="2:130" s="223" customFormat="1" x14ac:dyDescent="0.2">
      <c r="B447" s="851"/>
      <c r="C447" s="851"/>
      <c r="D447" s="851"/>
      <c r="E447" s="820"/>
      <c r="F447" s="820"/>
      <c r="G447" s="853"/>
      <c r="H447" s="853"/>
      <c r="I447" s="853"/>
      <c r="J447" s="853"/>
      <c r="K447" s="853"/>
      <c r="L447" s="853"/>
      <c r="M447" s="853"/>
      <c r="N447" s="853"/>
      <c r="O447" s="853"/>
      <c r="P447" s="853"/>
      <c r="Q447" s="853"/>
      <c r="R447" s="853"/>
      <c r="S447" s="853"/>
      <c r="T447" s="853"/>
      <c r="U447" s="853"/>
      <c r="V447" s="853"/>
      <c r="W447" s="853"/>
      <c r="X447" s="853"/>
      <c r="Y447" s="853"/>
      <c r="Z447" s="853"/>
      <c r="AA447" s="853"/>
      <c r="AB447" s="853"/>
      <c r="AC447" s="853"/>
      <c r="AD447" s="853"/>
      <c r="AE447" s="853"/>
      <c r="AF447" s="853"/>
      <c r="AG447" s="853"/>
      <c r="AH447" s="446"/>
      <c r="AI447" s="446"/>
      <c r="AJ447" s="446"/>
      <c r="AK447" s="446"/>
      <c r="AL447" s="446"/>
      <c r="AM447" s="446"/>
      <c r="AN447" s="446"/>
      <c r="AO447" s="446"/>
      <c r="AP447" s="446"/>
      <c r="AQ447" s="446"/>
      <c r="AR447" s="446"/>
      <c r="AS447" s="446"/>
      <c r="AT447" s="446"/>
      <c r="AU447" s="446"/>
      <c r="AV447" s="446"/>
      <c r="AW447" s="446"/>
      <c r="AX447" s="446"/>
      <c r="AY447" s="446"/>
      <c r="AZ447" s="446"/>
      <c r="BA447" s="446"/>
      <c r="BB447" s="446"/>
      <c r="BC447" s="446"/>
      <c r="BD447" s="446"/>
      <c r="BE447" s="446"/>
      <c r="BF447" s="446"/>
      <c r="BG447" s="446"/>
      <c r="BH447" s="446"/>
      <c r="BI447" s="446"/>
      <c r="BJ447" s="446"/>
      <c r="BK447" s="446"/>
      <c r="BL447" s="446"/>
      <c r="BM447" s="446"/>
      <c r="BN447" s="446"/>
      <c r="BO447" s="446"/>
      <c r="BP447" s="446"/>
      <c r="BQ447" s="446"/>
      <c r="BR447" s="446"/>
      <c r="BS447" s="446"/>
      <c r="BT447" s="446"/>
      <c r="BU447" s="562"/>
      <c r="BV447" s="446"/>
      <c r="BW447" s="446"/>
      <c r="BX447" s="446"/>
      <c r="BY447" s="446"/>
      <c r="BZ447" s="446"/>
      <c r="CA447" s="446"/>
      <c r="CB447" s="446"/>
      <c r="CC447" s="446"/>
      <c r="CD447" s="446"/>
      <c r="CE447" s="446"/>
      <c r="CF447" s="446"/>
      <c r="CG447" s="446"/>
      <c r="CH447" s="446"/>
      <c r="CI447" s="446"/>
      <c r="CJ447" s="446"/>
      <c r="CK447" s="446"/>
      <c r="CL447" s="446"/>
      <c r="CM447" s="446"/>
      <c r="CN447" s="446"/>
      <c r="CO447" s="446"/>
      <c r="CP447" s="446"/>
      <c r="CQ447" s="446"/>
      <c r="CR447" s="446"/>
      <c r="CS447" s="446"/>
      <c r="CT447" s="446"/>
      <c r="CU447" s="446"/>
      <c r="CV447" s="446"/>
      <c r="CW447" s="851"/>
      <c r="CX447" s="446"/>
      <c r="CY447" s="446"/>
      <c r="CZ447" s="446"/>
      <c r="DA447" s="446"/>
      <c r="DB447" s="446"/>
      <c r="DC447" s="446"/>
      <c r="DD447" s="446"/>
      <c r="DE447" s="446"/>
      <c r="DF447" s="446"/>
      <c r="DG447" s="446"/>
      <c r="DH447" s="446"/>
      <c r="DI447" s="446"/>
      <c r="DJ447" s="446"/>
      <c r="DK447" s="446"/>
      <c r="DL447" s="446"/>
      <c r="DM447" s="446"/>
      <c r="DN447" s="446"/>
      <c r="DO447" s="446"/>
      <c r="DP447" s="446"/>
      <c r="DQ447" s="446"/>
      <c r="DR447" s="446"/>
      <c r="DS447" s="446"/>
      <c r="DT447" s="446"/>
      <c r="DU447" s="446"/>
      <c r="DV447" s="446"/>
      <c r="DW447" s="446"/>
      <c r="DX447" s="446"/>
      <c r="DY447" s="446"/>
      <c r="DZ447" s="283"/>
    </row>
    <row r="448" spans="2:130" s="223" customFormat="1" x14ac:dyDescent="0.2">
      <c r="B448" s="851"/>
      <c r="C448" s="851"/>
      <c r="D448" s="851"/>
      <c r="E448" s="820"/>
      <c r="F448" s="820"/>
      <c r="G448" s="853"/>
      <c r="H448" s="853"/>
      <c r="I448" s="853"/>
      <c r="J448" s="853"/>
      <c r="K448" s="853"/>
      <c r="L448" s="853"/>
      <c r="M448" s="853"/>
      <c r="N448" s="853"/>
      <c r="O448" s="853"/>
      <c r="P448" s="853"/>
      <c r="Q448" s="853"/>
      <c r="R448" s="853"/>
      <c r="S448" s="853"/>
      <c r="T448" s="853"/>
      <c r="U448" s="853"/>
      <c r="V448" s="853"/>
      <c r="W448" s="853"/>
      <c r="X448" s="853"/>
      <c r="Y448" s="853"/>
      <c r="Z448" s="853"/>
      <c r="AA448" s="853"/>
      <c r="AB448" s="853"/>
      <c r="AC448" s="853"/>
      <c r="AD448" s="853"/>
      <c r="AE448" s="853"/>
      <c r="AF448" s="853"/>
      <c r="AG448" s="853"/>
      <c r="AH448" s="446"/>
      <c r="AI448" s="446"/>
      <c r="AJ448" s="446"/>
      <c r="AK448" s="446"/>
      <c r="AL448" s="446"/>
      <c r="AM448" s="446"/>
      <c r="AN448" s="446"/>
      <c r="AO448" s="446"/>
      <c r="AP448" s="446"/>
      <c r="AQ448" s="446"/>
      <c r="AR448" s="446"/>
      <c r="AS448" s="446"/>
      <c r="AT448" s="446"/>
      <c r="AU448" s="446"/>
      <c r="AV448" s="446"/>
      <c r="AW448" s="446"/>
      <c r="AX448" s="446"/>
      <c r="AY448" s="446"/>
      <c r="AZ448" s="446"/>
      <c r="BA448" s="446"/>
      <c r="BB448" s="446"/>
      <c r="BC448" s="446"/>
      <c r="BD448" s="446"/>
      <c r="BE448" s="446"/>
      <c r="BF448" s="446"/>
      <c r="BG448" s="446"/>
      <c r="BH448" s="446"/>
      <c r="BI448" s="446"/>
      <c r="BJ448" s="446"/>
      <c r="BK448" s="446"/>
      <c r="BL448" s="446"/>
      <c r="BM448" s="446"/>
      <c r="BN448" s="446"/>
      <c r="BO448" s="446"/>
      <c r="BP448" s="446"/>
      <c r="BQ448" s="446"/>
      <c r="BR448" s="446"/>
      <c r="BS448" s="446"/>
      <c r="BT448" s="446"/>
      <c r="BU448" s="562"/>
      <c r="BV448" s="446"/>
      <c r="BW448" s="446"/>
      <c r="BX448" s="446"/>
      <c r="BY448" s="446"/>
      <c r="BZ448" s="446"/>
      <c r="CA448" s="446"/>
      <c r="CB448" s="446"/>
      <c r="CC448" s="446"/>
      <c r="CD448" s="446"/>
      <c r="CE448" s="446"/>
      <c r="CF448" s="446"/>
      <c r="CG448" s="446"/>
      <c r="CH448" s="446"/>
      <c r="CI448" s="446"/>
      <c r="CJ448" s="446"/>
      <c r="CK448" s="446"/>
      <c r="CL448" s="446"/>
      <c r="CM448" s="446"/>
      <c r="CN448" s="446"/>
      <c r="CO448" s="446"/>
      <c r="CP448" s="446"/>
      <c r="CQ448" s="446"/>
      <c r="CR448" s="446"/>
      <c r="CS448" s="446"/>
      <c r="CT448" s="446"/>
      <c r="CU448" s="446"/>
      <c r="CV448" s="446"/>
      <c r="CW448" s="851"/>
      <c r="CX448" s="446"/>
      <c r="CY448" s="446"/>
      <c r="CZ448" s="446"/>
      <c r="DA448" s="446"/>
      <c r="DB448" s="446"/>
      <c r="DC448" s="446"/>
      <c r="DD448" s="446"/>
      <c r="DE448" s="446"/>
      <c r="DF448" s="446"/>
      <c r="DG448" s="446"/>
      <c r="DH448" s="446"/>
      <c r="DI448" s="446"/>
      <c r="DJ448" s="446"/>
      <c r="DK448" s="446"/>
      <c r="DL448" s="446"/>
      <c r="DM448" s="446"/>
      <c r="DN448" s="446"/>
      <c r="DO448" s="446"/>
      <c r="DP448" s="446"/>
      <c r="DQ448" s="446"/>
      <c r="DR448" s="446"/>
      <c r="DS448" s="446"/>
      <c r="DT448" s="446"/>
      <c r="DU448" s="446"/>
      <c r="DV448" s="446"/>
      <c r="DW448" s="446"/>
      <c r="DX448" s="446"/>
      <c r="DY448" s="446"/>
      <c r="DZ448" s="283"/>
    </row>
    <row r="449" spans="2:130" s="223" customFormat="1" x14ac:dyDescent="0.2">
      <c r="B449" s="851"/>
      <c r="C449" s="851"/>
      <c r="D449" s="851"/>
      <c r="E449" s="820"/>
      <c r="F449" s="820"/>
      <c r="G449" s="853"/>
      <c r="H449" s="853"/>
      <c r="I449" s="853"/>
      <c r="J449" s="853"/>
      <c r="K449" s="853"/>
      <c r="L449" s="853"/>
      <c r="M449" s="853"/>
      <c r="N449" s="853"/>
      <c r="O449" s="853"/>
      <c r="P449" s="853"/>
      <c r="Q449" s="853"/>
      <c r="R449" s="853"/>
      <c r="S449" s="853"/>
      <c r="T449" s="853"/>
      <c r="U449" s="853"/>
      <c r="V449" s="853"/>
      <c r="W449" s="853"/>
      <c r="X449" s="853"/>
      <c r="Y449" s="853"/>
      <c r="Z449" s="853"/>
      <c r="AA449" s="853"/>
      <c r="AB449" s="853"/>
      <c r="AC449" s="853"/>
      <c r="AD449" s="853"/>
      <c r="AE449" s="853"/>
      <c r="AF449" s="853"/>
      <c r="AG449" s="853"/>
      <c r="AH449" s="446"/>
      <c r="AI449" s="446"/>
      <c r="AJ449" s="446"/>
      <c r="AK449" s="446"/>
      <c r="AL449" s="446"/>
      <c r="AM449" s="446"/>
      <c r="AN449" s="446"/>
      <c r="AO449" s="446"/>
      <c r="AP449" s="446"/>
      <c r="AQ449" s="446"/>
      <c r="AR449" s="446"/>
      <c r="AS449" s="446"/>
      <c r="AT449" s="446"/>
      <c r="AU449" s="446"/>
      <c r="AV449" s="446"/>
      <c r="AW449" s="446"/>
      <c r="AX449" s="446"/>
      <c r="AY449" s="446"/>
      <c r="AZ449" s="446"/>
      <c r="BA449" s="446"/>
      <c r="BB449" s="446"/>
      <c r="BC449" s="446"/>
      <c r="BD449" s="446"/>
      <c r="BE449" s="446"/>
      <c r="BF449" s="446"/>
      <c r="BG449" s="446"/>
      <c r="BH449" s="446"/>
      <c r="BI449" s="446"/>
      <c r="BJ449" s="446"/>
      <c r="BK449" s="446"/>
      <c r="BL449" s="446"/>
      <c r="BM449" s="446"/>
      <c r="BN449" s="446"/>
      <c r="BO449" s="446"/>
      <c r="BP449" s="446"/>
      <c r="BQ449" s="446"/>
      <c r="BR449" s="446"/>
      <c r="BS449" s="446"/>
      <c r="BT449" s="446"/>
      <c r="BU449" s="562"/>
      <c r="BV449" s="446"/>
      <c r="BW449" s="446"/>
      <c r="BX449" s="446"/>
      <c r="BY449" s="446"/>
      <c r="BZ449" s="446"/>
      <c r="CA449" s="446"/>
      <c r="CB449" s="446"/>
      <c r="CC449" s="446"/>
      <c r="CD449" s="446"/>
      <c r="CE449" s="446"/>
      <c r="CF449" s="446"/>
      <c r="CG449" s="446"/>
      <c r="CH449" s="446"/>
      <c r="CI449" s="446"/>
      <c r="CJ449" s="446"/>
      <c r="CK449" s="446"/>
      <c r="CL449" s="446"/>
      <c r="CM449" s="446"/>
      <c r="CN449" s="446"/>
      <c r="CO449" s="446"/>
      <c r="CP449" s="446"/>
      <c r="CQ449" s="446"/>
      <c r="CR449" s="446"/>
      <c r="CS449" s="446"/>
      <c r="CT449" s="446"/>
      <c r="CU449" s="446"/>
      <c r="CV449" s="446"/>
      <c r="CW449" s="851"/>
      <c r="CX449" s="446"/>
      <c r="CY449" s="446"/>
      <c r="CZ449" s="446"/>
      <c r="DA449" s="446"/>
      <c r="DB449" s="446"/>
      <c r="DC449" s="446"/>
      <c r="DD449" s="446"/>
      <c r="DE449" s="446"/>
      <c r="DF449" s="446"/>
      <c r="DG449" s="446"/>
      <c r="DH449" s="446"/>
      <c r="DI449" s="446"/>
      <c r="DJ449" s="446"/>
      <c r="DK449" s="446"/>
      <c r="DL449" s="446"/>
      <c r="DM449" s="446"/>
      <c r="DN449" s="446"/>
      <c r="DO449" s="446"/>
      <c r="DP449" s="446"/>
      <c r="DQ449" s="446"/>
      <c r="DR449" s="446"/>
      <c r="DS449" s="446"/>
      <c r="DT449" s="446"/>
      <c r="DU449" s="446"/>
      <c r="DV449" s="446"/>
      <c r="DW449" s="446"/>
      <c r="DX449" s="446"/>
      <c r="DY449" s="446"/>
      <c r="DZ449" s="283"/>
    </row>
    <row r="450" spans="2:130" s="223" customFormat="1" x14ac:dyDescent="0.2">
      <c r="B450" s="851"/>
      <c r="C450" s="851"/>
      <c r="D450" s="851"/>
      <c r="E450" s="820"/>
      <c r="F450" s="820"/>
      <c r="G450" s="853"/>
      <c r="H450" s="853"/>
      <c r="I450" s="853"/>
      <c r="J450" s="853"/>
      <c r="K450" s="853"/>
      <c r="L450" s="853"/>
      <c r="M450" s="853"/>
      <c r="N450" s="853"/>
      <c r="O450" s="853"/>
      <c r="P450" s="853"/>
      <c r="Q450" s="853"/>
      <c r="R450" s="853"/>
      <c r="S450" s="853"/>
      <c r="T450" s="853"/>
      <c r="U450" s="853"/>
      <c r="V450" s="853"/>
      <c r="W450" s="853"/>
      <c r="X450" s="853"/>
      <c r="Y450" s="853"/>
      <c r="Z450" s="853"/>
      <c r="AA450" s="853"/>
      <c r="AB450" s="853"/>
      <c r="AC450" s="853"/>
      <c r="AD450" s="853"/>
      <c r="AE450" s="853"/>
      <c r="AF450" s="853"/>
      <c r="AG450" s="853"/>
      <c r="AH450" s="446"/>
      <c r="AI450" s="446"/>
      <c r="AJ450" s="446"/>
      <c r="AK450" s="446"/>
      <c r="AL450" s="446"/>
      <c r="AM450" s="446"/>
      <c r="AN450" s="446"/>
      <c r="AO450" s="446"/>
      <c r="AP450" s="446"/>
      <c r="AQ450" s="446"/>
      <c r="AR450" s="446"/>
      <c r="AS450" s="446"/>
      <c r="AT450" s="446"/>
      <c r="AU450" s="446"/>
      <c r="AV450" s="446"/>
      <c r="AW450" s="446"/>
      <c r="AX450" s="446"/>
      <c r="AY450" s="446"/>
      <c r="AZ450" s="446"/>
      <c r="BA450" s="446"/>
      <c r="BB450" s="446"/>
      <c r="BC450" s="446"/>
      <c r="BD450" s="446"/>
      <c r="BE450" s="446"/>
      <c r="BF450" s="446"/>
      <c r="BG450" s="446"/>
      <c r="BH450" s="446"/>
      <c r="BI450" s="446"/>
      <c r="BJ450" s="446"/>
      <c r="BK450" s="446"/>
      <c r="BL450" s="446"/>
      <c r="BM450" s="446"/>
      <c r="BN450" s="446"/>
      <c r="BO450" s="446"/>
      <c r="BP450" s="446"/>
      <c r="BQ450" s="446"/>
      <c r="BR450" s="446"/>
      <c r="BS450" s="446"/>
      <c r="BT450" s="446"/>
      <c r="BU450" s="562"/>
      <c r="BV450" s="446"/>
      <c r="BW450" s="446"/>
      <c r="BX450" s="446"/>
      <c r="BY450" s="446"/>
      <c r="BZ450" s="446"/>
      <c r="CA450" s="446"/>
      <c r="CB450" s="446"/>
      <c r="CC450" s="446"/>
      <c r="CD450" s="446"/>
      <c r="CE450" s="446"/>
      <c r="CF450" s="446"/>
      <c r="CG450" s="446"/>
      <c r="CH450" s="446"/>
      <c r="CI450" s="446"/>
      <c r="CJ450" s="446"/>
      <c r="CK450" s="446"/>
      <c r="CL450" s="446"/>
      <c r="CM450" s="446"/>
      <c r="CN450" s="446"/>
      <c r="CO450" s="446"/>
      <c r="CP450" s="446"/>
      <c r="CQ450" s="446"/>
      <c r="CR450" s="446"/>
      <c r="CS450" s="446"/>
      <c r="CT450" s="446"/>
      <c r="CU450" s="446"/>
      <c r="CV450" s="446"/>
      <c r="CW450" s="851"/>
      <c r="CX450" s="446"/>
      <c r="CY450" s="446"/>
      <c r="CZ450" s="446"/>
      <c r="DA450" s="446"/>
      <c r="DB450" s="446"/>
      <c r="DC450" s="446"/>
      <c r="DD450" s="446"/>
      <c r="DE450" s="446"/>
      <c r="DF450" s="446"/>
      <c r="DG450" s="446"/>
      <c r="DH450" s="446"/>
      <c r="DI450" s="446"/>
      <c r="DJ450" s="446"/>
      <c r="DK450" s="446"/>
      <c r="DL450" s="446"/>
      <c r="DM450" s="446"/>
      <c r="DN450" s="446"/>
      <c r="DO450" s="446"/>
      <c r="DP450" s="446"/>
      <c r="DQ450" s="446"/>
      <c r="DR450" s="446"/>
      <c r="DS450" s="446"/>
      <c r="DT450" s="446"/>
      <c r="DU450" s="446"/>
      <c r="DV450" s="446"/>
      <c r="DW450" s="446"/>
      <c r="DX450" s="446"/>
      <c r="DY450" s="446"/>
      <c r="DZ450" s="283"/>
    </row>
    <row r="451" spans="2:130" s="223" customFormat="1" x14ac:dyDescent="0.2">
      <c r="B451" s="851"/>
      <c r="C451" s="851"/>
      <c r="D451" s="851"/>
      <c r="E451" s="820"/>
      <c r="F451" s="820"/>
      <c r="G451" s="853"/>
      <c r="H451" s="853"/>
      <c r="I451" s="853"/>
      <c r="J451" s="853"/>
      <c r="K451" s="853"/>
      <c r="L451" s="853"/>
      <c r="M451" s="853"/>
      <c r="N451" s="853"/>
      <c r="O451" s="853"/>
      <c r="P451" s="853"/>
      <c r="Q451" s="853"/>
      <c r="R451" s="853"/>
      <c r="S451" s="853"/>
      <c r="T451" s="853"/>
      <c r="U451" s="853"/>
      <c r="V451" s="853"/>
      <c r="W451" s="853"/>
      <c r="X451" s="853"/>
      <c r="Y451" s="853"/>
      <c r="Z451" s="853"/>
      <c r="AA451" s="853"/>
      <c r="AB451" s="853"/>
      <c r="AC451" s="853"/>
      <c r="AD451" s="853"/>
      <c r="AE451" s="853"/>
      <c r="AF451" s="853"/>
      <c r="AG451" s="853"/>
      <c r="AH451" s="446"/>
      <c r="AI451" s="446"/>
      <c r="AJ451" s="446"/>
      <c r="AK451" s="446"/>
      <c r="AL451" s="446"/>
      <c r="AM451" s="446"/>
      <c r="AN451" s="446"/>
      <c r="AO451" s="446"/>
      <c r="AP451" s="446"/>
      <c r="AQ451" s="446"/>
      <c r="AR451" s="446"/>
      <c r="AS451" s="446"/>
      <c r="AT451" s="446"/>
      <c r="AU451" s="446"/>
      <c r="AV451" s="446"/>
      <c r="AW451" s="446"/>
      <c r="AX451" s="446"/>
      <c r="AY451" s="446"/>
      <c r="AZ451" s="446"/>
      <c r="BA451" s="446"/>
      <c r="BB451" s="446"/>
      <c r="BC451" s="446"/>
      <c r="BD451" s="446"/>
      <c r="BE451" s="446"/>
      <c r="BF451" s="446"/>
      <c r="BG451" s="446"/>
      <c r="BH451" s="446"/>
      <c r="BI451" s="446"/>
      <c r="BJ451" s="446"/>
      <c r="BK451" s="446"/>
      <c r="BL451" s="446"/>
      <c r="BM451" s="446"/>
      <c r="BN451" s="446"/>
      <c r="BO451" s="446"/>
      <c r="BP451" s="446"/>
      <c r="BQ451" s="446"/>
      <c r="BR451" s="446"/>
      <c r="BS451" s="446"/>
      <c r="BT451" s="446"/>
      <c r="BU451" s="562"/>
      <c r="BV451" s="446"/>
      <c r="BW451" s="446"/>
      <c r="BX451" s="446"/>
      <c r="BY451" s="446"/>
      <c r="BZ451" s="446"/>
      <c r="CA451" s="446"/>
      <c r="CB451" s="446"/>
      <c r="CC451" s="446"/>
      <c r="CD451" s="446"/>
      <c r="CE451" s="446"/>
      <c r="CF451" s="446"/>
      <c r="CG451" s="446"/>
      <c r="CH451" s="446"/>
      <c r="CI451" s="446"/>
      <c r="CJ451" s="446"/>
      <c r="CK451" s="446"/>
      <c r="CL451" s="446"/>
      <c r="CM451" s="446"/>
      <c r="CN451" s="446"/>
      <c r="CO451" s="446"/>
      <c r="CP451" s="446"/>
      <c r="CQ451" s="446"/>
      <c r="CR451" s="446"/>
      <c r="CS451" s="446"/>
      <c r="CT451" s="446"/>
      <c r="CU451" s="446"/>
      <c r="CV451" s="446"/>
      <c r="CW451" s="851"/>
      <c r="CX451" s="446"/>
      <c r="CY451" s="446"/>
      <c r="CZ451" s="446"/>
      <c r="DA451" s="446"/>
      <c r="DB451" s="446"/>
      <c r="DC451" s="446"/>
      <c r="DD451" s="446"/>
      <c r="DE451" s="446"/>
      <c r="DF451" s="446"/>
      <c r="DG451" s="446"/>
      <c r="DH451" s="446"/>
      <c r="DI451" s="446"/>
      <c r="DJ451" s="446"/>
      <c r="DK451" s="446"/>
      <c r="DL451" s="446"/>
      <c r="DM451" s="446"/>
      <c r="DN451" s="446"/>
      <c r="DO451" s="446"/>
      <c r="DP451" s="446"/>
      <c r="DQ451" s="446"/>
      <c r="DR451" s="446"/>
      <c r="DS451" s="446"/>
      <c r="DT451" s="446"/>
      <c r="DU451" s="446"/>
      <c r="DV451" s="446"/>
      <c r="DW451" s="446"/>
      <c r="DX451" s="446"/>
      <c r="DY451" s="446"/>
      <c r="DZ451" s="283"/>
    </row>
    <row r="452" spans="2:130" s="223" customFormat="1" x14ac:dyDescent="0.2">
      <c r="B452" s="851"/>
      <c r="C452" s="851"/>
      <c r="D452" s="851"/>
      <c r="E452" s="820"/>
      <c r="F452" s="820"/>
      <c r="G452" s="853"/>
      <c r="H452" s="853"/>
      <c r="I452" s="853"/>
      <c r="J452" s="853"/>
      <c r="K452" s="853"/>
      <c r="L452" s="853"/>
      <c r="M452" s="853"/>
      <c r="N452" s="853"/>
      <c r="O452" s="853"/>
      <c r="P452" s="853"/>
      <c r="Q452" s="853"/>
      <c r="R452" s="853"/>
      <c r="S452" s="853"/>
      <c r="T452" s="853"/>
      <c r="U452" s="853"/>
      <c r="V452" s="853"/>
      <c r="W452" s="853"/>
      <c r="X452" s="853"/>
      <c r="Y452" s="853"/>
      <c r="Z452" s="853"/>
      <c r="AA452" s="853"/>
      <c r="AB452" s="853"/>
      <c r="AC452" s="853"/>
      <c r="AD452" s="853"/>
      <c r="AE452" s="853"/>
      <c r="AF452" s="853"/>
      <c r="AG452" s="853"/>
      <c r="AH452" s="446"/>
      <c r="AI452" s="446"/>
      <c r="AJ452" s="446"/>
      <c r="AK452" s="446"/>
      <c r="AL452" s="446"/>
      <c r="AM452" s="446"/>
      <c r="AN452" s="446"/>
      <c r="AO452" s="446"/>
      <c r="AP452" s="446"/>
      <c r="AQ452" s="446"/>
      <c r="AR452" s="446"/>
      <c r="AS452" s="446"/>
      <c r="AT452" s="446"/>
      <c r="AU452" s="446"/>
      <c r="AV452" s="446"/>
      <c r="AW452" s="446"/>
      <c r="AX452" s="446"/>
      <c r="AY452" s="446"/>
      <c r="AZ452" s="446"/>
      <c r="BA452" s="446"/>
      <c r="BB452" s="446"/>
      <c r="BC452" s="446"/>
      <c r="BD452" s="446"/>
      <c r="BE452" s="446"/>
      <c r="BF452" s="446"/>
      <c r="BG452" s="446"/>
      <c r="BH452" s="446"/>
      <c r="BI452" s="446"/>
      <c r="BJ452" s="446"/>
      <c r="BK452" s="446"/>
      <c r="BL452" s="446"/>
      <c r="BM452" s="446"/>
      <c r="BN452" s="446"/>
      <c r="BO452" s="446"/>
      <c r="BP452" s="446"/>
      <c r="BQ452" s="446"/>
      <c r="BR452" s="446"/>
      <c r="BS452" s="446"/>
      <c r="BT452" s="446"/>
      <c r="BU452" s="562"/>
      <c r="BV452" s="446"/>
      <c r="BW452" s="446"/>
      <c r="BX452" s="446"/>
      <c r="BY452" s="446"/>
      <c r="BZ452" s="446"/>
      <c r="CA452" s="446"/>
      <c r="CB452" s="446"/>
      <c r="CC452" s="446"/>
      <c r="CD452" s="446"/>
      <c r="CE452" s="446"/>
      <c r="CF452" s="446"/>
      <c r="CG452" s="446"/>
      <c r="CH452" s="446"/>
      <c r="CI452" s="446"/>
      <c r="CJ452" s="446"/>
      <c r="CK452" s="446"/>
      <c r="CL452" s="446"/>
      <c r="CM452" s="446"/>
      <c r="CN452" s="446"/>
      <c r="CO452" s="446"/>
      <c r="CP452" s="446"/>
      <c r="CQ452" s="446"/>
      <c r="CR452" s="446"/>
      <c r="CS452" s="446"/>
      <c r="CT452" s="446"/>
      <c r="CU452" s="446"/>
      <c r="CV452" s="446"/>
      <c r="CW452" s="851"/>
      <c r="CX452" s="446"/>
      <c r="CY452" s="446"/>
      <c r="CZ452" s="446"/>
      <c r="DA452" s="446"/>
      <c r="DB452" s="446"/>
      <c r="DC452" s="446"/>
      <c r="DD452" s="446"/>
      <c r="DE452" s="446"/>
      <c r="DF452" s="446"/>
      <c r="DG452" s="446"/>
      <c r="DH452" s="446"/>
      <c r="DI452" s="446"/>
      <c r="DJ452" s="446"/>
      <c r="DK452" s="446"/>
      <c r="DL452" s="446"/>
      <c r="DM452" s="446"/>
      <c r="DN452" s="446"/>
      <c r="DO452" s="446"/>
      <c r="DP452" s="446"/>
      <c r="DQ452" s="446"/>
      <c r="DR452" s="446"/>
      <c r="DS452" s="446"/>
      <c r="DT452" s="446"/>
      <c r="DU452" s="446"/>
      <c r="DV452" s="446"/>
      <c r="DW452" s="446"/>
      <c r="DX452" s="446"/>
      <c r="DY452" s="446"/>
      <c r="DZ452" s="283"/>
    </row>
    <row r="453" spans="2:130" s="223" customFormat="1" x14ac:dyDescent="0.2">
      <c r="B453" s="851"/>
      <c r="C453" s="851"/>
      <c r="D453" s="851"/>
      <c r="E453" s="820"/>
      <c r="F453" s="820"/>
      <c r="G453" s="853"/>
      <c r="H453" s="853"/>
      <c r="I453" s="853"/>
      <c r="J453" s="853"/>
      <c r="K453" s="853"/>
      <c r="L453" s="853"/>
      <c r="M453" s="853"/>
      <c r="N453" s="853"/>
      <c r="O453" s="853"/>
      <c r="P453" s="853"/>
      <c r="Q453" s="853"/>
      <c r="R453" s="853"/>
      <c r="S453" s="853"/>
      <c r="T453" s="853"/>
      <c r="U453" s="853"/>
      <c r="V453" s="853"/>
      <c r="W453" s="853"/>
      <c r="X453" s="853"/>
      <c r="Y453" s="853"/>
      <c r="Z453" s="853"/>
      <c r="AA453" s="853"/>
      <c r="AB453" s="853"/>
      <c r="AC453" s="853"/>
      <c r="AD453" s="853"/>
      <c r="AE453" s="853"/>
      <c r="AF453" s="853"/>
      <c r="AG453" s="853"/>
      <c r="AH453" s="446"/>
      <c r="AI453" s="446"/>
      <c r="AJ453" s="446"/>
      <c r="AK453" s="446"/>
      <c r="AL453" s="446"/>
      <c r="AM453" s="446"/>
      <c r="AN453" s="446"/>
      <c r="AO453" s="446"/>
      <c r="AP453" s="446"/>
      <c r="AQ453" s="446"/>
      <c r="AR453" s="446"/>
      <c r="AS453" s="446"/>
      <c r="AT453" s="446"/>
      <c r="AU453" s="446"/>
      <c r="AV453" s="446"/>
      <c r="AW453" s="446"/>
      <c r="AX453" s="446"/>
      <c r="AY453" s="446"/>
      <c r="AZ453" s="446"/>
      <c r="BA453" s="446"/>
      <c r="BB453" s="446"/>
      <c r="BC453" s="446"/>
      <c r="BD453" s="446"/>
      <c r="BE453" s="446"/>
      <c r="BF453" s="446"/>
      <c r="BG453" s="446"/>
      <c r="BH453" s="446"/>
      <c r="BI453" s="446"/>
      <c r="BJ453" s="446"/>
      <c r="BK453" s="446"/>
      <c r="BL453" s="446"/>
      <c r="BM453" s="446"/>
      <c r="BN453" s="446"/>
      <c r="BO453" s="446"/>
      <c r="BP453" s="446"/>
      <c r="BQ453" s="446"/>
      <c r="BR453" s="446"/>
      <c r="BS453" s="446"/>
      <c r="BT453" s="446"/>
      <c r="BU453" s="562"/>
      <c r="BV453" s="446"/>
      <c r="BW453" s="446"/>
      <c r="BX453" s="446"/>
      <c r="BY453" s="446"/>
      <c r="BZ453" s="446"/>
      <c r="CA453" s="446"/>
      <c r="CB453" s="446"/>
      <c r="CC453" s="446"/>
      <c r="CD453" s="446"/>
      <c r="CE453" s="446"/>
      <c r="CF453" s="446"/>
      <c r="CG453" s="446"/>
      <c r="CH453" s="446"/>
      <c r="CI453" s="446"/>
      <c r="CJ453" s="446"/>
      <c r="CK453" s="446"/>
      <c r="CL453" s="446"/>
      <c r="CM453" s="446"/>
      <c r="CN453" s="446"/>
      <c r="CO453" s="446"/>
      <c r="CP453" s="446"/>
      <c r="CQ453" s="446"/>
      <c r="CR453" s="446"/>
      <c r="CS453" s="446"/>
      <c r="CT453" s="446"/>
      <c r="CU453" s="446"/>
      <c r="CV453" s="446"/>
      <c r="CW453" s="851"/>
      <c r="CX453" s="446"/>
      <c r="CY453" s="446"/>
      <c r="CZ453" s="446"/>
      <c r="DA453" s="446"/>
      <c r="DB453" s="446"/>
      <c r="DC453" s="446"/>
      <c r="DD453" s="446"/>
      <c r="DE453" s="446"/>
      <c r="DF453" s="446"/>
      <c r="DG453" s="446"/>
      <c r="DH453" s="446"/>
      <c r="DI453" s="446"/>
      <c r="DJ453" s="446"/>
      <c r="DK453" s="446"/>
      <c r="DL453" s="446"/>
      <c r="DM453" s="446"/>
      <c r="DN453" s="446"/>
      <c r="DO453" s="446"/>
      <c r="DP453" s="446"/>
      <c r="DQ453" s="446"/>
      <c r="DR453" s="446"/>
      <c r="DS453" s="446"/>
      <c r="DT453" s="446"/>
      <c r="DU453" s="446"/>
      <c r="DV453" s="446"/>
      <c r="DW453" s="446"/>
      <c r="DX453" s="446"/>
      <c r="DY453" s="446"/>
      <c r="DZ453" s="283"/>
    </row>
    <row r="454" spans="2:130" s="223" customFormat="1" x14ac:dyDescent="0.2">
      <c r="B454" s="851"/>
      <c r="C454" s="851"/>
      <c r="D454" s="851"/>
      <c r="E454" s="820"/>
      <c r="F454" s="820"/>
      <c r="G454" s="853"/>
      <c r="H454" s="853"/>
      <c r="I454" s="853"/>
      <c r="J454" s="853"/>
      <c r="K454" s="853"/>
      <c r="L454" s="853"/>
      <c r="M454" s="853"/>
      <c r="N454" s="853"/>
      <c r="O454" s="853"/>
      <c r="P454" s="853"/>
      <c r="Q454" s="853"/>
      <c r="R454" s="853"/>
      <c r="S454" s="853"/>
      <c r="T454" s="853"/>
      <c r="U454" s="853"/>
      <c r="V454" s="853"/>
      <c r="W454" s="853"/>
      <c r="X454" s="853"/>
      <c r="Y454" s="853"/>
      <c r="Z454" s="853"/>
      <c r="AA454" s="853"/>
      <c r="AB454" s="853"/>
      <c r="AC454" s="853"/>
      <c r="AD454" s="853"/>
      <c r="AE454" s="853"/>
      <c r="AF454" s="853"/>
      <c r="AG454" s="853"/>
      <c r="AH454" s="446"/>
      <c r="AI454" s="446"/>
      <c r="AJ454" s="446"/>
      <c r="AK454" s="446"/>
      <c r="AL454" s="446"/>
      <c r="AM454" s="446"/>
      <c r="AN454" s="446"/>
      <c r="AO454" s="446"/>
      <c r="AP454" s="446"/>
      <c r="AQ454" s="446"/>
      <c r="AR454" s="446"/>
      <c r="AS454" s="446"/>
      <c r="AT454" s="446"/>
      <c r="AU454" s="446"/>
      <c r="AV454" s="446"/>
      <c r="AW454" s="446"/>
      <c r="AX454" s="446"/>
      <c r="AY454" s="446"/>
      <c r="AZ454" s="446"/>
      <c r="BA454" s="446"/>
      <c r="BB454" s="446"/>
      <c r="BC454" s="446"/>
      <c r="BD454" s="446"/>
      <c r="BE454" s="446"/>
      <c r="BF454" s="446"/>
      <c r="BG454" s="446"/>
      <c r="BH454" s="446"/>
      <c r="BI454" s="446"/>
      <c r="BJ454" s="446"/>
      <c r="BK454" s="446"/>
      <c r="BL454" s="446"/>
      <c r="BM454" s="446"/>
      <c r="BN454" s="446"/>
      <c r="BO454" s="446"/>
      <c r="BP454" s="446"/>
      <c r="BQ454" s="446"/>
      <c r="BR454" s="446"/>
      <c r="BS454" s="446"/>
      <c r="BT454" s="446"/>
      <c r="BU454" s="562"/>
      <c r="BV454" s="446"/>
      <c r="BW454" s="446"/>
      <c r="BX454" s="446"/>
      <c r="BY454" s="446"/>
      <c r="BZ454" s="446"/>
      <c r="CA454" s="446"/>
      <c r="CB454" s="446"/>
      <c r="CC454" s="446"/>
      <c r="CD454" s="446"/>
      <c r="CE454" s="446"/>
      <c r="CF454" s="446"/>
      <c r="CG454" s="446"/>
      <c r="CH454" s="446"/>
      <c r="CI454" s="446"/>
      <c r="CJ454" s="446"/>
      <c r="CK454" s="446"/>
      <c r="CL454" s="446"/>
      <c r="CM454" s="446"/>
      <c r="CN454" s="446"/>
      <c r="CO454" s="446"/>
      <c r="CP454" s="446"/>
      <c r="CQ454" s="446"/>
      <c r="CR454" s="446"/>
      <c r="CS454" s="446"/>
      <c r="CT454" s="446"/>
      <c r="CU454" s="446"/>
      <c r="CV454" s="446"/>
      <c r="CW454" s="851"/>
      <c r="CX454" s="446"/>
      <c r="CY454" s="446"/>
      <c r="CZ454" s="446"/>
      <c r="DA454" s="446"/>
      <c r="DB454" s="446"/>
      <c r="DC454" s="446"/>
      <c r="DD454" s="446"/>
      <c r="DE454" s="446"/>
      <c r="DF454" s="446"/>
      <c r="DG454" s="446"/>
      <c r="DH454" s="446"/>
      <c r="DI454" s="446"/>
      <c r="DJ454" s="446"/>
      <c r="DK454" s="446"/>
      <c r="DL454" s="446"/>
      <c r="DM454" s="446"/>
      <c r="DN454" s="446"/>
      <c r="DO454" s="446"/>
      <c r="DP454" s="446"/>
      <c r="DQ454" s="446"/>
      <c r="DR454" s="446"/>
      <c r="DS454" s="446"/>
      <c r="DT454" s="446"/>
      <c r="DU454" s="446"/>
      <c r="DV454" s="446"/>
      <c r="DW454" s="446"/>
      <c r="DX454" s="446"/>
      <c r="DY454" s="446"/>
      <c r="DZ454" s="283"/>
    </row>
    <row r="455" spans="2:130" s="223" customFormat="1" x14ac:dyDescent="0.2">
      <c r="B455" s="851"/>
      <c r="C455" s="851"/>
      <c r="D455" s="851"/>
      <c r="E455" s="820"/>
      <c r="F455" s="820"/>
      <c r="G455" s="853"/>
      <c r="H455" s="853"/>
      <c r="I455" s="853"/>
      <c r="J455" s="853"/>
      <c r="K455" s="853"/>
      <c r="L455" s="853"/>
      <c r="M455" s="853"/>
      <c r="N455" s="853"/>
      <c r="O455" s="853"/>
      <c r="P455" s="853"/>
      <c r="Q455" s="853"/>
      <c r="R455" s="853"/>
      <c r="S455" s="853"/>
      <c r="T455" s="853"/>
      <c r="U455" s="853"/>
      <c r="V455" s="853"/>
      <c r="W455" s="853"/>
      <c r="X455" s="853"/>
      <c r="Y455" s="853"/>
      <c r="Z455" s="853"/>
      <c r="AA455" s="853"/>
      <c r="AB455" s="853"/>
      <c r="AC455" s="853"/>
      <c r="AD455" s="853"/>
      <c r="AE455" s="853"/>
      <c r="AF455" s="853"/>
      <c r="AG455" s="853"/>
      <c r="AH455" s="446"/>
      <c r="AI455" s="446"/>
      <c r="AJ455" s="446"/>
      <c r="AK455" s="446"/>
      <c r="AL455" s="446"/>
      <c r="AM455" s="446"/>
      <c r="AN455" s="446"/>
      <c r="AO455" s="446"/>
      <c r="AP455" s="446"/>
      <c r="AQ455" s="446"/>
      <c r="AR455" s="446"/>
      <c r="AS455" s="446"/>
      <c r="AT455" s="446"/>
      <c r="AU455" s="446"/>
      <c r="AV455" s="446"/>
      <c r="AW455" s="446"/>
      <c r="AX455" s="446"/>
      <c r="AY455" s="446"/>
      <c r="AZ455" s="446"/>
      <c r="BA455" s="446"/>
      <c r="BB455" s="446"/>
      <c r="BC455" s="446"/>
      <c r="BD455" s="446"/>
      <c r="BE455" s="446"/>
      <c r="BF455" s="446"/>
      <c r="BG455" s="446"/>
      <c r="BH455" s="446"/>
      <c r="BI455" s="446"/>
      <c r="BJ455" s="446"/>
      <c r="BK455" s="446"/>
      <c r="BL455" s="446"/>
      <c r="BM455" s="446"/>
      <c r="BN455" s="446"/>
      <c r="BO455" s="446"/>
      <c r="BP455" s="446"/>
      <c r="BQ455" s="446"/>
      <c r="BR455" s="446"/>
      <c r="BS455" s="446"/>
      <c r="BT455" s="446"/>
      <c r="BU455" s="562"/>
      <c r="BV455" s="446"/>
      <c r="BW455" s="446"/>
      <c r="BX455" s="446"/>
      <c r="BY455" s="446"/>
      <c r="BZ455" s="446"/>
      <c r="CA455" s="446"/>
      <c r="CB455" s="446"/>
      <c r="CC455" s="446"/>
      <c r="CD455" s="446"/>
      <c r="CE455" s="446"/>
      <c r="CF455" s="446"/>
      <c r="CG455" s="446"/>
      <c r="CH455" s="446"/>
      <c r="CI455" s="446"/>
      <c r="CJ455" s="446"/>
      <c r="CK455" s="446"/>
      <c r="CL455" s="446"/>
      <c r="CM455" s="446"/>
      <c r="CN455" s="446"/>
      <c r="CO455" s="446"/>
      <c r="CP455" s="446"/>
      <c r="CQ455" s="446"/>
      <c r="CR455" s="446"/>
      <c r="CS455" s="446"/>
      <c r="CT455" s="446"/>
      <c r="CU455" s="446"/>
      <c r="CV455" s="446"/>
      <c r="CW455" s="851"/>
      <c r="CX455" s="446"/>
      <c r="CY455" s="446"/>
      <c r="CZ455" s="446"/>
      <c r="DA455" s="446"/>
      <c r="DB455" s="446"/>
      <c r="DC455" s="446"/>
      <c r="DD455" s="446"/>
      <c r="DE455" s="446"/>
      <c r="DF455" s="446"/>
      <c r="DG455" s="446"/>
      <c r="DH455" s="446"/>
      <c r="DI455" s="446"/>
      <c r="DJ455" s="446"/>
      <c r="DK455" s="446"/>
      <c r="DL455" s="446"/>
      <c r="DM455" s="446"/>
      <c r="DN455" s="446"/>
      <c r="DO455" s="446"/>
      <c r="DP455" s="446"/>
      <c r="DQ455" s="446"/>
      <c r="DR455" s="446"/>
      <c r="DS455" s="446"/>
      <c r="DT455" s="446"/>
      <c r="DU455" s="446"/>
      <c r="DV455" s="446"/>
      <c r="DW455" s="446"/>
      <c r="DX455" s="446"/>
      <c r="DY455" s="446"/>
      <c r="DZ455" s="283"/>
    </row>
    <row r="456" spans="2:130" s="223" customFormat="1" x14ac:dyDescent="0.2">
      <c r="B456" s="851"/>
      <c r="C456" s="851"/>
      <c r="D456" s="851"/>
      <c r="E456" s="820"/>
      <c r="F456" s="820"/>
      <c r="G456" s="853"/>
      <c r="H456" s="853"/>
      <c r="I456" s="853"/>
      <c r="J456" s="853"/>
      <c r="K456" s="853"/>
      <c r="L456" s="853"/>
      <c r="M456" s="853"/>
      <c r="N456" s="853"/>
      <c r="O456" s="853"/>
      <c r="P456" s="853"/>
      <c r="Q456" s="853"/>
      <c r="R456" s="853"/>
      <c r="S456" s="853"/>
      <c r="T456" s="853"/>
      <c r="U456" s="853"/>
      <c r="V456" s="853"/>
      <c r="W456" s="853"/>
      <c r="X456" s="853"/>
      <c r="Y456" s="853"/>
      <c r="Z456" s="853"/>
      <c r="AA456" s="853"/>
      <c r="AB456" s="853"/>
      <c r="AC456" s="853"/>
      <c r="AD456" s="853"/>
      <c r="AE456" s="853"/>
      <c r="AF456" s="853"/>
      <c r="AG456" s="853"/>
      <c r="AH456" s="446"/>
      <c r="AI456" s="446"/>
      <c r="AJ456" s="446"/>
      <c r="AK456" s="446"/>
      <c r="AL456" s="446"/>
      <c r="AM456" s="446"/>
      <c r="AN456" s="446"/>
      <c r="AO456" s="446"/>
      <c r="AP456" s="446"/>
      <c r="AQ456" s="446"/>
      <c r="AR456" s="446"/>
      <c r="AS456" s="446"/>
      <c r="AT456" s="446"/>
      <c r="AU456" s="446"/>
      <c r="AV456" s="446"/>
      <c r="AW456" s="446"/>
      <c r="AX456" s="446"/>
      <c r="AY456" s="446"/>
      <c r="AZ456" s="446"/>
      <c r="BA456" s="446"/>
      <c r="BB456" s="446"/>
      <c r="BC456" s="446"/>
      <c r="BD456" s="446"/>
      <c r="BE456" s="446"/>
      <c r="BF456" s="446"/>
      <c r="BG456" s="446"/>
      <c r="BH456" s="446"/>
      <c r="BI456" s="446"/>
      <c r="BJ456" s="446"/>
      <c r="BK456" s="446"/>
      <c r="BL456" s="446"/>
      <c r="BM456" s="446"/>
      <c r="BN456" s="446"/>
      <c r="BO456" s="446"/>
      <c r="BP456" s="446"/>
      <c r="BQ456" s="446"/>
      <c r="BR456" s="446"/>
      <c r="BS456" s="446"/>
      <c r="BT456" s="446"/>
      <c r="BU456" s="562"/>
      <c r="BV456" s="446"/>
      <c r="BW456" s="446"/>
      <c r="BX456" s="446"/>
      <c r="BY456" s="446"/>
      <c r="BZ456" s="446"/>
      <c r="CA456" s="446"/>
      <c r="CB456" s="446"/>
      <c r="CC456" s="446"/>
      <c r="CD456" s="446"/>
      <c r="CE456" s="446"/>
      <c r="CF456" s="446"/>
      <c r="CG456" s="446"/>
      <c r="CH456" s="446"/>
      <c r="CI456" s="446"/>
      <c r="CJ456" s="446"/>
      <c r="CK456" s="446"/>
      <c r="CL456" s="446"/>
      <c r="CM456" s="446"/>
      <c r="CN456" s="446"/>
      <c r="CO456" s="446"/>
      <c r="CP456" s="446"/>
      <c r="CQ456" s="446"/>
      <c r="CR456" s="446"/>
      <c r="CS456" s="446"/>
      <c r="CT456" s="446"/>
      <c r="CU456" s="446"/>
      <c r="CV456" s="446"/>
      <c r="CW456" s="851"/>
      <c r="CX456" s="446"/>
      <c r="CY456" s="446"/>
      <c r="CZ456" s="446"/>
      <c r="DA456" s="446"/>
      <c r="DB456" s="446"/>
      <c r="DC456" s="446"/>
      <c r="DD456" s="446"/>
      <c r="DE456" s="446"/>
      <c r="DF456" s="446"/>
      <c r="DG456" s="446"/>
      <c r="DH456" s="446"/>
      <c r="DI456" s="446"/>
      <c r="DJ456" s="446"/>
      <c r="DK456" s="446"/>
      <c r="DL456" s="446"/>
      <c r="DM456" s="446"/>
      <c r="DN456" s="446"/>
      <c r="DO456" s="446"/>
      <c r="DP456" s="446"/>
      <c r="DQ456" s="446"/>
      <c r="DR456" s="446"/>
      <c r="DS456" s="446"/>
      <c r="DT456" s="446"/>
      <c r="DU456" s="446"/>
      <c r="DV456" s="446"/>
      <c r="DW456" s="446"/>
      <c r="DX456" s="446"/>
      <c r="DY456" s="446"/>
      <c r="DZ456" s="283"/>
    </row>
    <row r="457" spans="2:130" s="223" customFormat="1" x14ac:dyDescent="0.2">
      <c r="B457" s="851"/>
      <c r="C457" s="851"/>
      <c r="D457" s="851"/>
      <c r="E457" s="820"/>
      <c r="F457" s="820"/>
      <c r="G457" s="853"/>
      <c r="H457" s="853"/>
      <c r="I457" s="853"/>
      <c r="J457" s="853"/>
      <c r="K457" s="853"/>
      <c r="L457" s="853"/>
      <c r="M457" s="853"/>
      <c r="N457" s="853"/>
      <c r="O457" s="853"/>
      <c r="P457" s="853"/>
      <c r="Q457" s="853"/>
      <c r="R457" s="853"/>
      <c r="S457" s="853"/>
      <c r="T457" s="853"/>
      <c r="U457" s="853"/>
      <c r="V457" s="853"/>
      <c r="W457" s="853"/>
      <c r="X457" s="853"/>
      <c r="Y457" s="853"/>
      <c r="Z457" s="853"/>
      <c r="AA457" s="853"/>
      <c r="AB457" s="853"/>
      <c r="AC457" s="853"/>
      <c r="AD457" s="853"/>
      <c r="AE457" s="853"/>
      <c r="AF457" s="853"/>
      <c r="AG457" s="853"/>
      <c r="AH457" s="446"/>
      <c r="AI457" s="446"/>
      <c r="AJ457" s="446"/>
      <c r="AK457" s="446"/>
      <c r="AL457" s="446"/>
      <c r="AM457" s="446"/>
      <c r="AN457" s="446"/>
      <c r="AO457" s="446"/>
      <c r="AP457" s="446"/>
      <c r="AQ457" s="446"/>
      <c r="AR457" s="446"/>
      <c r="AS457" s="446"/>
      <c r="AT457" s="446"/>
      <c r="AU457" s="446"/>
      <c r="AV457" s="446"/>
      <c r="AW457" s="446"/>
      <c r="AX457" s="446"/>
      <c r="AY457" s="446"/>
      <c r="AZ457" s="446"/>
      <c r="BA457" s="446"/>
      <c r="BB457" s="446"/>
      <c r="BC457" s="446"/>
      <c r="BD457" s="446"/>
      <c r="BE457" s="446"/>
      <c r="BF457" s="446"/>
      <c r="BG457" s="446"/>
      <c r="BH457" s="446"/>
      <c r="BI457" s="446"/>
      <c r="BJ457" s="446"/>
      <c r="BK457" s="446"/>
      <c r="BL457" s="446"/>
      <c r="BM457" s="446"/>
      <c r="BN457" s="446"/>
      <c r="BO457" s="446"/>
      <c r="BP457" s="446"/>
      <c r="BQ457" s="446"/>
      <c r="BR457" s="446"/>
      <c r="BS457" s="446"/>
      <c r="BT457" s="446"/>
      <c r="BU457" s="562"/>
      <c r="BV457" s="446"/>
      <c r="BW457" s="446"/>
      <c r="BX457" s="446"/>
      <c r="BY457" s="446"/>
      <c r="BZ457" s="446"/>
      <c r="CA457" s="446"/>
      <c r="CB457" s="446"/>
      <c r="CC457" s="446"/>
      <c r="CD457" s="446"/>
      <c r="CE457" s="446"/>
      <c r="CF457" s="446"/>
      <c r="CG457" s="446"/>
      <c r="CH457" s="446"/>
      <c r="CI457" s="446"/>
      <c r="CJ457" s="446"/>
      <c r="CK457" s="446"/>
      <c r="CL457" s="446"/>
      <c r="CM457" s="446"/>
      <c r="CN457" s="446"/>
      <c r="CO457" s="446"/>
      <c r="CP457" s="446"/>
      <c r="CQ457" s="446"/>
      <c r="CR457" s="446"/>
      <c r="CS457" s="446"/>
      <c r="CT457" s="446"/>
      <c r="CU457" s="446"/>
      <c r="CV457" s="446"/>
      <c r="CW457" s="851"/>
      <c r="CX457" s="446"/>
      <c r="CY457" s="446"/>
      <c r="CZ457" s="446"/>
      <c r="DA457" s="446"/>
      <c r="DB457" s="446"/>
      <c r="DC457" s="446"/>
      <c r="DD457" s="446"/>
      <c r="DE457" s="446"/>
      <c r="DF457" s="446"/>
      <c r="DG457" s="446"/>
      <c r="DH457" s="446"/>
      <c r="DI457" s="446"/>
      <c r="DJ457" s="446"/>
      <c r="DK457" s="446"/>
      <c r="DL457" s="446"/>
      <c r="DM457" s="446"/>
      <c r="DN457" s="446"/>
      <c r="DO457" s="446"/>
      <c r="DP457" s="446"/>
      <c r="DQ457" s="446"/>
      <c r="DR457" s="446"/>
      <c r="DS457" s="446"/>
      <c r="DT457" s="446"/>
      <c r="DU457" s="446"/>
      <c r="DV457" s="446"/>
      <c r="DW457" s="446"/>
      <c r="DX457" s="446"/>
      <c r="DY457" s="446"/>
      <c r="DZ457" s="283"/>
    </row>
    <row r="458" spans="2:130" s="223" customFormat="1" x14ac:dyDescent="0.2">
      <c r="B458" s="851"/>
      <c r="C458" s="851"/>
      <c r="D458" s="851"/>
      <c r="E458" s="820"/>
      <c r="F458" s="820"/>
      <c r="G458" s="853"/>
      <c r="H458" s="853"/>
      <c r="I458" s="853"/>
      <c r="J458" s="853"/>
      <c r="K458" s="853"/>
      <c r="L458" s="853"/>
      <c r="M458" s="853"/>
      <c r="N458" s="853"/>
      <c r="O458" s="853"/>
      <c r="P458" s="853"/>
      <c r="Q458" s="853"/>
      <c r="R458" s="853"/>
      <c r="S458" s="853"/>
      <c r="T458" s="853"/>
      <c r="U458" s="853"/>
      <c r="V458" s="853"/>
      <c r="W458" s="853"/>
      <c r="X458" s="853"/>
      <c r="Y458" s="853"/>
      <c r="Z458" s="853"/>
      <c r="AA458" s="853"/>
      <c r="AB458" s="853"/>
      <c r="AC458" s="853"/>
      <c r="AD458" s="853"/>
      <c r="AE458" s="853"/>
      <c r="AF458" s="853"/>
      <c r="AG458" s="853"/>
      <c r="AH458" s="446"/>
      <c r="AI458" s="446"/>
      <c r="AJ458" s="446"/>
      <c r="AK458" s="446"/>
      <c r="AL458" s="446"/>
      <c r="AM458" s="446"/>
      <c r="AN458" s="446"/>
      <c r="AO458" s="446"/>
      <c r="AP458" s="446"/>
      <c r="AQ458" s="446"/>
      <c r="AR458" s="446"/>
      <c r="AS458" s="446"/>
      <c r="AT458" s="446"/>
      <c r="AU458" s="446"/>
      <c r="AV458" s="446"/>
      <c r="AW458" s="446"/>
      <c r="AX458" s="446"/>
      <c r="AY458" s="446"/>
      <c r="AZ458" s="446"/>
      <c r="BA458" s="446"/>
      <c r="BB458" s="446"/>
      <c r="BC458" s="446"/>
      <c r="BD458" s="446"/>
      <c r="BE458" s="446"/>
      <c r="BF458" s="446"/>
      <c r="BG458" s="446"/>
      <c r="BH458" s="446"/>
      <c r="BI458" s="446"/>
      <c r="BJ458" s="446"/>
      <c r="BK458" s="446"/>
      <c r="BL458" s="446"/>
      <c r="BM458" s="446"/>
      <c r="BN458" s="446"/>
      <c r="BO458" s="446"/>
      <c r="BP458" s="446"/>
      <c r="BQ458" s="446"/>
      <c r="BR458" s="446"/>
      <c r="BS458" s="446"/>
      <c r="BT458" s="446"/>
      <c r="BU458" s="562"/>
      <c r="BV458" s="446"/>
      <c r="BW458" s="446"/>
      <c r="BX458" s="446"/>
      <c r="BY458" s="446"/>
      <c r="BZ458" s="446"/>
      <c r="CA458" s="446"/>
      <c r="CB458" s="446"/>
      <c r="CC458" s="446"/>
      <c r="CD458" s="446"/>
      <c r="CE458" s="446"/>
      <c r="CF458" s="446"/>
      <c r="CG458" s="446"/>
      <c r="CH458" s="446"/>
      <c r="CI458" s="446"/>
      <c r="CJ458" s="446"/>
      <c r="CK458" s="446"/>
      <c r="CL458" s="446"/>
      <c r="CM458" s="446"/>
      <c r="CN458" s="446"/>
      <c r="CO458" s="446"/>
      <c r="CP458" s="446"/>
      <c r="CQ458" s="446"/>
      <c r="CR458" s="446"/>
      <c r="CS458" s="446"/>
      <c r="CT458" s="446"/>
      <c r="CU458" s="446"/>
      <c r="CV458" s="446"/>
      <c r="CW458" s="851"/>
      <c r="CX458" s="446"/>
      <c r="CY458" s="446"/>
      <c r="CZ458" s="446"/>
      <c r="DA458" s="446"/>
      <c r="DB458" s="446"/>
      <c r="DC458" s="446"/>
      <c r="DD458" s="446"/>
      <c r="DE458" s="446"/>
      <c r="DF458" s="446"/>
      <c r="DG458" s="446"/>
      <c r="DH458" s="446"/>
      <c r="DI458" s="446"/>
      <c r="DJ458" s="446"/>
      <c r="DK458" s="446"/>
      <c r="DL458" s="446"/>
      <c r="DM458" s="446"/>
      <c r="DN458" s="446"/>
      <c r="DO458" s="446"/>
      <c r="DP458" s="446"/>
      <c r="DQ458" s="446"/>
      <c r="DR458" s="446"/>
      <c r="DS458" s="446"/>
      <c r="DT458" s="446"/>
      <c r="DU458" s="446"/>
      <c r="DV458" s="446"/>
      <c r="DW458" s="446"/>
      <c r="DX458" s="446"/>
      <c r="DY458" s="446"/>
      <c r="DZ458" s="283"/>
    </row>
    <row r="459" spans="2:130" s="223" customFormat="1" x14ac:dyDescent="0.2">
      <c r="B459" s="851"/>
      <c r="C459" s="851"/>
      <c r="D459" s="851"/>
      <c r="E459" s="820"/>
      <c r="F459" s="820"/>
      <c r="G459" s="853"/>
      <c r="H459" s="853"/>
      <c r="I459" s="853"/>
      <c r="J459" s="853"/>
      <c r="K459" s="853"/>
      <c r="L459" s="853"/>
      <c r="M459" s="853"/>
      <c r="N459" s="853"/>
      <c r="O459" s="853"/>
      <c r="P459" s="853"/>
      <c r="Q459" s="853"/>
      <c r="R459" s="853"/>
      <c r="S459" s="853"/>
      <c r="T459" s="853"/>
      <c r="U459" s="853"/>
      <c r="V459" s="853"/>
      <c r="W459" s="853"/>
      <c r="X459" s="853"/>
      <c r="Y459" s="853"/>
      <c r="Z459" s="853"/>
      <c r="AA459" s="853"/>
      <c r="AB459" s="853"/>
      <c r="AC459" s="853"/>
      <c r="AD459" s="853"/>
      <c r="AE459" s="853"/>
      <c r="AF459" s="853"/>
      <c r="AG459" s="853"/>
      <c r="AH459" s="446"/>
      <c r="AI459" s="446"/>
      <c r="AJ459" s="446"/>
      <c r="AK459" s="446"/>
      <c r="AL459" s="446"/>
      <c r="AM459" s="446"/>
      <c r="AN459" s="446"/>
      <c r="AO459" s="446"/>
      <c r="AP459" s="446"/>
      <c r="AQ459" s="446"/>
      <c r="AR459" s="446"/>
      <c r="AS459" s="446"/>
      <c r="AT459" s="446"/>
      <c r="AU459" s="446"/>
      <c r="AV459" s="446"/>
      <c r="AW459" s="446"/>
      <c r="AX459" s="446"/>
      <c r="AY459" s="446"/>
      <c r="AZ459" s="446"/>
      <c r="BA459" s="446"/>
      <c r="BB459" s="446"/>
      <c r="BC459" s="446"/>
      <c r="BD459" s="446"/>
      <c r="BE459" s="446"/>
      <c r="BF459" s="446"/>
      <c r="BG459" s="446"/>
      <c r="BH459" s="446"/>
      <c r="BI459" s="446"/>
      <c r="BJ459" s="446"/>
      <c r="BK459" s="446"/>
      <c r="BL459" s="446"/>
      <c r="BM459" s="446"/>
      <c r="BN459" s="446"/>
      <c r="BO459" s="446"/>
      <c r="BP459" s="446"/>
      <c r="BQ459" s="446"/>
      <c r="BR459" s="446"/>
      <c r="BS459" s="446"/>
      <c r="BT459" s="446"/>
      <c r="BU459" s="562"/>
      <c r="BV459" s="446"/>
      <c r="BW459" s="446"/>
      <c r="BX459" s="446"/>
      <c r="BY459" s="446"/>
      <c r="BZ459" s="446"/>
      <c r="CA459" s="446"/>
      <c r="CB459" s="446"/>
      <c r="CC459" s="446"/>
      <c r="CD459" s="446"/>
      <c r="CE459" s="446"/>
      <c r="CF459" s="446"/>
      <c r="CG459" s="446"/>
      <c r="CH459" s="446"/>
      <c r="CI459" s="446"/>
      <c r="CJ459" s="446"/>
      <c r="CK459" s="446"/>
      <c r="CL459" s="446"/>
      <c r="CM459" s="446"/>
      <c r="CN459" s="446"/>
      <c r="CO459" s="446"/>
      <c r="CP459" s="446"/>
      <c r="CQ459" s="446"/>
      <c r="CR459" s="446"/>
      <c r="CS459" s="446"/>
      <c r="CT459" s="446"/>
      <c r="CU459" s="446"/>
      <c r="CV459" s="446"/>
      <c r="CW459" s="851"/>
      <c r="CX459" s="446"/>
      <c r="CY459" s="446"/>
      <c r="CZ459" s="446"/>
      <c r="DA459" s="446"/>
      <c r="DB459" s="446"/>
      <c r="DC459" s="446"/>
      <c r="DD459" s="446"/>
      <c r="DE459" s="446"/>
      <c r="DF459" s="446"/>
      <c r="DG459" s="446"/>
      <c r="DH459" s="446"/>
      <c r="DI459" s="446"/>
      <c r="DJ459" s="446"/>
      <c r="DK459" s="446"/>
      <c r="DL459" s="446"/>
      <c r="DM459" s="446"/>
      <c r="DN459" s="446"/>
      <c r="DO459" s="446"/>
      <c r="DP459" s="446"/>
      <c r="DQ459" s="446"/>
      <c r="DR459" s="446"/>
      <c r="DS459" s="446"/>
      <c r="DT459" s="446"/>
      <c r="DU459" s="446"/>
      <c r="DV459" s="446"/>
      <c r="DW459" s="446"/>
      <c r="DX459" s="446"/>
      <c r="DY459" s="446"/>
      <c r="DZ459" s="283"/>
    </row>
    <row r="460" spans="2:130" s="223" customFormat="1" x14ac:dyDescent="0.2">
      <c r="B460" s="851"/>
      <c r="C460" s="851"/>
      <c r="D460" s="851"/>
      <c r="E460" s="820"/>
      <c r="F460" s="820"/>
      <c r="G460" s="853"/>
      <c r="H460" s="853"/>
      <c r="I460" s="853"/>
      <c r="J460" s="853"/>
      <c r="K460" s="853"/>
      <c r="L460" s="853"/>
      <c r="M460" s="853"/>
      <c r="N460" s="853"/>
      <c r="O460" s="853"/>
      <c r="P460" s="853"/>
      <c r="Q460" s="853"/>
      <c r="R460" s="853"/>
      <c r="S460" s="853"/>
      <c r="T460" s="853"/>
      <c r="U460" s="853"/>
      <c r="V460" s="853"/>
      <c r="W460" s="853"/>
      <c r="X460" s="853"/>
      <c r="Y460" s="853"/>
      <c r="Z460" s="853"/>
      <c r="AA460" s="853"/>
      <c r="AB460" s="853"/>
      <c r="AC460" s="853"/>
      <c r="AD460" s="853"/>
      <c r="AE460" s="853"/>
      <c r="AF460" s="853"/>
      <c r="AG460" s="853"/>
      <c r="AH460" s="446"/>
      <c r="AI460" s="446"/>
      <c r="AJ460" s="446"/>
      <c r="AK460" s="446"/>
      <c r="AL460" s="446"/>
      <c r="AM460" s="446"/>
      <c r="AN460" s="446"/>
      <c r="AO460" s="446"/>
      <c r="AP460" s="446"/>
      <c r="AQ460" s="446"/>
      <c r="AR460" s="446"/>
      <c r="AS460" s="446"/>
      <c r="AT460" s="446"/>
      <c r="AU460" s="446"/>
      <c r="AV460" s="446"/>
      <c r="AW460" s="446"/>
      <c r="AX460" s="446"/>
      <c r="AY460" s="446"/>
      <c r="AZ460" s="446"/>
      <c r="BA460" s="446"/>
      <c r="BB460" s="446"/>
      <c r="BC460" s="446"/>
      <c r="BD460" s="446"/>
      <c r="BE460" s="446"/>
      <c r="BF460" s="446"/>
      <c r="BG460" s="446"/>
      <c r="BH460" s="446"/>
      <c r="BI460" s="446"/>
      <c r="BJ460" s="446"/>
      <c r="BK460" s="446"/>
      <c r="BL460" s="446"/>
      <c r="BM460" s="446"/>
      <c r="BN460" s="446"/>
      <c r="BO460" s="446"/>
      <c r="BP460" s="446"/>
      <c r="BQ460" s="446"/>
      <c r="BR460" s="446"/>
      <c r="BS460" s="446"/>
      <c r="BT460" s="446"/>
      <c r="BU460" s="562"/>
      <c r="BV460" s="446"/>
      <c r="BW460" s="446"/>
      <c r="BX460" s="446"/>
      <c r="BY460" s="446"/>
      <c r="BZ460" s="446"/>
      <c r="CA460" s="446"/>
      <c r="CB460" s="446"/>
      <c r="CC460" s="446"/>
      <c r="CD460" s="446"/>
      <c r="CE460" s="446"/>
      <c r="CF460" s="446"/>
      <c r="CG460" s="446"/>
      <c r="CH460" s="446"/>
      <c r="CI460" s="446"/>
      <c r="CJ460" s="446"/>
      <c r="CK460" s="446"/>
      <c r="CL460" s="446"/>
      <c r="CM460" s="446"/>
      <c r="CN460" s="446"/>
      <c r="CO460" s="446"/>
      <c r="CP460" s="446"/>
      <c r="CQ460" s="446"/>
      <c r="CR460" s="446"/>
      <c r="CS460" s="446"/>
      <c r="CT460" s="446"/>
      <c r="CU460" s="446"/>
      <c r="CV460" s="446"/>
      <c r="CW460" s="851"/>
      <c r="CX460" s="446"/>
      <c r="CY460" s="446"/>
      <c r="CZ460" s="446"/>
      <c r="DA460" s="446"/>
      <c r="DB460" s="446"/>
      <c r="DC460" s="446"/>
      <c r="DD460" s="446"/>
      <c r="DE460" s="446"/>
      <c r="DF460" s="446"/>
      <c r="DG460" s="446"/>
      <c r="DH460" s="446"/>
      <c r="DI460" s="446"/>
      <c r="DJ460" s="446"/>
      <c r="DK460" s="446"/>
      <c r="DL460" s="446"/>
      <c r="DM460" s="446"/>
      <c r="DN460" s="446"/>
      <c r="DO460" s="446"/>
      <c r="DP460" s="446"/>
      <c r="DQ460" s="446"/>
      <c r="DR460" s="446"/>
      <c r="DS460" s="446"/>
      <c r="DT460" s="446"/>
      <c r="DU460" s="446"/>
      <c r="DV460" s="446"/>
      <c r="DW460" s="446"/>
      <c r="DX460" s="446"/>
      <c r="DY460" s="446"/>
      <c r="DZ460" s="283"/>
    </row>
    <row r="461" spans="2:130" s="223" customFormat="1" x14ac:dyDescent="0.2">
      <c r="B461" s="851"/>
      <c r="C461" s="851"/>
      <c r="D461" s="851"/>
      <c r="E461" s="820"/>
      <c r="F461" s="820"/>
      <c r="G461" s="853"/>
      <c r="H461" s="853"/>
      <c r="I461" s="853"/>
      <c r="J461" s="853"/>
      <c r="K461" s="853"/>
      <c r="L461" s="853"/>
      <c r="M461" s="853"/>
      <c r="N461" s="853"/>
      <c r="O461" s="853"/>
      <c r="P461" s="853"/>
      <c r="Q461" s="853"/>
      <c r="R461" s="853"/>
      <c r="S461" s="853"/>
      <c r="T461" s="853"/>
      <c r="U461" s="853"/>
      <c r="V461" s="853"/>
      <c r="W461" s="853"/>
      <c r="X461" s="853"/>
      <c r="Y461" s="853"/>
      <c r="Z461" s="853"/>
      <c r="AA461" s="853"/>
      <c r="AB461" s="853"/>
      <c r="AC461" s="853"/>
      <c r="AD461" s="853"/>
      <c r="AE461" s="853"/>
      <c r="AF461" s="853"/>
      <c r="AG461" s="853"/>
      <c r="AH461" s="446"/>
      <c r="AI461" s="446"/>
      <c r="AJ461" s="446"/>
      <c r="AK461" s="446"/>
      <c r="AL461" s="446"/>
      <c r="AM461" s="446"/>
      <c r="AN461" s="446"/>
      <c r="AO461" s="446"/>
      <c r="AP461" s="446"/>
      <c r="AQ461" s="446"/>
      <c r="AR461" s="446"/>
      <c r="AS461" s="446"/>
      <c r="AT461" s="446"/>
      <c r="AU461" s="446"/>
      <c r="AV461" s="446"/>
      <c r="AW461" s="446"/>
      <c r="AX461" s="446"/>
      <c r="AY461" s="446"/>
      <c r="AZ461" s="446"/>
      <c r="BA461" s="446"/>
      <c r="BB461" s="446"/>
      <c r="BC461" s="446"/>
      <c r="BD461" s="446"/>
      <c r="BE461" s="446"/>
      <c r="BF461" s="446"/>
      <c r="BG461" s="446"/>
      <c r="BH461" s="446"/>
      <c r="BI461" s="446"/>
      <c r="BJ461" s="446"/>
      <c r="BK461" s="446"/>
      <c r="BL461" s="446"/>
      <c r="BM461" s="446"/>
      <c r="BN461" s="446"/>
      <c r="BO461" s="446"/>
      <c r="BP461" s="446"/>
      <c r="BQ461" s="446"/>
      <c r="BR461" s="446"/>
      <c r="BS461" s="446"/>
      <c r="BT461" s="446"/>
      <c r="BU461" s="562"/>
      <c r="BV461" s="446"/>
      <c r="BW461" s="446"/>
      <c r="BX461" s="446"/>
      <c r="BY461" s="446"/>
      <c r="BZ461" s="446"/>
      <c r="CA461" s="446"/>
      <c r="CB461" s="446"/>
      <c r="CC461" s="446"/>
      <c r="CD461" s="446"/>
      <c r="CE461" s="446"/>
      <c r="CF461" s="446"/>
      <c r="CG461" s="446"/>
      <c r="CH461" s="446"/>
      <c r="CI461" s="446"/>
      <c r="CJ461" s="446"/>
      <c r="CK461" s="446"/>
      <c r="CL461" s="446"/>
      <c r="CM461" s="446"/>
      <c r="CN461" s="446"/>
      <c r="CO461" s="446"/>
      <c r="CP461" s="446"/>
      <c r="CQ461" s="446"/>
      <c r="CR461" s="446"/>
      <c r="CS461" s="446"/>
      <c r="CT461" s="446"/>
      <c r="CU461" s="446"/>
      <c r="CV461" s="446"/>
      <c r="CW461" s="851"/>
      <c r="CX461" s="446"/>
      <c r="CY461" s="446"/>
      <c r="CZ461" s="446"/>
      <c r="DA461" s="446"/>
      <c r="DB461" s="446"/>
      <c r="DC461" s="446"/>
      <c r="DD461" s="446"/>
      <c r="DE461" s="446"/>
      <c r="DF461" s="446"/>
      <c r="DG461" s="446"/>
      <c r="DH461" s="446"/>
      <c r="DI461" s="446"/>
      <c r="DJ461" s="446"/>
      <c r="DK461" s="446"/>
      <c r="DL461" s="446"/>
      <c r="DM461" s="446"/>
      <c r="DN461" s="446"/>
      <c r="DO461" s="446"/>
      <c r="DP461" s="446"/>
      <c r="DQ461" s="446"/>
      <c r="DR461" s="446"/>
      <c r="DS461" s="446"/>
      <c r="DT461" s="446"/>
      <c r="DU461" s="446"/>
      <c r="DV461" s="446"/>
      <c r="DW461" s="446"/>
      <c r="DX461" s="446"/>
      <c r="DY461" s="446"/>
      <c r="DZ461" s="283"/>
    </row>
    <row r="462" spans="2:130" s="223" customFormat="1" x14ac:dyDescent="0.2">
      <c r="B462" s="851"/>
      <c r="C462" s="851"/>
      <c r="D462" s="851"/>
      <c r="E462" s="820"/>
      <c r="F462" s="820"/>
      <c r="G462" s="853"/>
      <c r="H462" s="853"/>
      <c r="I462" s="853"/>
      <c r="J462" s="853"/>
      <c r="K462" s="853"/>
      <c r="L462" s="853"/>
      <c r="M462" s="853"/>
      <c r="N462" s="853"/>
      <c r="O462" s="853"/>
      <c r="P462" s="853"/>
      <c r="Q462" s="853"/>
      <c r="R462" s="853"/>
      <c r="S462" s="853"/>
      <c r="T462" s="853"/>
      <c r="U462" s="853"/>
      <c r="V462" s="853"/>
      <c r="W462" s="853"/>
      <c r="X462" s="853"/>
      <c r="Y462" s="853"/>
      <c r="Z462" s="853"/>
      <c r="AA462" s="853"/>
      <c r="AB462" s="853"/>
      <c r="AC462" s="853"/>
      <c r="AD462" s="853"/>
      <c r="AE462" s="853"/>
      <c r="AF462" s="853"/>
      <c r="AG462" s="853"/>
      <c r="AH462" s="446"/>
      <c r="AI462" s="446"/>
      <c r="AJ462" s="446"/>
      <c r="AK462" s="446"/>
      <c r="AL462" s="446"/>
      <c r="AM462" s="446"/>
      <c r="AN462" s="446"/>
      <c r="AO462" s="446"/>
      <c r="AP462" s="446"/>
      <c r="AQ462" s="446"/>
      <c r="AR462" s="446"/>
      <c r="AS462" s="446"/>
      <c r="AT462" s="446"/>
      <c r="AU462" s="446"/>
      <c r="AV462" s="446"/>
      <c r="AW462" s="446"/>
      <c r="AX462" s="446"/>
      <c r="AY462" s="446"/>
      <c r="AZ462" s="446"/>
      <c r="BA462" s="446"/>
      <c r="BB462" s="446"/>
      <c r="BC462" s="446"/>
      <c r="BD462" s="446"/>
      <c r="BE462" s="446"/>
      <c r="BF462" s="446"/>
      <c r="BG462" s="446"/>
      <c r="BH462" s="446"/>
      <c r="BI462" s="446"/>
      <c r="BJ462" s="446"/>
      <c r="BK462" s="446"/>
      <c r="BL462" s="446"/>
      <c r="BM462" s="446"/>
      <c r="BN462" s="446"/>
      <c r="BO462" s="446"/>
      <c r="BP462" s="446"/>
      <c r="BQ462" s="446"/>
      <c r="BR462" s="446"/>
      <c r="BS462" s="446"/>
      <c r="BT462" s="446"/>
      <c r="BU462" s="562"/>
      <c r="BV462" s="446"/>
      <c r="BW462" s="446"/>
      <c r="BX462" s="446"/>
      <c r="BY462" s="446"/>
      <c r="BZ462" s="446"/>
      <c r="CA462" s="446"/>
      <c r="CB462" s="446"/>
      <c r="CC462" s="446"/>
      <c r="CD462" s="446"/>
      <c r="CE462" s="446"/>
      <c r="CF462" s="446"/>
      <c r="CG462" s="446"/>
      <c r="CH462" s="446"/>
      <c r="CI462" s="446"/>
      <c r="CJ462" s="446"/>
      <c r="CK462" s="446"/>
      <c r="CL462" s="446"/>
      <c r="CM462" s="446"/>
      <c r="CN462" s="446"/>
      <c r="CO462" s="446"/>
      <c r="CP462" s="446"/>
      <c r="CQ462" s="446"/>
      <c r="CR462" s="446"/>
      <c r="CS462" s="446"/>
      <c r="CT462" s="446"/>
      <c r="CU462" s="446"/>
      <c r="CV462" s="446"/>
      <c r="CW462" s="851"/>
      <c r="CX462" s="446"/>
      <c r="CY462" s="446"/>
      <c r="CZ462" s="446"/>
      <c r="DA462" s="446"/>
      <c r="DB462" s="446"/>
      <c r="DC462" s="446"/>
      <c r="DD462" s="446"/>
      <c r="DE462" s="446"/>
      <c r="DF462" s="446"/>
      <c r="DG462" s="446"/>
      <c r="DH462" s="446"/>
      <c r="DI462" s="446"/>
      <c r="DJ462" s="446"/>
      <c r="DK462" s="446"/>
      <c r="DL462" s="446"/>
      <c r="DM462" s="446"/>
      <c r="DN462" s="446"/>
      <c r="DO462" s="446"/>
      <c r="DP462" s="446"/>
      <c r="DQ462" s="446"/>
      <c r="DR462" s="446"/>
      <c r="DS462" s="446"/>
      <c r="DT462" s="446"/>
      <c r="DU462" s="446"/>
      <c r="DV462" s="446"/>
      <c r="DW462" s="446"/>
      <c r="DX462" s="446"/>
      <c r="DY462" s="446"/>
      <c r="DZ462" s="283"/>
    </row>
    <row r="463" spans="2:130" s="223" customFormat="1" x14ac:dyDescent="0.2">
      <c r="B463" s="851"/>
      <c r="C463" s="851"/>
      <c r="D463" s="851"/>
      <c r="E463" s="820"/>
      <c r="F463" s="820"/>
      <c r="G463" s="853"/>
      <c r="H463" s="853"/>
      <c r="I463" s="853"/>
      <c r="J463" s="853"/>
      <c r="K463" s="853"/>
      <c r="L463" s="853"/>
      <c r="M463" s="853"/>
      <c r="N463" s="853"/>
      <c r="O463" s="853"/>
      <c r="P463" s="853"/>
      <c r="Q463" s="853"/>
      <c r="R463" s="853"/>
      <c r="S463" s="853"/>
      <c r="T463" s="853"/>
      <c r="U463" s="853"/>
      <c r="V463" s="853"/>
      <c r="W463" s="853"/>
      <c r="X463" s="853"/>
      <c r="Y463" s="853"/>
      <c r="Z463" s="853"/>
      <c r="AA463" s="853"/>
      <c r="AB463" s="853"/>
      <c r="AC463" s="853"/>
      <c r="AD463" s="853"/>
      <c r="AE463" s="853"/>
      <c r="AF463" s="853"/>
      <c r="AG463" s="853"/>
      <c r="AH463" s="446"/>
      <c r="AI463" s="446"/>
      <c r="AJ463" s="446"/>
      <c r="AK463" s="446"/>
      <c r="AL463" s="446"/>
      <c r="AM463" s="446"/>
      <c r="AN463" s="446"/>
      <c r="AO463" s="446"/>
      <c r="AP463" s="446"/>
      <c r="AQ463" s="446"/>
      <c r="AR463" s="446"/>
      <c r="AS463" s="446"/>
      <c r="AT463" s="446"/>
      <c r="AU463" s="446"/>
      <c r="AV463" s="446"/>
      <c r="AW463" s="446"/>
      <c r="AX463" s="446"/>
      <c r="AY463" s="446"/>
      <c r="AZ463" s="446"/>
      <c r="BA463" s="446"/>
      <c r="BB463" s="446"/>
      <c r="BC463" s="446"/>
      <c r="BD463" s="446"/>
      <c r="BE463" s="446"/>
      <c r="BF463" s="446"/>
      <c r="BG463" s="446"/>
      <c r="BH463" s="446"/>
      <c r="BI463" s="446"/>
      <c r="BJ463" s="446"/>
      <c r="BK463" s="446"/>
      <c r="BL463" s="446"/>
      <c r="BM463" s="446"/>
      <c r="BN463" s="446"/>
      <c r="BO463" s="446"/>
      <c r="BP463" s="446"/>
      <c r="BQ463" s="446"/>
      <c r="BR463" s="446"/>
      <c r="BS463" s="446"/>
      <c r="BT463" s="446"/>
      <c r="BU463" s="562"/>
      <c r="BV463" s="446"/>
      <c r="BW463" s="446"/>
      <c r="BX463" s="446"/>
      <c r="BY463" s="446"/>
      <c r="BZ463" s="446"/>
      <c r="CA463" s="446"/>
      <c r="CB463" s="446"/>
      <c r="CC463" s="446"/>
      <c r="CD463" s="446"/>
      <c r="CE463" s="446"/>
      <c r="CF463" s="446"/>
      <c r="CG463" s="446"/>
      <c r="CH463" s="446"/>
      <c r="CI463" s="446"/>
      <c r="CJ463" s="446"/>
      <c r="CK463" s="446"/>
      <c r="CL463" s="446"/>
      <c r="CM463" s="446"/>
      <c r="CN463" s="446"/>
      <c r="CO463" s="446"/>
      <c r="CP463" s="446"/>
      <c r="CQ463" s="446"/>
      <c r="CR463" s="446"/>
      <c r="CS463" s="446"/>
      <c r="CT463" s="446"/>
      <c r="CU463" s="446"/>
      <c r="CV463" s="446"/>
      <c r="CW463" s="851"/>
      <c r="CX463" s="446"/>
      <c r="CY463" s="446"/>
      <c r="CZ463" s="446"/>
      <c r="DA463" s="446"/>
      <c r="DB463" s="446"/>
      <c r="DC463" s="446"/>
      <c r="DD463" s="446"/>
      <c r="DE463" s="446"/>
      <c r="DF463" s="446"/>
      <c r="DG463" s="446"/>
      <c r="DH463" s="446"/>
      <c r="DI463" s="446"/>
      <c r="DJ463" s="446"/>
      <c r="DK463" s="446"/>
      <c r="DL463" s="446"/>
      <c r="DM463" s="446"/>
      <c r="DN463" s="446"/>
      <c r="DO463" s="446"/>
      <c r="DP463" s="446"/>
      <c r="DQ463" s="446"/>
      <c r="DR463" s="446"/>
      <c r="DS463" s="446"/>
      <c r="DT463" s="446"/>
      <c r="DU463" s="446"/>
      <c r="DV463" s="446"/>
      <c r="DW463" s="446"/>
      <c r="DX463" s="446"/>
      <c r="DY463" s="446"/>
      <c r="DZ463" s="283"/>
    </row>
    <row r="464" spans="2:130" s="223" customFormat="1" x14ac:dyDescent="0.2">
      <c r="B464" s="851"/>
      <c r="C464" s="851"/>
      <c r="D464" s="851"/>
      <c r="E464" s="820"/>
      <c r="F464" s="820"/>
      <c r="G464" s="853"/>
      <c r="H464" s="853"/>
      <c r="I464" s="853"/>
      <c r="J464" s="853"/>
      <c r="K464" s="853"/>
      <c r="L464" s="853"/>
      <c r="M464" s="853"/>
      <c r="N464" s="853"/>
      <c r="O464" s="853"/>
      <c r="P464" s="853"/>
      <c r="Q464" s="853"/>
      <c r="R464" s="853"/>
      <c r="S464" s="853"/>
      <c r="T464" s="853"/>
      <c r="U464" s="853"/>
      <c r="V464" s="853"/>
      <c r="W464" s="853"/>
      <c r="X464" s="853"/>
      <c r="Y464" s="853"/>
      <c r="Z464" s="853"/>
      <c r="AA464" s="853"/>
      <c r="AB464" s="853"/>
      <c r="AC464" s="853"/>
      <c r="AD464" s="853"/>
      <c r="AE464" s="853"/>
      <c r="AF464" s="853"/>
      <c r="AG464" s="853"/>
      <c r="AH464" s="446"/>
      <c r="AI464" s="446"/>
      <c r="AJ464" s="446"/>
      <c r="AK464" s="446"/>
      <c r="AL464" s="446"/>
      <c r="AM464" s="446"/>
      <c r="AN464" s="446"/>
      <c r="AO464" s="446"/>
      <c r="AP464" s="446"/>
      <c r="AQ464" s="446"/>
      <c r="AR464" s="446"/>
      <c r="AS464" s="446"/>
      <c r="AT464" s="446"/>
      <c r="AU464" s="446"/>
      <c r="AV464" s="446"/>
      <c r="AW464" s="446"/>
      <c r="AX464" s="446"/>
      <c r="AY464" s="446"/>
      <c r="AZ464" s="446"/>
      <c r="BA464" s="446"/>
      <c r="BB464" s="446"/>
      <c r="BC464" s="446"/>
      <c r="BD464" s="446"/>
      <c r="BE464" s="446"/>
      <c r="BF464" s="446"/>
      <c r="BG464" s="446"/>
      <c r="BH464" s="446"/>
      <c r="BI464" s="446"/>
      <c r="BJ464" s="446"/>
      <c r="BK464" s="446"/>
      <c r="BL464" s="446"/>
      <c r="BM464" s="446"/>
      <c r="BN464" s="446"/>
      <c r="BO464" s="446"/>
      <c r="BP464" s="446"/>
      <c r="BQ464" s="446"/>
      <c r="BR464" s="446"/>
      <c r="BS464" s="446"/>
      <c r="BT464" s="446"/>
      <c r="BU464" s="562"/>
      <c r="BV464" s="446"/>
      <c r="BW464" s="446"/>
      <c r="BX464" s="446"/>
      <c r="BY464" s="446"/>
      <c r="BZ464" s="446"/>
      <c r="CA464" s="446"/>
      <c r="CB464" s="446"/>
      <c r="CC464" s="446"/>
      <c r="CD464" s="446"/>
      <c r="CE464" s="446"/>
      <c r="CF464" s="446"/>
      <c r="CG464" s="446"/>
      <c r="CH464" s="446"/>
      <c r="CI464" s="446"/>
      <c r="CJ464" s="446"/>
      <c r="CK464" s="446"/>
      <c r="CL464" s="446"/>
      <c r="CM464" s="446"/>
      <c r="CN464" s="446"/>
      <c r="CO464" s="446"/>
      <c r="CP464" s="446"/>
      <c r="CQ464" s="446"/>
      <c r="CR464" s="446"/>
      <c r="CS464" s="446"/>
      <c r="CT464" s="446"/>
      <c r="CU464" s="446"/>
      <c r="CV464" s="446"/>
      <c r="CW464" s="851"/>
      <c r="CX464" s="446"/>
      <c r="CY464" s="446"/>
      <c r="CZ464" s="446"/>
      <c r="DA464" s="446"/>
      <c r="DB464" s="446"/>
      <c r="DC464" s="446"/>
      <c r="DD464" s="446"/>
      <c r="DE464" s="446"/>
      <c r="DF464" s="446"/>
      <c r="DG464" s="446"/>
      <c r="DH464" s="446"/>
      <c r="DI464" s="446"/>
      <c r="DJ464" s="446"/>
      <c r="DK464" s="446"/>
      <c r="DL464" s="446"/>
      <c r="DM464" s="446"/>
      <c r="DN464" s="446"/>
      <c r="DO464" s="446"/>
      <c r="DP464" s="446"/>
      <c r="DQ464" s="446"/>
      <c r="DR464" s="446"/>
      <c r="DS464" s="446"/>
      <c r="DT464" s="446"/>
      <c r="DU464" s="446"/>
      <c r="DV464" s="446"/>
      <c r="DW464" s="446"/>
      <c r="DX464" s="446"/>
      <c r="DY464" s="446"/>
      <c r="DZ464" s="283"/>
    </row>
    <row r="465" spans="2:130" s="223" customFormat="1" x14ac:dyDescent="0.2">
      <c r="B465" s="851"/>
      <c r="C465" s="851"/>
      <c r="D465" s="851"/>
      <c r="E465" s="820"/>
      <c r="F465" s="820"/>
      <c r="G465" s="853"/>
      <c r="H465" s="853"/>
      <c r="I465" s="853"/>
      <c r="J465" s="853"/>
      <c r="K465" s="853"/>
      <c r="L465" s="853"/>
      <c r="M465" s="853"/>
      <c r="N465" s="853"/>
      <c r="O465" s="853"/>
      <c r="P465" s="853"/>
      <c r="Q465" s="853"/>
      <c r="R465" s="853"/>
      <c r="S465" s="853"/>
      <c r="T465" s="853"/>
      <c r="U465" s="853"/>
      <c r="V465" s="853"/>
      <c r="W465" s="853"/>
      <c r="X465" s="853"/>
      <c r="Y465" s="853"/>
      <c r="Z465" s="853"/>
      <c r="AA465" s="853"/>
      <c r="AB465" s="853"/>
      <c r="AC465" s="853"/>
      <c r="AD465" s="853"/>
      <c r="AE465" s="853"/>
      <c r="AF465" s="853"/>
      <c r="AG465" s="853"/>
      <c r="AH465" s="446"/>
      <c r="AI465" s="446"/>
      <c r="AJ465" s="446"/>
      <c r="AK465" s="446"/>
      <c r="AL465" s="446"/>
      <c r="AM465" s="446"/>
      <c r="AN465" s="446"/>
      <c r="AO465" s="446"/>
      <c r="AP465" s="446"/>
      <c r="AQ465" s="446"/>
      <c r="AR465" s="446"/>
      <c r="AS465" s="446"/>
      <c r="AT465" s="446"/>
      <c r="AU465" s="446"/>
      <c r="AV465" s="446"/>
      <c r="AW465" s="446"/>
      <c r="AX465" s="446"/>
      <c r="AY465" s="446"/>
      <c r="AZ465" s="446"/>
      <c r="BA465" s="446"/>
      <c r="BB465" s="446"/>
      <c r="BC465" s="446"/>
      <c r="BD465" s="446"/>
      <c r="BE465" s="446"/>
      <c r="BF465" s="446"/>
      <c r="BG465" s="446"/>
      <c r="BH465" s="446"/>
      <c r="BI465" s="446"/>
      <c r="BJ465" s="446"/>
      <c r="BK465" s="446"/>
      <c r="BL465" s="446"/>
      <c r="BM465" s="446"/>
      <c r="BN465" s="446"/>
      <c r="BO465" s="446"/>
      <c r="BP465" s="446"/>
      <c r="BQ465" s="446"/>
      <c r="BR465" s="446"/>
      <c r="BS465" s="446"/>
      <c r="BT465" s="446"/>
      <c r="BU465" s="562"/>
      <c r="BV465" s="446"/>
      <c r="BW465" s="446"/>
      <c r="BX465" s="446"/>
      <c r="BY465" s="446"/>
      <c r="BZ465" s="446"/>
      <c r="CA465" s="446"/>
      <c r="CB465" s="446"/>
      <c r="CC465" s="446"/>
      <c r="CD465" s="446"/>
      <c r="CE465" s="446"/>
      <c r="CF465" s="446"/>
      <c r="CG465" s="446"/>
      <c r="CH465" s="446"/>
      <c r="CI465" s="446"/>
      <c r="CJ465" s="446"/>
      <c r="CK465" s="446"/>
      <c r="CL465" s="446"/>
      <c r="CM465" s="446"/>
      <c r="CN465" s="446"/>
      <c r="CO465" s="446"/>
      <c r="CP465" s="446"/>
      <c r="CQ465" s="446"/>
      <c r="CR465" s="446"/>
      <c r="CS465" s="446"/>
      <c r="CT465" s="446"/>
      <c r="CU465" s="446"/>
      <c r="CV465" s="446"/>
      <c r="CW465" s="851"/>
      <c r="CX465" s="446"/>
      <c r="CY465" s="446"/>
      <c r="CZ465" s="446"/>
      <c r="DA465" s="446"/>
      <c r="DB465" s="446"/>
      <c r="DC465" s="446"/>
      <c r="DD465" s="446"/>
      <c r="DE465" s="446"/>
      <c r="DF465" s="446"/>
      <c r="DG465" s="446"/>
      <c r="DH465" s="446"/>
      <c r="DI465" s="446"/>
      <c r="DJ465" s="446"/>
      <c r="DK465" s="446"/>
      <c r="DL465" s="446"/>
      <c r="DM465" s="446"/>
      <c r="DN465" s="446"/>
      <c r="DO465" s="446"/>
      <c r="DP465" s="446"/>
      <c r="DQ465" s="446"/>
      <c r="DR465" s="446"/>
      <c r="DS465" s="446"/>
      <c r="DT465" s="446"/>
      <c r="DU465" s="446"/>
      <c r="DV465" s="446"/>
      <c r="DW465" s="446"/>
      <c r="DX465" s="446"/>
      <c r="DY465" s="446"/>
      <c r="DZ465" s="283"/>
    </row>
    <row r="466" spans="2:130" s="223" customFormat="1" x14ac:dyDescent="0.2">
      <c r="B466" s="851"/>
      <c r="C466" s="851"/>
      <c r="D466" s="851"/>
      <c r="E466" s="820"/>
      <c r="F466" s="820"/>
      <c r="G466" s="853"/>
      <c r="H466" s="853"/>
      <c r="I466" s="853"/>
      <c r="J466" s="853"/>
      <c r="K466" s="853"/>
      <c r="L466" s="853"/>
      <c r="M466" s="853"/>
      <c r="N466" s="853"/>
      <c r="O466" s="853"/>
      <c r="P466" s="853"/>
      <c r="Q466" s="853"/>
      <c r="R466" s="853"/>
      <c r="S466" s="853"/>
      <c r="T466" s="853"/>
      <c r="U466" s="853"/>
      <c r="V466" s="853"/>
      <c r="W466" s="853"/>
      <c r="X466" s="853"/>
      <c r="Y466" s="853"/>
      <c r="Z466" s="853"/>
      <c r="AA466" s="853"/>
      <c r="AB466" s="853"/>
      <c r="AC466" s="853"/>
      <c r="AD466" s="853"/>
      <c r="AE466" s="853"/>
      <c r="AF466" s="853"/>
      <c r="AG466" s="853"/>
      <c r="AH466" s="446"/>
      <c r="AI466" s="446"/>
      <c r="AJ466" s="446"/>
      <c r="AK466" s="446"/>
      <c r="AL466" s="446"/>
      <c r="AM466" s="446"/>
      <c r="AN466" s="446"/>
      <c r="AO466" s="446"/>
      <c r="AP466" s="446"/>
      <c r="AQ466" s="446"/>
      <c r="AR466" s="446"/>
      <c r="AS466" s="446"/>
      <c r="AT466" s="446"/>
      <c r="AU466" s="446"/>
      <c r="AV466" s="446"/>
      <c r="AW466" s="446"/>
      <c r="AX466" s="446"/>
      <c r="AY466" s="446"/>
      <c r="AZ466" s="446"/>
      <c r="BA466" s="446"/>
      <c r="BB466" s="446"/>
      <c r="BC466" s="446"/>
      <c r="BD466" s="446"/>
      <c r="BE466" s="446"/>
      <c r="BF466" s="446"/>
      <c r="BG466" s="446"/>
      <c r="BH466" s="446"/>
      <c r="BI466" s="446"/>
      <c r="BJ466" s="446"/>
      <c r="BK466" s="446"/>
      <c r="BL466" s="446"/>
      <c r="BM466" s="446"/>
      <c r="BN466" s="446"/>
      <c r="BO466" s="446"/>
      <c r="BP466" s="446"/>
      <c r="BQ466" s="446"/>
      <c r="BR466" s="446"/>
      <c r="BS466" s="446"/>
      <c r="BT466" s="446"/>
      <c r="BU466" s="562"/>
      <c r="BV466" s="446"/>
      <c r="BW466" s="446"/>
      <c r="BX466" s="446"/>
      <c r="BY466" s="446"/>
      <c r="BZ466" s="446"/>
      <c r="CA466" s="446"/>
      <c r="CB466" s="446"/>
      <c r="CC466" s="446"/>
      <c r="CD466" s="446"/>
      <c r="CE466" s="446"/>
      <c r="CF466" s="446"/>
      <c r="CG466" s="446"/>
      <c r="CH466" s="446"/>
      <c r="CI466" s="446"/>
      <c r="CJ466" s="446"/>
      <c r="CK466" s="446"/>
      <c r="CL466" s="446"/>
      <c r="CM466" s="446"/>
      <c r="CN466" s="446"/>
      <c r="CO466" s="446"/>
      <c r="CP466" s="446"/>
      <c r="CQ466" s="446"/>
      <c r="CR466" s="446"/>
      <c r="CS466" s="446"/>
      <c r="CT466" s="446"/>
      <c r="CU466" s="446"/>
      <c r="CV466" s="446"/>
      <c r="CW466" s="851"/>
      <c r="CX466" s="446"/>
      <c r="CY466" s="446"/>
      <c r="CZ466" s="446"/>
      <c r="DA466" s="446"/>
      <c r="DB466" s="446"/>
      <c r="DC466" s="446"/>
      <c r="DD466" s="446"/>
      <c r="DE466" s="446"/>
      <c r="DF466" s="446"/>
      <c r="DG466" s="446"/>
      <c r="DH466" s="446"/>
      <c r="DI466" s="446"/>
      <c r="DJ466" s="446"/>
      <c r="DK466" s="446"/>
      <c r="DL466" s="446"/>
      <c r="DM466" s="446"/>
      <c r="DN466" s="446"/>
      <c r="DO466" s="446"/>
      <c r="DP466" s="446"/>
      <c r="DQ466" s="446"/>
      <c r="DR466" s="446"/>
      <c r="DS466" s="446"/>
      <c r="DT466" s="446"/>
      <c r="DU466" s="446"/>
      <c r="DV466" s="446"/>
      <c r="DW466" s="446"/>
      <c r="DX466" s="446"/>
      <c r="DY466" s="446"/>
      <c r="DZ466" s="283"/>
    </row>
    <row r="467" spans="2:130" s="223" customFormat="1" x14ac:dyDescent="0.2">
      <c r="B467" s="851"/>
      <c r="C467" s="851"/>
      <c r="D467" s="851"/>
      <c r="E467" s="820"/>
      <c r="F467" s="820"/>
      <c r="G467" s="853"/>
      <c r="H467" s="853"/>
      <c r="I467" s="853"/>
      <c r="J467" s="853"/>
      <c r="K467" s="853"/>
      <c r="L467" s="853"/>
      <c r="M467" s="853"/>
      <c r="N467" s="853"/>
      <c r="O467" s="853"/>
      <c r="P467" s="853"/>
      <c r="Q467" s="853"/>
      <c r="R467" s="853"/>
      <c r="S467" s="853"/>
      <c r="T467" s="853"/>
      <c r="U467" s="853"/>
      <c r="V467" s="853"/>
      <c r="W467" s="853"/>
      <c r="X467" s="853"/>
      <c r="Y467" s="853"/>
      <c r="Z467" s="853"/>
      <c r="AA467" s="853"/>
      <c r="AB467" s="853"/>
      <c r="AC467" s="853"/>
      <c r="AD467" s="853"/>
      <c r="AE467" s="853"/>
      <c r="AF467" s="853"/>
      <c r="AG467" s="853"/>
      <c r="AH467" s="446"/>
      <c r="AI467" s="446"/>
      <c r="AJ467" s="446"/>
      <c r="AK467" s="446"/>
      <c r="AL467" s="446"/>
      <c r="AM467" s="446"/>
      <c r="AN467" s="446"/>
      <c r="AO467" s="446"/>
      <c r="AP467" s="446"/>
      <c r="AQ467" s="446"/>
      <c r="AR467" s="446"/>
      <c r="AS467" s="446"/>
      <c r="AT467" s="446"/>
      <c r="AU467" s="446"/>
      <c r="AV467" s="446"/>
      <c r="AW467" s="446"/>
      <c r="AX467" s="446"/>
      <c r="AY467" s="446"/>
      <c r="AZ467" s="446"/>
      <c r="BA467" s="446"/>
      <c r="BB467" s="446"/>
      <c r="BC467" s="446"/>
      <c r="BD467" s="446"/>
      <c r="BE467" s="446"/>
      <c r="BF467" s="446"/>
      <c r="BG467" s="446"/>
      <c r="BH467" s="446"/>
      <c r="BI467" s="446"/>
      <c r="BJ467" s="446"/>
      <c r="BK467" s="446"/>
      <c r="BL467" s="446"/>
      <c r="BM467" s="446"/>
      <c r="BN467" s="446"/>
      <c r="BO467" s="446"/>
      <c r="BP467" s="446"/>
      <c r="BQ467" s="446"/>
      <c r="BR467" s="446"/>
      <c r="BS467" s="446"/>
      <c r="BT467" s="446"/>
      <c r="BU467" s="562"/>
      <c r="BV467" s="446"/>
      <c r="BW467" s="446"/>
      <c r="BX467" s="446"/>
      <c r="BY467" s="446"/>
      <c r="BZ467" s="446"/>
      <c r="CA467" s="446"/>
      <c r="CB467" s="446"/>
      <c r="CC467" s="446"/>
      <c r="CD467" s="446"/>
      <c r="CE467" s="446"/>
      <c r="CF467" s="446"/>
      <c r="CG467" s="446"/>
      <c r="CH467" s="446"/>
      <c r="CI467" s="446"/>
      <c r="CJ467" s="446"/>
      <c r="CK467" s="446"/>
      <c r="CL467" s="446"/>
      <c r="CM467" s="446"/>
      <c r="CN467" s="446"/>
      <c r="CO467" s="446"/>
      <c r="CP467" s="446"/>
      <c r="CQ467" s="446"/>
      <c r="CR467" s="446"/>
      <c r="CS467" s="446"/>
      <c r="CT467" s="446"/>
      <c r="CU467" s="446"/>
      <c r="CV467" s="446"/>
      <c r="CW467" s="851"/>
      <c r="CX467" s="446"/>
      <c r="CY467" s="446"/>
      <c r="CZ467" s="446"/>
      <c r="DA467" s="446"/>
      <c r="DB467" s="446"/>
      <c r="DC467" s="446"/>
      <c r="DD467" s="446"/>
      <c r="DE467" s="446"/>
      <c r="DF467" s="446"/>
      <c r="DG467" s="446"/>
      <c r="DH467" s="446"/>
      <c r="DI467" s="446"/>
      <c r="DJ467" s="446"/>
      <c r="DK467" s="446"/>
      <c r="DL467" s="446"/>
      <c r="DM467" s="446"/>
      <c r="DN467" s="446"/>
      <c r="DO467" s="446"/>
      <c r="DP467" s="446"/>
      <c r="DQ467" s="446"/>
      <c r="DR467" s="446"/>
      <c r="DS467" s="446"/>
      <c r="DT467" s="446"/>
      <c r="DU467" s="446"/>
      <c r="DV467" s="446"/>
      <c r="DW467" s="446"/>
      <c r="DX467" s="446"/>
      <c r="DY467" s="446"/>
      <c r="DZ467" s="283"/>
    </row>
    <row r="468" spans="2:130" s="223" customFormat="1" x14ac:dyDescent="0.2">
      <c r="B468" s="851"/>
      <c r="C468" s="851"/>
      <c r="D468" s="851"/>
      <c r="E468" s="820"/>
      <c r="F468" s="820"/>
      <c r="G468" s="853"/>
      <c r="H468" s="853"/>
      <c r="I468" s="853"/>
      <c r="J468" s="853"/>
      <c r="K468" s="853"/>
      <c r="L468" s="853"/>
      <c r="M468" s="853"/>
      <c r="N468" s="853"/>
      <c r="O468" s="853"/>
      <c r="P468" s="853"/>
      <c r="Q468" s="853"/>
      <c r="R468" s="853"/>
      <c r="S468" s="853"/>
      <c r="T468" s="853"/>
      <c r="U468" s="853"/>
      <c r="V468" s="853"/>
      <c r="W468" s="853"/>
      <c r="X468" s="853"/>
      <c r="Y468" s="853"/>
      <c r="Z468" s="853"/>
      <c r="AA468" s="853"/>
      <c r="AB468" s="853"/>
      <c r="AC468" s="853"/>
      <c r="AD468" s="853"/>
      <c r="AE468" s="853"/>
      <c r="AF468" s="853"/>
      <c r="AG468" s="853"/>
      <c r="AH468" s="446"/>
      <c r="AI468" s="446"/>
      <c r="AJ468" s="446"/>
      <c r="AK468" s="446"/>
      <c r="AL468" s="446"/>
      <c r="AM468" s="446"/>
      <c r="AN468" s="446"/>
      <c r="AO468" s="446"/>
      <c r="AP468" s="446"/>
      <c r="AQ468" s="446"/>
      <c r="AR468" s="446"/>
      <c r="AS468" s="446"/>
      <c r="AT468" s="446"/>
      <c r="AU468" s="446"/>
      <c r="AV468" s="446"/>
      <c r="AW468" s="446"/>
      <c r="AX468" s="446"/>
      <c r="AY468" s="446"/>
      <c r="AZ468" s="446"/>
      <c r="BA468" s="446"/>
      <c r="BB468" s="446"/>
      <c r="BC468" s="446"/>
      <c r="BD468" s="446"/>
      <c r="BE468" s="446"/>
      <c r="BF468" s="446"/>
      <c r="BG468" s="446"/>
      <c r="BH468" s="446"/>
      <c r="BI468" s="446"/>
      <c r="BJ468" s="446"/>
      <c r="BK468" s="446"/>
      <c r="BL468" s="446"/>
      <c r="BM468" s="446"/>
      <c r="BN468" s="446"/>
      <c r="BO468" s="446"/>
      <c r="BP468" s="446"/>
      <c r="BQ468" s="446"/>
      <c r="BR468" s="446"/>
      <c r="BS468" s="446"/>
      <c r="BT468" s="446"/>
      <c r="BU468" s="562"/>
      <c r="BV468" s="446"/>
      <c r="BW468" s="446"/>
      <c r="BX468" s="446"/>
      <c r="BY468" s="446"/>
      <c r="BZ468" s="446"/>
      <c r="CA468" s="446"/>
      <c r="CB468" s="446"/>
      <c r="CC468" s="446"/>
      <c r="CD468" s="446"/>
      <c r="CE468" s="446"/>
      <c r="CF468" s="446"/>
      <c r="CG468" s="446"/>
      <c r="CH468" s="446"/>
      <c r="CI468" s="446"/>
      <c r="CJ468" s="446"/>
      <c r="CK468" s="446"/>
      <c r="CL468" s="446"/>
      <c r="CM468" s="446"/>
      <c r="CN468" s="446"/>
      <c r="CO468" s="446"/>
      <c r="CP468" s="446"/>
      <c r="CQ468" s="446"/>
      <c r="CR468" s="446"/>
      <c r="CS468" s="446"/>
      <c r="CT468" s="446"/>
      <c r="CU468" s="446"/>
      <c r="CV468" s="446"/>
      <c r="CW468" s="851"/>
      <c r="CX468" s="446"/>
      <c r="CY468" s="446"/>
      <c r="CZ468" s="446"/>
      <c r="DA468" s="446"/>
      <c r="DB468" s="446"/>
      <c r="DC468" s="446"/>
      <c r="DD468" s="446"/>
      <c r="DE468" s="446"/>
      <c r="DF468" s="446"/>
      <c r="DG468" s="446"/>
      <c r="DH468" s="446"/>
      <c r="DI468" s="446"/>
      <c r="DJ468" s="446"/>
      <c r="DK468" s="446"/>
      <c r="DL468" s="446"/>
      <c r="DM468" s="446"/>
      <c r="DN468" s="446"/>
      <c r="DO468" s="446"/>
      <c r="DP468" s="446"/>
      <c r="DQ468" s="446"/>
      <c r="DR468" s="446"/>
      <c r="DS468" s="446"/>
      <c r="DT468" s="446"/>
      <c r="DU468" s="446"/>
      <c r="DV468" s="446"/>
      <c r="DW468" s="446"/>
      <c r="DX468" s="446"/>
      <c r="DY468" s="446"/>
      <c r="DZ468" s="283"/>
    </row>
    <row r="469" spans="2:130" s="223" customFormat="1" x14ac:dyDescent="0.2">
      <c r="B469" s="851"/>
      <c r="C469" s="851"/>
      <c r="D469" s="851"/>
      <c r="E469" s="820"/>
      <c r="F469" s="820"/>
      <c r="G469" s="853"/>
      <c r="H469" s="853"/>
      <c r="I469" s="853"/>
      <c r="J469" s="853"/>
      <c r="K469" s="853"/>
      <c r="L469" s="853"/>
      <c r="M469" s="853"/>
      <c r="N469" s="853"/>
      <c r="O469" s="853"/>
      <c r="P469" s="853"/>
      <c r="Q469" s="853"/>
      <c r="R469" s="853"/>
      <c r="S469" s="853"/>
      <c r="T469" s="853"/>
      <c r="U469" s="853"/>
      <c r="V469" s="853"/>
      <c r="W469" s="853"/>
      <c r="X469" s="853"/>
      <c r="Y469" s="853"/>
      <c r="Z469" s="853"/>
      <c r="AA469" s="853"/>
      <c r="AB469" s="853"/>
      <c r="AC469" s="853"/>
      <c r="AD469" s="853"/>
      <c r="AE469" s="853"/>
      <c r="AF469" s="853"/>
      <c r="AG469" s="853"/>
      <c r="AH469" s="446"/>
      <c r="AI469" s="446"/>
      <c r="AJ469" s="446"/>
      <c r="AK469" s="446"/>
      <c r="AL469" s="446"/>
      <c r="AM469" s="446"/>
      <c r="AN469" s="446"/>
      <c r="AO469" s="446"/>
      <c r="AP469" s="446"/>
      <c r="AQ469" s="446"/>
      <c r="AR469" s="446"/>
      <c r="AS469" s="446"/>
      <c r="AT469" s="446"/>
      <c r="AU469" s="446"/>
      <c r="AV469" s="446"/>
      <c r="AW469" s="446"/>
      <c r="AX469" s="446"/>
      <c r="AY469" s="446"/>
      <c r="AZ469" s="446"/>
      <c r="BA469" s="446"/>
      <c r="BB469" s="446"/>
      <c r="BC469" s="446"/>
      <c r="BD469" s="446"/>
      <c r="BE469" s="446"/>
      <c r="BF469" s="446"/>
      <c r="BG469" s="446"/>
      <c r="BH469" s="446"/>
      <c r="BI469" s="446"/>
      <c r="BJ469" s="446"/>
      <c r="BK469" s="446"/>
      <c r="BL469" s="446"/>
      <c r="BM469" s="446"/>
      <c r="BN469" s="446"/>
      <c r="BO469" s="446"/>
      <c r="BP469" s="446"/>
      <c r="BQ469" s="446"/>
      <c r="BR469" s="446"/>
      <c r="BS469" s="446"/>
      <c r="BT469" s="446"/>
      <c r="BU469" s="562"/>
      <c r="BV469" s="446"/>
      <c r="BW469" s="446"/>
      <c r="BX469" s="446"/>
      <c r="BY469" s="446"/>
      <c r="BZ469" s="446"/>
      <c r="CA469" s="446"/>
      <c r="CB469" s="446"/>
      <c r="CC469" s="446"/>
      <c r="CD469" s="446"/>
      <c r="CE469" s="446"/>
      <c r="CF469" s="446"/>
      <c r="CG469" s="446"/>
      <c r="CH469" s="446"/>
      <c r="CI469" s="446"/>
      <c r="CJ469" s="446"/>
      <c r="CK469" s="446"/>
      <c r="CL469" s="446"/>
      <c r="CM469" s="446"/>
      <c r="CN469" s="446"/>
      <c r="CO469" s="446"/>
      <c r="CP469" s="446"/>
      <c r="CQ469" s="446"/>
      <c r="CR469" s="446"/>
      <c r="CS469" s="446"/>
      <c r="CT469" s="446"/>
      <c r="CU469" s="446"/>
      <c r="CV469" s="446"/>
      <c r="CW469" s="851"/>
      <c r="CX469" s="446"/>
      <c r="CY469" s="446"/>
      <c r="CZ469" s="446"/>
      <c r="DA469" s="446"/>
      <c r="DB469" s="446"/>
      <c r="DC469" s="446"/>
      <c r="DD469" s="446"/>
      <c r="DE469" s="446"/>
      <c r="DF469" s="446"/>
      <c r="DG469" s="446"/>
      <c r="DH469" s="446"/>
      <c r="DI469" s="446"/>
      <c r="DJ469" s="446"/>
      <c r="DK469" s="446"/>
      <c r="DL469" s="446"/>
      <c r="DM469" s="446"/>
      <c r="DN469" s="446"/>
      <c r="DO469" s="446"/>
      <c r="DP469" s="446"/>
      <c r="DQ469" s="446"/>
      <c r="DR469" s="446"/>
      <c r="DS469" s="446"/>
      <c r="DT469" s="446"/>
      <c r="DU469" s="446"/>
      <c r="DV469" s="446"/>
      <c r="DW469" s="446"/>
      <c r="DX469" s="446"/>
      <c r="DY469" s="446"/>
      <c r="DZ469" s="283"/>
    </row>
    <row r="470" spans="2:130" s="223" customFormat="1" x14ac:dyDescent="0.2">
      <c r="B470" s="851"/>
      <c r="C470" s="851"/>
      <c r="D470" s="851"/>
      <c r="E470" s="820"/>
      <c r="F470" s="820"/>
      <c r="G470" s="853"/>
      <c r="H470" s="853"/>
      <c r="I470" s="853"/>
      <c r="J470" s="853"/>
      <c r="K470" s="853"/>
      <c r="L470" s="853"/>
      <c r="M470" s="853"/>
      <c r="N470" s="853"/>
      <c r="O470" s="853"/>
      <c r="P470" s="853"/>
      <c r="Q470" s="853"/>
      <c r="R470" s="853"/>
      <c r="S470" s="853"/>
      <c r="T470" s="853"/>
      <c r="U470" s="853"/>
      <c r="V470" s="853"/>
      <c r="W470" s="853"/>
      <c r="X470" s="853"/>
      <c r="Y470" s="853"/>
      <c r="Z470" s="853"/>
      <c r="AA470" s="853"/>
      <c r="AB470" s="853"/>
      <c r="AC470" s="853"/>
      <c r="AD470" s="853"/>
      <c r="AE470" s="853"/>
      <c r="AF470" s="853"/>
      <c r="AG470" s="853"/>
      <c r="AH470" s="446"/>
      <c r="AI470" s="446"/>
      <c r="AJ470" s="446"/>
      <c r="AK470" s="446"/>
      <c r="AL470" s="446"/>
      <c r="AM470" s="446"/>
      <c r="AN470" s="446"/>
      <c r="AO470" s="446"/>
      <c r="AP470" s="446"/>
      <c r="AQ470" s="446"/>
      <c r="AR470" s="446"/>
      <c r="AS470" s="446"/>
      <c r="AT470" s="446"/>
      <c r="AU470" s="446"/>
      <c r="AV470" s="446"/>
      <c r="AW470" s="446"/>
      <c r="AX470" s="446"/>
      <c r="AY470" s="446"/>
      <c r="AZ470" s="446"/>
      <c r="BA470" s="446"/>
      <c r="BB470" s="446"/>
      <c r="BC470" s="446"/>
      <c r="BD470" s="446"/>
      <c r="BE470" s="446"/>
      <c r="BF470" s="446"/>
      <c r="BG470" s="446"/>
      <c r="BH470" s="446"/>
      <c r="BI470" s="446"/>
      <c r="BJ470" s="446"/>
      <c r="BK470" s="446"/>
      <c r="BL470" s="446"/>
      <c r="BM470" s="446"/>
      <c r="BN470" s="446"/>
      <c r="BO470" s="446"/>
      <c r="BP470" s="446"/>
      <c r="BQ470" s="446"/>
      <c r="BR470" s="446"/>
      <c r="BS470" s="446"/>
      <c r="BT470" s="446"/>
      <c r="BU470" s="562"/>
      <c r="BV470" s="446"/>
      <c r="BW470" s="446"/>
      <c r="BX470" s="446"/>
      <c r="BY470" s="446"/>
      <c r="BZ470" s="446"/>
      <c r="CA470" s="446"/>
      <c r="CB470" s="446"/>
      <c r="CC470" s="446"/>
      <c r="CD470" s="446"/>
      <c r="CE470" s="446"/>
      <c r="CF470" s="446"/>
      <c r="CG470" s="446"/>
      <c r="CH470" s="446"/>
      <c r="CI470" s="446"/>
      <c r="CJ470" s="446"/>
      <c r="CK470" s="446"/>
      <c r="CL470" s="446"/>
      <c r="CM470" s="446"/>
      <c r="CN470" s="446"/>
      <c r="CO470" s="446"/>
      <c r="CP470" s="446"/>
      <c r="CQ470" s="446"/>
      <c r="CR470" s="446"/>
      <c r="CS470" s="446"/>
      <c r="CT470" s="446"/>
      <c r="CU470" s="446"/>
      <c r="CV470" s="446"/>
      <c r="CW470" s="851"/>
      <c r="CX470" s="446"/>
      <c r="CY470" s="446"/>
      <c r="CZ470" s="446"/>
      <c r="DA470" s="446"/>
      <c r="DB470" s="446"/>
      <c r="DC470" s="446"/>
      <c r="DD470" s="446"/>
      <c r="DE470" s="446"/>
      <c r="DF470" s="446"/>
      <c r="DG470" s="446"/>
      <c r="DH470" s="446"/>
      <c r="DI470" s="446"/>
      <c r="DJ470" s="446"/>
      <c r="DK470" s="446"/>
      <c r="DL470" s="446"/>
      <c r="DM470" s="446"/>
      <c r="DN470" s="446"/>
      <c r="DO470" s="446"/>
      <c r="DP470" s="446"/>
      <c r="DQ470" s="446"/>
      <c r="DR470" s="446"/>
      <c r="DS470" s="446"/>
      <c r="DT470" s="446"/>
      <c r="DU470" s="446"/>
      <c r="DV470" s="446"/>
      <c r="DW470" s="446"/>
      <c r="DX470" s="446"/>
      <c r="DY470" s="446"/>
      <c r="DZ470" s="283"/>
    </row>
    <row r="471" spans="2:130" s="223" customFormat="1" x14ac:dyDescent="0.2">
      <c r="B471" s="851"/>
      <c r="C471" s="851"/>
      <c r="D471" s="851"/>
      <c r="E471" s="820"/>
      <c r="F471" s="820"/>
      <c r="G471" s="853"/>
      <c r="H471" s="853"/>
      <c r="I471" s="853"/>
      <c r="J471" s="853"/>
      <c r="K471" s="853"/>
      <c r="L471" s="853"/>
      <c r="M471" s="853"/>
      <c r="N471" s="853"/>
      <c r="O471" s="853"/>
      <c r="P471" s="853"/>
      <c r="Q471" s="853"/>
      <c r="R471" s="853"/>
      <c r="S471" s="853"/>
      <c r="T471" s="853"/>
      <c r="U471" s="853"/>
      <c r="V471" s="853"/>
      <c r="W471" s="853"/>
      <c r="X471" s="853"/>
      <c r="Y471" s="853"/>
      <c r="Z471" s="853"/>
      <c r="AA471" s="853"/>
      <c r="AB471" s="853"/>
      <c r="AC471" s="853"/>
      <c r="AD471" s="853"/>
      <c r="AE471" s="853"/>
      <c r="AF471" s="853"/>
      <c r="AG471" s="853"/>
      <c r="AH471" s="446"/>
      <c r="AI471" s="446"/>
      <c r="AJ471" s="446"/>
      <c r="AK471" s="446"/>
      <c r="AL471" s="446"/>
      <c r="AM471" s="446"/>
      <c r="AN471" s="446"/>
      <c r="AO471" s="446"/>
      <c r="AP471" s="446"/>
      <c r="AQ471" s="446"/>
      <c r="AR471" s="446"/>
      <c r="AS471" s="446"/>
      <c r="AT471" s="446"/>
      <c r="AU471" s="446"/>
      <c r="AV471" s="446"/>
      <c r="AW471" s="446"/>
      <c r="AX471" s="446"/>
      <c r="AY471" s="446"/>
      <c r="AZ471" s="446"/>
      <c r="BA471" s="446"/>
      <c r="BB471" s="446"/>
      <c r="BC471" s="446"/>
      <c r="BD471" s="446"/>
      <c r="BE471" s="446"/>
      <c r="BF471" s="446"/>
      <c r="BG471" s="446"/>
      <c r="BH471" s="446"/>
      <c r="BI471" s="446"/>
      <c r="BJ471" s="446"/>
      <c r="BK471" s="446"/>
      <c r="BL471" s="446"/>
      <c r="BM471" s="446"/>
      <c r="BN471" s="446"/>
      <c r="BO471" s="446"/>
      <c r="BP471" s="446"/>
      <c r="BQ471" s="446"/>
      <c r="BR471" s="446"/>
      <c r="BS471" s="446"/>
      <c r="BT471" s="446"/>
      <c r="BU471" s="562"/>
      <c r="BV471" s="446"/>
      <c r="BW471" s="446"/>
      <c r="BX471" s="446"/>
      <c r="BY471" s="446"/>
      <c r="BZ471" s="446"/>
      <c r="CA471" s="446"/>
      <c r="CB471" s="446"/>
      <c r="CC471" s="446"/>
      <c r="CD471" s="446"/>
      <c r="CE471" s="446"/>
      <c r="CF471" s="446"/>
      <c r="CG471" s="446"/>
      <c r="CH471" s="446"/>
      <c r="CI471" s="446"/>
      <c r="CJ471" s="446"/>
      <c r="CK471" s="446"/>
      <c r="CL471" s="446"/>
      <c r="CM471" s="446"/>
      <c r="CN471" s="446"/>
      <c r="CO471" s="446"/>
      <c r="CP471" s="446"/>
      <c r="CQ471" s="446"/>
      <c r="CR471" s="446"/>
      <c r="CS471" s="446"/>
      <c r="CT471" s="446"/>
      <c r="CU471" s="446"/>
      <c r="CV471" s="446"/>
      <c r="CW471" s="851"/>
      <c r="CX471" s="446"/>
      <c r="CY471" s="446"/>
      <c r="CZ471" s="446"/>
      <c r="DA471" s="446"/>
      <c r="DB471" s="446"/>
      <c r="DC471" s="446"/>
      <c r="DD471" s="446"/>
      <c r="DE471" s="446"/>
      <c r="DF471" s="446"/>
      <c r="DG471" s="446"/>
      <c r="DH471" s="446"/>
      <c r="DI471" s="446"/>
      <c r="DJ471" s="446"/>
      <c r="DK471" s="446"/>
      <c r="DL471" s="446"/>
      <c r="DM471" s="446"/>
      <c r="DN471" s="446"/>
      <c r="DO471" s="446"/>
      <c r="DP471" s="446"/>
      <c r="DQ471" s="446"/>
      <c r="DR471" s="446"/>
      <c r="DS471" s="446"/>
      <c r="DT471" s="446"/>
      <c r="DU471" s="446"/>
      <c r="DV471" s="446"/>
      <c r="DW471" s="446"/>
      <c r="DX471" s="446"/>
      <c r="DY471" s="446"/>
      <c r="DZ471" s="283"/>
    </row>
    <row r="472" spans="2:130" s="223" customFormat="1" x14ac:dyDescent="0.2">
      <c r="B472" s="851"/>
      <c r="C472" s="851"/>
      <c r="D472" s="851"/>
      <c r="E472" s="820"/>
      <c r="F472" s="820"/>
      <c r="G472" s="853"/>
      <c r="H472" s="853"/>
      <c r="I472" s="853"/>
      <c r="J472" s="853"/>
      <c r="K472" s="853"/>
      <c r="L472" s="853"/>
      <c r="M472" s="853"/>
      <c r="N472" s="853"/>
      <c r="O472" s="853"/>
      <c r="P472" s="853"/>
      <c r="Q472" s="853"/>
      <c r="R472" s="853"/>
      <c r="S472" s="853"/>
      <c r="T472" s="853"/>
      <c r="U472" s="853"/>
      <c r="V472" s="853"/>
      <c r="W472" s="853"/>
      <c r="X472" s="853"/>
      <c r="Y472" s="853"/>
      <c r="Z472" s="853"/>
      <c r="AA472" s="853"/>
      <c r="AB472" s="853"/>
      <c r="AC472" s="853"/>
      <c r="AD472" s="853"/>
      <c r="AE472" s="853"/>
      <c r="AF472" s="853"/>
      <c r="AG472" s="853"/>
      <c r="AH472" s="446"/>
      <c r="AI472" s="446"/>
      <c r="AJ472" s="446"/>
      <c r="AK472" s="446"/>
      <c r="AL472" s="446"/>
      <c r="AM472" s="446"/>
      <c r="AN472" s="446"/>
      <c r="AO472" s="446"/>
      <c r="AP472" s="446"/>
      <c r="AQ472" s="446"/>
      <c r="AR472" s="446"/>
      <c r="AS472" s="446"/>
      <c r="AT472" s="446"/>
      <c r="AU472" s="446"/>
      <c r="AV472" s="446"/>
      <c r="AW472" s="446"/>
      <c r="AX472" s="446"/>
      <c r="AY472" s="446"/>
      <c r="AZ472" s="446"/>
      <c r="BA472" s="446"/>
      <c r="BB472" s="446"/>
      <c r="BC472" s="446"/>
      <c r="BD472" s="446"/>
      <c r="BE472" s="446"/>
      <c r="BF472" s="446"/>
      <c r="BG472" s="446"/>
      <c r="BH472" s="446"/>
      <c r="BI472" s="446"/>
      <c r="BJ472" s="446"/>
      <c r="BK472" s="446"/>
      <c r="BL472" s="446"/>
      <c r="BM472" s="446"/>
      <c r="BN472" s="446"/>
      <c r="BO472" s="446"/>
      <c r="BP472" s="446"/>
      <c r="BQ472" s="446"/>
      <c r="BR472" s="446"/>
      <c r="BS472" s="446"/>
      <c r="BT472" s="446"/>
      <c r="BU472" s="562"/>
      <c r="BV472" s="446"/>
      <c r="BW472" s="446"/>
      <c r="BX472" s="446"/>
      <c r="BY472" s="446"/>
      <c r="BZ472" s="446"/>
      <c r="CA472" s="446"/>
      <c r="CB472" s="446"/>
      <c r="CC472" s="446"/>
      <c r="CD472" s="446"/>
      <c r="CE472" s="446"/>
      <c r="CF472" s="446"/>
      <c r="CG472" s="446"/>
      <c r="CH472" s="446"/>
      <c r="CI472" s="446"/>
      <c r="CJ472" s="446"/>
      <c r="CK472" s="446"/>
      <c r="CL472" s="446"/>
      <c r="CM472" s="446"/>
      <c r="CN472" s="446"/>
      <c r="CO472" s="446"/>
      <c r="CP472" s="446"/>
      <c r="CQ472" s="446"/>
      <c r="CR472" s="446"/>
      <c r="CS472" s="446"/>
      <c r="CT472" s="446"/>
      <c r="CU472" s="446"/>
      <c r="CV472" s="446"/>
      <c r="CW472" s="851"/>
      <c r="CX472" s="446"/>
      <c r="CY472" s="446"/>
      <c r="CZ472" s="446"/>
      <c r="DA472" s="446"/>
      <c r="DB472" s="446"/>
      <c r="DC472" s="446"/>
      <c r="DD472" s="446"/>
      <c r="DE472" s="446"/>
      <c r="DF472" s="446"/>
      <c r="DG472" s="446"/>
      <c r="DH472" s="446"/>
      <c r="DI472" s="446"/>
      <c r="DJ472" s="446"/>
      <c r="DK472" s="446"/>
      <c r="DL472" s="446"/>
      <c r="DM472" s="446"/>
      <c r="DN472" s="446"/>
      <c r="DO472" s="446"/>
      <c r="DP472" s="446"/>
      <c r="DQ472" s="446"/>
      <c r="DR472" s="446"/>
      <c r="DS472" s="446"/>
      <c r="DT472" s="446"/>
      <c r="DU472" s="446"/>
      <c r="DV472" s="446"/>
      <c r="DW472" s="446"/>
      <c r="DX472" s="446"/>
      <c r="DY472" s="446"/>
      <c r="DZ472" s="283"/>
    </row>
    <row r="473" spans="2:130" s="223" customFormat="1" x14ac:dyDescent="0.2">
      <c r="B473" s="851"/>
      <c r="C473" s="851"/>
      <c r="D473" s="851"/>
      <c r="E473" s="820"/>
      <c r="F473" s="820"/>
      <c r="G473" s="853"/>
      <c r="H473" s="853"/>
      <c r="I473" s="853"/>
      <c r="J473" s="853"/>
      <c r="K473" s="853"/>
      <c r="L473" s="853"/>
      <c r="M473" s="853"/>
      <c r="N473" s="853"/>
      <c r="O473" s="853"/>
      <c r="P473" s="853"/>
      <c r="Q473" s="853"/>
      <c r="R473" s="853"/>
      <c r="S473" s="853"/>
      <c r="T473" s="853"/>
      <c r="U473" s="853"/>
      <c r="V473" s="853"/>
      <c r="W473" s="853"/>
      <c r="X473" s="853"/>
      <c r="Y473" s="853"/>
      <c r="Z473" s="853"/>
      <c r="AA473" s="853"/>
      <c r="AB473" s="853"/>
      <c r="AC473" s="853"/>
      <c r="AD473" s="853"/>
      <c r="AE473" s="853"/>
      <c r="AF473" s="853"/>
      <c r="AG473" s="853"/>
      <c r="AH473" s="446"/>
      <c r="AI473" s="446"/>
      <c r="AJ473" s="446"/>
      <c r="AK473" s="446"/>
      <c r="AL473" s="446"/>
      <c r="AM473" s="446"/>
      <c r="AN473" s="446"/>
      <c r="AO473" s="446"/>
      <c r="AP473" s="446"/>
      <c r="AQ473" s="446"/>
      <c r="AR473" s="446"/>
      <c r="AS473" s="446"/>
      <c r="AT473" s="446"/>
      <c r="AU473" s="446"/>
      <c r="AV473" s="446"/>
      <c r="AW473" s="446"/>
      <c r="AX473" s="446"/>
      <c r="AY473" s="446"/>
      <c r="AZ473" s="446"/>
      <c r="BA473" s="446"/>
      <c r="BB473" s="446"/>
      <c r="BC473" s="446"/>
      <c r="BD473" s="446"/>
      <c r="BE473" s="446"/>
      <c r="BF473" s="446"/>
      <c r="BG473" s="446"/>
      <c r="BH473" s="446"/>
      <c r="BI473" s="446"/>
      <c r="BJ473" s="446"/>
      <c r="BK473" s="446"/>
      <c r="BL473" s="446"/>
      <c r="BM473" s="446"/>
      <c r="BN473" s="446"/>
      <c r="BO473" s="446"/>
      <c r="BP473" s="446"/>
      <c r="BQ473" s="446"/>
      <c r="BR473" s="446"/>
      <c r="BS473" s="446"/>
      <c r="BT473" s="446"/>
      <c r="BU473" s="562"/>
      <c r="BV473" s="446"/>
      <c r="BW473" s="446"/>
      <c r="BX473" s="446"/>
      <c r="BY473" s="446"/>
      <c r="BZ473" s="446"/>
      <c r="CA473" s="446"/>
      <c r="CB473" s="446"/>
      <c r="CC473" s="446"/>
      <c r="CD473" s="446"/>
      <c r="CE473" s="446"/>
      <c r="CF473" s="446"/>
      <c r="CG473" s="446"/>
      <c r="CH473" s="446"/>
      <c r="CI473" s="446"/>
      <c r="CJ473" s="446"/>
      <c r="CK473" s="446"/>
      <c r="CL473" s="446"/>
      <c r="CM473" s="446"/>
      <c r="CN473" s="446"/>
      <c r="CO473" s="446"/>
      <c r="CP473" s="446"/>
      <c r="CQ473" s="446"/>
      <c r="CR473" s="446"/>
      <c r="CS473" s="446"/>
      <c r="CT473" s="446"/>
      <c r="CU473" s="446"/>
      <c r="CV473" s="446"/>
      <c r="CW473" s="851"/>
      <c r="CX473" s="446"/>
      <c r="CY473" s="446"/>
      <c r="CZ473" s="446"/>
      <c r="DA473" s="446"/>
      <c r="DB473" s="446"/>
      <c r="DC473" s="446"/>
      <c r="DD473" s="446"/>
      <c r="DE473" s="446"/>
      <c r="DF473" s="446"/>
      <c r="DG473" s="446"/>
      <c r="DH473" s="446"/>
      <c r="DI473" s="446"/>
      <c r="DJ473" s="446"/>
      <c r="DK473" s="446"/>
      <c r="DL473" s="446"/>
      <c r="DM473" s="446"/>
      <c r="DN473" s="446"/>
      <c r="DO473" s="446"/>
      <c r="DP473" s="446"/>
      <c r="DQ473" s="446"/>
      <c r="DR473" s="446"/>
      <c r="DS473" s="446"/>
      <c r="DT473" s="446"/>
      <c r="DU473" s="446"/>
      <c r="DV473" s="446"/>
      <c r="DW473" s="446"/>
      <c r="DX473" s="446"/>
      <c r="DY473" s="446"/>
      <c r="DZ473" s="283"/>
    </row>
    <row r="474" spans="2:130" s="223" customFormat="1" x14ac:dyDescent="0.2">
      <c r="B474" s="851"/>
      <c r="C474" s="851"/>
      <c r="D474" s="851"/>
      <c r="E474" s="820"/>
      <c r="F474" s="820"/>
      <c r="G474" s="853"/>
      <c r="H474" s="853"/>
      <c r="I474" s="853"/>
      <c r="J474" s="853"/>
      <c r="K474" s="853"/>
      <c r="L474" s="853"/>
      <c r="M474" s="853"/>
      <c r="N474" s="853"/>
      <c r="O474" s="853"/>
      <c r="P474" s="853"/>
      <c r="Q474" s="853"/>
      <c r="R474" s="853"/>
      <c r="S474" s="853"/>
      <c r="T474" s="853"/>
      <c r="U474" s="853"/>
      <c r="V474" s="853"/>
      <c r="W474" s="853"/>
      <c r="X474" s="853"/>
      <c r="Y474" s="853"/>
      <c r="Z474" s="853"/>
      <c r="AA474" s="853"/>
      <c r="AB474" s="853"/>
      <c r="AC474" s="853"/>
      <c r="AD474" s="853"/>
      <c r="AE474" s="853"/>
      <c r="AF474" s="853"/>
      <c r="AG474" s="853"/>
      <c r="AH474" s="446"/>
      <c r="AI474" s="446"/>
      <c r="AJ474" s="446"/>
      <c r="AK474" s="446"/>
      <c r="AL474" s="446"/>
      <c r="AM474" s="446"/>
      <c r="AN474" s="446"/>
      <c r="AO474" s="446"/>
      <c r="AP474" s="446"/>
      <c r="AQ474" s="446"/>
      <c r="AR474" s="446"/>
      <c r="AS474" s="446"/>
      <c r="AT474" s="446"/>
      <c r="AU474" s="446"/>
      <c r="AV474" s="446"/>
      <c r="AW474" s="446"/>
      <c r="AX474" s="446"/>
      <c r="AY474" s="446"/>
      <c r="AZ474" s="446"/>
      <c r="BA474" s="446"/>
      <c r="BB474" s="446"/>
      <c r="BC474" s="446"/>
      <c r="BD474" s="446"/>
      <c r="BE474" s="446"/>
      <c r="BF474" s="446"/>
      <c r="BG474" s="446"/>
      <c r="BH474" s="446"/>
      <c r="BI474" s="446"/>
      <c r="BJ474" s="446"/>
      <c r="BK474" s="446"/>
      <c r="BL474" s="446"/>
      <c r="BM474" s="446"/>
      <c r="BN474" s="446"/>
      <c r="BO474" s="446"/>
      <c r="BP474" s="446"/>
      <c r="BQ474" s="446"/>
      <c r="BR474" s="446"/>
      <c r="BS474" s="446"/>
      <c r="BT474" s="446"/>
      <c r="BU474" s="562"/>
      <c r="BV474" s="446"/>
      <c r="BW474" s="446"/>
      <c r="BX474" s="446"/>
      <c r="BY474" s="446"/>
      <c r="BZ474" s="446"/>
      <c r="CA474" s="446"/>
      <c r="CB474" s="446"/>
      <c r="CC474" s="446"/>
      <c r="CD474" s="446"/>
      <c r="CE474" s="446"/>
      <c r="CF474" s="446"/>
      <c r="CG474" s="446"/>
      <c r="CH474" s="446"/>
      <c r="CI474" s="446"/>
      <c r="CJ474" s="446"/>
      <c r="CK474" s="446"/>
      <c r="CL474" s="446"/>
      <c r="CM474" s="446"/>
      <c r="CN474" s="446"/>
      <c r="CO474" s="446"/>
      <c r="CP474" s="446"/>
      <c r="CQ474" s="446"/>
      <c r="CR474" s="446"/>
      <c r="CS474" s="446"/>
      <c r="CT474" s="446"/>
      <c r="CU474" s="446"/>
      <c r="CV474" s="446"/>
      <c r="CW474" s="851"/>
      <c r="CX474" s="446"/>
      <c r="CY474" s="446"/>
      <c r="CZ474" s="446"/>
      <c r="DA474" s="446"/>
      <c r="DB474" s="446"/>
      <c r="DC474" s="446"/>
      <c r="DD474" s="446"/>
      <c r="DE474" s="446"/>
      <c r="DF474" s="446"/>
      <c r="DG474" s="446"/>
      <c r="DH474" s="446"/>
      <c r="DI474" s="446"/>
      <c r="DJ474" s="446"/>
      <c r="DK474" s="446"/>
      <c r="DL474" s="446"/>
      <c r="DM474" s="446"/>
      <c r="DN474" s="446"/>
      <c r="DO474" s="446"/>
      <c r="DP474" s="446"/>
      <c r="DQ474" s="446"/>
      <c r="DR474" s="446"/>
      <c r="DS474" s="446"/>
      <c r="DT474" s="446"/>
      <c r="DU474" s="446"/>
      <c r="DV474" s="446"/>
      <c r="DW474" s="446"/>
      <c r="DX474" s="446"/>
      <c r="DY474" s="446"/>
      <c r="DZ474" s="283"/>
    </row>
    <row r="475" spans="2:130" s="223" customFormat="1" x14ac:dyDescent="0.2">
      <c r="B475" s="851"/>
      <c r="C475" s="851"/>
      <c r="D475" s="851"/>
      <c r="E475" s="820"/>
      <c r="F475" s="820"/>
      <c r="G475" s="853"/>
      <c r="H475" s="853"/>
      <c r="I475" s="853"/>
      <c r="J475" s="853"/>
      <c r="K475" s="853"/>
      <c r="L475" s="853"/>
      <c r="M475" s="853"/>
      <c r="N475" s="853"/>
      <c r="O475" s="853"/>
      <c r="P475" s="853"/>
      <c r="Q475" s="853"/>
      <c r="R475" s="853"/>
      <c r="S475" s="853"/>
      <c r="T475" s="853"/>
      <c r="U475" s="853"/>
      <c r="V475" s="853"/>
      <c r="W475" s="853"/>
      <c r="X475" s="853"/>
      <c r="Y475" s="853"/>
      <c r="Z475" s="853"/>
      <c r="AA475" s="853"/>
      <c r="AB475" s="853"/>
      <c r="AC475" s="853"/>
      <c r="AD475" s="853"/>
      <c r="AE475" s="853"/>
      <c r="AF475" s="853"/>
      <c r="AG475" s="853"/>
      <c r="AH475" s="446"/>
      <c r="AI475" s="446"/>
      <c r="AJ475" s="446"/>
      <c r="AK475" s="446"/>
      <c r="AL475" s="446"/>
      <c r="AM475" s="446"/>
      <c r="AN475" s="446"/>
      <c r="AO475" s="446"/>
      <c r="AP475" s="446"/>
      <c r="AQ475" s="446"/>
      <c r="AR475" s="446"/>
      <c r="AS475" s="446"/>
      <c r="AT475" s="446"/>
      <c r="AU475" s="446"/>
      <c r="AV475" s="446"/>
      <c r="AW475" s="446"/>
      <c r="AX475" s="446"/>
      <c r="AY475" s="446"/>
      <c r="AZ475" s="446"/>
      <c r="BA475" s="446"/>
      <c r="BB475" s="446"/>
      <c r="BC475" s="446"/>
      <c r="BD475" s="446"/>
      <c r="BE475" s="446"/>
      <c r="BF475" s="446"/>
      <c r="BG475" s="446"/>
      <c r="BH475" s="446"/>
      <c r="BI475" s="446"/>
      <c r="BJ475" s="446"/>
      <c r="BK475" s="446"/>
      <c r="BL475" s="446"/>
      <c r="BM475" s="446"/>
      <c r="BN475" s="446"/>
      <c r="BO475" s="446"/>
      <c r="BP475" s="446"/>
      <c r="BQ475" s="446"/>
      <c r="BR475" s="446"/>
      <c r="BS475" s="446"/>
      <c r="BT475" s="446"/>
      <c r="BU475" s="562"/>
      <c r="BV475" s="446"/>
      <c r="BW475" s="446"/>
      <c r="BX475" s="446"/>
      <c r="BY475" s="446"/>
      <c r="BZ475" s="446"/>
      <c r="CA475" s="446"/>
      <c r="CB475" s="446"/>
      <c r="CC475" s="446"/>
      <c r="CD475" s="446"/>
      <c r="CE475" s="446"/>
      <c r="CF475" s="446"/>
      <c r="CG475" s="446"/>
      <c r="CH475" s="446"/>
      <c r="CI475" s="446"/>
      <c r="CJ475" s="446"/>
      <c r="CK475" s="446"/>
      <c r="CL475" s="446"/>
      <c r="CM475" s="446"/>
      <c r="CN475" s="446"/>
      <c r="CO475" s="446"/>
      <c r="CP475" s="446"/>
      <c r="CQ475" s="446"/>
      <c r="CR475" s="446"/>
      <c r="CS475" s="446"/>
      <c r="CT475" s="446"/>
      <c r="CU475" s="446"/>
      <c r="CV475" s="446"/>
      <c r="CW475" s="851"/>
      <c r="CX475" s="446"/>
      <c r="CY475" s="446"/>
      <c r="CZ475" s="446"/>
      <c r="DA475" s="446"/>
      <c r="DB475" s="446"/>
      <c r="DC475" s="446"/>
      <c r="DD475" s="446"/>
      <c r="DE475" s="446"/>
      <c r="DF475" s="446"/>
      <c r="DG475" s="446"/>
      <c r="DH475" s="446"/>
      <c r="DI475" s="446"/>
      <c r="DJ475" s="446"/>
      <c r="DK475" s="446"/>
      <c r="DL475" s="446"/>
      <c r="DM475" s="446"/>
      <c r="DN475" s="446"/>
      <c r="DO475" s="446"/>
      <c r="DP475" s="446"/>
      <c r="DQ475" s="446"/>
      <c r="DR475" s="446"/>
      <c r="DS475" s="446"/>
      <c r="DT475" s="446"/>
      <c r="DU475" s="446"/>
      <c r="DV475" s="446"/>
      <c r="DW475" s="446"/>
      <c r="DX475" s="446"/>
      <c r="DY475" s="446"/>
      <c r="DZ475" s="283"/>
    </row>
    <row r="476" spans="2:130" s="223" customFormat="1" x14ac:dyDescent="0.2">
      <c r="B476" s="851"/>
      <c r="C476" s="851"/>
      <c r="D476" s="851"/>
      <c r="E476" s="820"/>
      <c r="F476" s="820"/>
      <c r="G476" s="853"/>
      <c r="H476" s="853"/>
      <c r="I476" s="853"/>
      <c r="J476" s="853"/>
      <c r="K476" s="853"/>
      <c r="L476" s="853"/>
      <c r="M476" s="853"/>
      <c r="N476" s="853"/>
      <c r="O476" s="853"/>
      <c r="P476" s="853"/>
      <c r="Q476" s="853"/>
      <c r="R476" s="853"/>
      <c r="S476" s="853"/>
      <c r="T476" s="853"/>
      <c r="U476" s="853"/>
      <c r="V476" s="853"/>
      <c r="W476" s="853"/>
      <c r="X476" s="853"/>
      <c r="Y476" s="853"/>
      <c r="Z476" s="853"/>
      <c r="AA476" s="853"/>
      <c r="AB476" s="853"/>
      <c r="AC476" s="853"/>
      <c r="AD476" s="853"/>
      <c r="AE476" s="853"/>
      <c r="AF476" s="853"/>
      <c r="AG476" s="853"/>
      <c r="AH476" s="446"/>
      <c r="AI476" s="446"/>
      <c r="AJ476" s="446"/>
      <c r="AK476" s="446"/>
      <c r="AL476" s="446"/>
      <c r="AM476" s="446"/>
      <c r="AN476" s="446"/>
      <c r="AO476" s="446"/>
      <c r="AP476" s="446"/>
      <c r="AQ476" s="446"/>
      <c r="AR476" s="446"/>
      <c r="AS476" s="446"/>
      <c r="AT476" s="446"/>
      <c r="AU476" s="446"/>
      <c r="AV476" s="446"/>
      <c r="AW476" s="446"/>
      <c r="AX476" s="446"/>
      <c r="AY476" s="446"/>
      <c r="AZ476" s="446"/>
      <c r="BA476" s="446"/>
      <c r="BB476" s="446"/>
      <c r="BC476" s="446"/>
      <c r="BD476" s="446"/>
      <c r="BE476" s="446"/>
      <c r="BF476" s="446"/>
      <c r="BG476" s="446"/>
      <c r="BH476" s="446"/>
      <c r="BI476" s="446"/>
      <c r="BJ476" s="446"/>
      <c r="BK476" s="446"/>
      <c r="BL476" s="446"/>
      <c r="BM476" s="446"/>
      <c r="BN476" s="446"/>
      <c r="BO476" s="446"/>
      <c r="BP476" s="446"/>
      <c r="BQ476" s="446"/>
      <c r="BR476" s="446"/>
      <c r="BS476" s="446"/>
      <c r="BT476" s="446"/>
      <c r="BU476" s="562"/>
      <c r="BV476" s="446"/>
      <c r="BW476" s="446"/>
      <c r="BX476" s="446"/>
      <c r="BY476" s="446"/>
      <c r="BZ476" s="446"/>
      <c r="CA476" s="446"/>
      <c r="CB476" s="446"/>
      <c r="CC476" s="446"/>
      <c r="CD476" s="446"/>
      <c r="CE476" s="446"/>
      <c r="CF476" s="446"/>
      <c r="CG476" s="446"/>
      <c r="CH476" s="446"/>
      <c r="CI476" s="446"/>
      <c r="CJ476" s="446"/>
      <c r="CK476" s="446"/>
      <c r="CL476" s="446"/>
      <c r="CM476" s="446"/>
      <c r="CN476" s="446"/>
      <c r="CO476" s="446"/>
      <c r="CP476" s="446"/>
      <c r="CQ476" s="446"/>
      <c r="CR476" s="446"/>
      <c r="CS476" s="446"/>
      <c r="CT476" s="446"/>
      <c r="CU476" s="446"/>
      <c r="CV476" s="446"/>
      <c r="CW476" s="851"/>
      <c r="CX476" s="446"/>
      <c r="CY476" s="446"/>
      <c r="CZ476" s="446"/>
      <c r="DA476" s="446"/>
      <c r="DB476" s="446"/>
      <c r="DC476" s="446"/>
      <c r="DD476" s="446"/>
      <c r="DE476" s="446"/>
      <c r="DF476" s="446"/>
      <c r="DG476" s="446"/>
      <c r="DH476" s="446"/>
      <c r="DI476" s="446"/>
      <c r="DJ476" s="446"/>
      <c r="DK476" s="446"/>
      <c r="DL476" s="446"/>
      <c r="DM476" s="446"/>
      <c r="DN476" s="446"/>
      <c r="DO476" s="446"/>
      <c r="DP476" s="446"/>
      <c r="DQ476" s="446"/>
      <c r="DR476" s="446"/>
      <c r="DS476" s="446"/>
      <c r="DT476" s="446"/>
      <c r="DU476" s="446"/>
      <c r="DV476" s="446"/>
      <c r="DW476" s="446"/>
      <c r="DX476" s="446"/>
      <c r="DY476" s="446"/>
      <c r="DZ476" s="283"/>
    </row>
    <row r="477" spans="2:130" s="223" customFormat="1" x14ac:dyDescent="0.2">
      <c r="B477" s="851"/>
      <c r="C477" s="851"/>
      <c r="D477" s="851"/>
      <c r="E477" s="820"/>
      <c r="F477" s="820"/>
      <c r="G477" s="853"/>
      <c r="H477" s="853"/>
      <c r="I477" s="853"/>
      <c r="J477" s="853"/>
      <c r="K477" s="853"/>
      <c r="L477" s="853"/>
      <c r="M477" s="853"/>
      <c r="N477" s="853"/>
      <c r="O477" s="853"/>
      <c r="P477" s="853"/>
      <c r="Q477" s="853"/>
      <c r="R477" s="853"/>
      <c r="S477" s="853"/>
      <c r="T477" s="853"/>
      <c r="U477" s="853"/>
      <c r="V477" s="853"/>
      <c r="W477" s="853"/>
      <c r="X477" s="853"/>
      <c r="Y477" s="853"/>
      <c r="Z477" s="853"/>
      <c r="AA477" s="853"/>
      <c r="AB477" s="853"/>
      <c r="AC477" s="853"/>
      <c r="AD477" s="853"/>
      <c r="AE477" s="853"/>
      <c r="AF477" s="853"/>
      <c r="AG477" s="853"/>
      <c r="AH477" s="446"/>
      <c r="AI477" s="446"/>
      <c r="AJ477" s="446"/>
      <c r="AK477" s="446"/>
      <c r="AL477" s="446"/>
      <c r="AM477" s="446"/>
      <c r="AN477" s="446"/>
      <c r="AO477" s="446"/>
      <c r="AP477" s="446"/>
      <c r="AQ477" s="446"/>
      <c r="AR477" s="446"/>
      <c r="AS477" s="446"/>
      <c r="AT477" s="446"/>
      <c r="AU477" s="446"/>
      <c r="AV477" s="446"/>
      <c r="AW477" s="446"/>
      <c r="AX477" s="446"/>
      <c r="AY477" s="446"/>
      <c r="AZ477" s="446"/>
      <c r="BA477" s="446"/>
      <c r="BB477" s="446"/>
      <c r="BC477" s="446"/>
      <c r="BD477" s="446"/>
      <c r="BE477" s="446"/>
      <c r="BF477" s="446"/>
      <c r="BG477" s="446"/>
      <c r="BH477" s="446"/>
      <c r="BI477" s="446"/>
      <c r="BJ477" s="446"/>
      <c r="BK477" s="446"/>
      <c r="BL477" s="446"/>
      <c r="BM477" s="446"/>
      <c r="BN477" s="446"/>
      <c r="BO477" s="446"/>
      <c r="BP477" s="446"/>
      <c r="BQ477" s="446"/>
      <c r="BR477" s="446"/>
      <c r="BS477" s="446"/>
      <c r="BT477" s="446"/>
      <c r="BU477" s="562"/>
      <c r="BV477" s="446"/>
      <c r="BW477" s="446"/>
      <c r="BX477" s="446"/>
      <c r="BY477" s="446"/>
      <c r="BZ477" s="446"/>
      <c r="CA477" s="446"/>
      <c r="CB477" s="446"/>
      <c r="CC477" s="446"/>
      <c r="CD477" s="446"/>
      <c r="CE477" s="446"/>
      <c r="CF477" s="446"/>
      <c r="CG477" s="446"/>
      <c r="CH477" s="446"/>
      <c r="CI477" s="446"/>
      <c r="CJ477" s="446"/>
      <c r="CK477" s="446"/>
      <c r="CL477" s="446"/>
      <c r="CM477" s="446"/>
      <c r="CN477" s="446"/>
      <c r="CO477" s="446"/>
      <c r="CP477" s="446"/>
      <c r="CQ477" s="446"/>
      <c r="CR477" s="446"/>
      <c r="CS477" s="446"/>
      <c r="CT477" s="446"/>
      <c r="CU477" s="446"/>
      <c r="CV477" s="446"/>
      <c r="CW477" s="851"/>
      <c r="CX477" s="446"/>
      <c r="CY477" s="446"/>
      <c r="CZ477" s="446"/>
      <c r="DA477" s="446"/>
      <c r="DB477" s="446"/>
      <c r="DC477" s="446"/>
      <c r="DD477" s="446"/>
      <c r="DE477" s="446"/>
      <c r="DF477" s="446"/>
      <c r="DG477" s="446"/>
      <c r="DH477" s="446"/>
      <c r="DI477" s="446"/>
      <c r="DJ477" s="446"/>
      <c r="DK477" s="446"/>
      <c r="DL477" s="446"/>
      <c r="DM477" s="446"/>
      <c r="DN477" s="446"/>
      <c r="DO477" s="446"/>
      <c r="DP477" s="446"/>
      <c r="DQ477" s="446"/>
      <c r="DR477" s="446"/>
      <c r="DS477" s="446"/>
      <c r="DT477" s="446"/>
      <c r="DU477" s="446"/>
      <c r="DV477" s="446"/>
      <c r="DW477" s="446"/>
      <c r="DX477" s="446"/>
      <c r="DY477" s="446"/>
      <c r="DZ477" s="283"/>
    </row>
    <row r="478" spans="2:130" s="223" customFormat="1" x14ac:dyDescent="0.2">
      <c r="D478" s="856"/>
      <c r="E478" s="856"/>
      <c r="F478" s="856"/>
      <c r="G478" s="856"/>
      <c r="H478" s="856"/>
      <c r="I478" s="856"/>
      <c r="J478" s="856"/>
      <c r="K478" s="856"/>
      <c r="L478" s="856"/>
      <c r="M478" s="856"/>
      <c r="N478" s="857"/>
      <c r="O478" s="856"/>
      <c r="P478" s="856"/>
      <c r="Q478" s="858"/>
      <c r="R478" s="858"/>
      <c r="S478" s="876"/>
      <c r="T478" s="856"/>
      <c r="U478" s="856"/>
      <c r="V478" s="856"/>
      <c r="W478" s="856"/>
      <c r="X478" s="856"/>
      <c r="Y478" s="355"/>
      <c r="AB478" s="446"/>
      <c r="AC478" s="446"/>
      <c r="AD478" s="562"/>
      <c r="AE478" s="446"/>
      <c r="AF478" s="446"/>
      <c r="AG478" s="446"/>
      <c r="AH478" s="446"/>
      <c r="AI478" s="446"/>
      <c r="AJ478" s="446"/>
      <c r="AK478" s="446"/>
      <c r="AL478" s="446"/>
      <c r="AM478" s="446"/>
      <c r="AN478" s="446"/>
      <c r="AO478" s="446"/>
      <c r="AP478" s="446"/>
      <c r="AQ478" s="446"/>
      <c r="AR478" s="446"/>
      <c r="AS478" s="446"/>
      <c r="AT478" s="446"/>
      <c r="AU478" s="446"/>
      <c r="AV478" s="446"/>
      <c r="AW478" s="446"/>
      <c r="AX478" s="446"/>
      <c r="AY478" s="446"/>
      <c r="AZ478" s="446"/>
      <c r="BA478" s="446"/>
      <c r="BB478" s="446"/>
      <c r="BC478" s="446"/>
      <c r="BD478" s="446"/>
      <c r="BE478" s="446"/>
      <c r="BF478" s="446"/>
      <c r="BG478" s="446"/>
      <c r="BH478" s="446"/>
      <c r="BI478" s="446"/>
      <c r="BJ478" s="446"/>
      <c r="BK478" s="446"/>
      <c r="BL478" s="446"/>
      <c r="BM478" s="446"/>
      <c r="BN478" s="446"/>
      <c r="BO478" s="446"/>
      <c r="BP478" s="446"/>
      <c r="BQ478" s="446"/>
      <c r="BR478" s="446"/>
      <c r="BS478" s="446"/>
      <c r="BT478" s="446"/>
      <c r="BU478" s="562"/>
      <c r="BV478" s="446"/>
      <c r="BW478" s="446"/>
      <c r="BX478" s="446"/>
      <c r="BY478" s="446"/>
      <c r="BZ478" s="446"/>
      <c r="CA478" s="446"/>
      <c r="CB478" s="446"/>
      <c r="CC478" s="446"/>
      <c r="CD478" s="446"/>
      <c r="CE478" s="446"/>
      <c r="CF478" s="446"/>
      <c r="CG478" s="446"/>
      <c r="CH478" s="446"/>
      <c r="CI478" s="446"/>
      <c r="CJ478" s="446"/>
      <c r="CK478" s="446"/>
      <c r="CL478" s="446"/>
      <c r="CM478" s="446"/>
      <c r="CN478" s="446"/>
      <c r="CO478" s="446"/>
      <c r="CP478" s="446"/>
      <c r="CQ478" s="446"/>
      <c r="CR478" s="446"/>
      <c r="CS478" s="446"/>
      <c r="CT478" s="446"/>
      <c r="CU478" s="446"/>
      <c r="CV478" s="446"/>
      <c r="CW478" s="233"/>
      <c r="CX478" s="446"/>
      <c r="CY478" s="446"/>
      <c r="CZ478" s="446"/>
      <c r="DA478" s="446"/>
      <c r="DB478" s="446"/>
      <c r="DC478" s="446"/>
      <c r="DD478" s="446"/>
      <c r="DE478" s="446"/>
      <c r="DF478" s="446"/>
      <c r="DG478" s="446"/>
      <c r="DH478" s="446"/>
      <c r="DI478" s="446"/>
      <c r="DJ478" s="446"/>
      <c r="DK478" s="446"/>
      <c r="DL478" s="446"/>
      <c r="DM478" s="446"/>
      <c r="DN478" s="446"/>
      <c r="DO478" s="446"/>
      <c r="DP478" s="446"/>
      <c r="DQ478" s="446"/>
      <c r="DR478" s="446"/>
      <c r="DS478" s="446"/>
      <c r="DT478" s="446"/>
      <c r="DU478" s="446"/>
      <c r="DV478" s="446"/>
      <c r="DW478" s="446"/>
      <c r="DX478" s="446"/>
      <c r="DY478" s="446"/>
      <c r="DZ478" s="283"/>
    </row>
    <row r="479" spans="2:130" s="223" customFormat="1" x14ac:dyDescent="0.2">
      <c r="D479" s="856"/>
      <c r="E479" s="856"/>
      <c r="F479" s="856"/>
      <c r="G479" s="856"/>
      <c r="H479" s="856"/>
      <c r="I479" s="856"/>
      <c r="J479" s="856"/>
      <c r="K479" s="856"/>
      <c r="L479" s="856"/>
      <c r="M479" s="856"/>
      <c r="N479" s="857"/>
      <c r="O479" s="856"/>
      <c r="P479" s="856"/>
      <c r="Q479" s="858"/>
      <c r="R479" s="858"/>
      <c r="S479" s="876"/>
      <c r="T479" s="856"/>
      <c r="U479" s="856"/>
      <c r="V479" s="856"/>
      <c r="W479" s="856"/>
      <c r="X479" s="856"/>
      <c r="Y479" s="355"/>
      <c r="AB479" s="446"/>
      <c r="AC479" s="446"/>
      <c r="AD479" s="562"/>
      <c r="AE479" s="446"/>
      <c r="AF479" s="446"/>
      <c r="AG479" s="446"/>
      <c r="AH479" s="446"/>
      <c r="AI479" s="446"/>
      <c r="AJ479" s="446"/>
      <c r="AK479" s="446"/>
      <c r="AL479" s="446"/>
      <c r="AM479" s="446"/>
      <c r="AN479" s="446"/>
      <c r="AO479" s="446"/>
      <c r="AP479" s="446"/>
      <c r="AQ479" s="446"/>
      <c r="AR479" s="446"/>
      <c r="AS479" s="446"/>
      <c r="AT479" s="446"/>
      <c r="AU479" s="446"/>
      <c r="AV479" s="446"/>
      <c r="AW479" s="446"/>
      <c r="AX479" s="446"/>
      <c r="AY479" s="446"/>
      <c r="AZ479" s="446"/>
      <c r="BA479" s="446"/>
      <c r="BB479" s="446"/>
      <c r="BC479" s="446"/>
      <c r="BD479" s="446"/>
      <c r="BE479" s="446"/>
      <c r="BF479" s="446"/>
      <c r="BG479" s="446"/>
      <c r="BH479" s="446"/>
      <c r="BI479" s="446"/>
      <c r="BJ479" s="446"/>
      <c r="BK479" s="446"/>
      <c r="BL479" s="446"/>
      <c r="BM479" s="446"/>
      <c r="BN479" s="446"/>
      <c r="BO479" s="446"/>
      <c r="BP479" s="446"/>
      <c r="BQ479" s="446"/>
      <c r="BR479" s="446"/>
      <c r="BS479" s="446"/>
      <c r="BT479" s="446"/>
      <c r="BU479" s="562"/>
      <c r="BV479" s="446"/>
      <c r="BW479" s="446"/>
      <c r="BX479" s="446"/>
      <c r="BY479" s="446"/>
      <c r="BZ479" s="446"/>
      <c r="CA479" s="446"/>
      <c r="CB479" s="446"/>
      <c r="CC479" s="446"/>
      <c r="CD479" s="446"/>
      <c r="CE479" s="446"/>
      <c r="CF479" s="446"/>
      <c r="CG479" s="446"/>
      <c r="CH479" s="446"/>
      <c r="CI479" s="446"/>
      <c r="CJ479" s="446"/>
      <c r="CK479" s="446"/>
      <c r="CL479" s="446"/>
      <c r="CM479" s="446"/>
      <c r="CN479" s="446"/>
      <c r="CO479" s="446"/>
      <c r="CP479" s="446"/>
      <c r="CQ479" s="446"/>
      <c r="CR479" s="446"/>
      <c r="CS479" s="446"/>
      <c r="CT479" s="446"/>
      <c r="CU479" s="446"/>
      <c r="CV479" s="446"/>
      <c r="CW479" s="233"/>
      <c r="CX479" s="446"/>
      <c r="CY479" s="446"/>
      <c r="CZ479" s="446"/>
      <c r="DA479" s="446"/>
      <c r="DB479" s="446"/>
      <c r="DC479" s="446"/>
      <c r="DD479" s="446"/>
      <c r="DE479" s="446"/>
      <c r="DF479" s="446"/>
      <c r="DG479" s="446"/>
      <c r="DH479" s="446"/>
      <c r="DI479" s="446"/>
      <c r="DJ479" s="446"/>
      <c r="DK479" s="446"/>
      <c r="DL479" s="446"/>
      <c r="DM479" s="446"/>
      <c r="DN479" s="446"/>
      <c r="DO479" s="446"/>
      <c r="DP479" s="446"/>
      <c r="DQ479" s="446"/>
      <c r="DR479" s="446"/>
      <c r="DS479" s="446"/>
      <c r="DT479" s="446"/>
      <c r="DU479" s="446"/>
      <c r="DV479" s="446"/>
      <c r="DW479" s="446"/>
      <c r="DX479" s="446"/>
      <c r="DY479" s="446"/>
      <c r="DZ479" s="283"/>
    </row>
    <row r="480" spans="2:130" s="223" customFormat="1" x14ac:dyDescent="0.2">
      <c r="D480" s="856"/>
      <c r="E480" s="856"/>
      <c r="F480" s="856"/>
      <c r="G480" s="856"/>
      <c r="H480" s="856"/>
      <c r="I480" s="856"/>
      <c r="J480" s="856"/>
      <c r="K480" s="856"/>
      <c r="L480" s="856"/>
      <c r="M480" s="856"/>
      <c r="N480" s="857"/>
      <c r="O480" s="856"/>
      <c r="P480" s="856"/>
      <c r="Q480" s="858"/>
      <c r="R480" s="858"/>
      <c r="S480" s="876"/>
      <c r="T480" s="856"/>
      <c r="U480" s="856"/>
      <c r="V480" s="856"/>
      <c r="W480" s="856"/>
      <c r="X480" s="856"/>
      <c r="Y480" s="355"/>
      <c r="AB480" s="446"/>
      <c r="AC480" s="446"/>
      <c r="AD480" s="562"/>
      <c r="AE480" s="446"/>
      <c r="AF480" s="446"/>
      <c r="AG480" s="446"/>
      <c r="AH480" s="446"/>
      <c r="AI480" s="446"/>
      <c r="AJ480" s="446"/>
      <c r="AK480" s="446"/>
      <c r="AL480" s="446"/>
      <c r="AM480" s="446"/>
      <c r="AN480" s="446"/>
      <c r="AO480" s="446"/>
      <c r="AP480" s="446"/>
      <c r="AQ480" s="446"/>
      <c r="AR480" s="446"/>
      <c r="AS480" s="446"/>
      <c r="AT480" s="446"/>
      <c r="AU480" s="446"/>
      <c r="AV480" s="446"/>
      <c r="AW480" s="446"/>
      <c r="AX480" s="446"/>
      <c r="AY480" s="446"/>
      <c r="AZ480" s="446"/>
      <c r="BA480" s="446"/>
      <c r="BB480" s="446"/>
      <c r="BC480" s="446"/>
      <c r="BD480" s="446"/>
      <c r="BE480" s="446"/>
      <c r="BF480" s="446"/>
      <c r="BG480" s="446"/>
      <c r="BH480" s="446"/>
      <c r="BI480" s="446"/>
      <c r="BJ480" s="446"/>
      <c r="BK480" s="446"/>
      <c r="BL480" s="446"/>
      <c r="BM480" s="446"/>
      <c r="BN480" s="446"/>
      <c r="BO480" s="446"/>
      <c r="BP480" s="446"/>
      <c r="BQ480" s="446"/>
      <c r="BR480" s="446"/>
      <c r="BS480" s="446"/>
      <c r="BT480" s="446"/>
      <c r="BU480" s="562"/>
      <c r="BV480" s="446"/>
      <c r="BW480" s="446"/>
      <c r="BX480" s="446"/>
      <c r="BY480" s="446"/>
      <c r="BZ480" s="446"/>
      <c r="CA480" s="446"/>
      <c r="CB480" s="446"/>
      <c r="CC480" s="446"/>
      <c r="CD480" s="446"/>
      <c r="CE480" s="446"/>
      <c r="CF480" s="446"/>
      <c r="CG480" s="446"/>
      <c r="CH480" s="446"/>
      <c r="CI480" s="446"/>
      <c r="CJ480" s="446"/>
      <c r="CK480" s="446"/>
      <c r="CL480" s="446"/>
      <c r="CM480" s="446"/>
      <c r="CN480" s="446"/>
      <c r="CO480" s="446"/>
      <c r="CP480" s="446"/>
      <c r="CQ480" s="446"/>
      <c r="CR480" s="446"/>
      <c r="CS480" s="446"/>
      <c r="CT480" s="446"/>
      <c r="CU480" s="446"/>
      <c r="CV480" s="446"/>
      <c r="CW480" s="233"/>
      <c r="CX480" s="446"/>
      <c r="CY480" s="446"/>
      <c r="CZ480" s="446"/>
      <c r="DA480" s="446"/>
      <c r="DB480" s="446"/>
      <c r="DC480" s="446"/>
      <c r="DD480" s="446"/>
      <c r="DE480" s="446"/>
      <c r="DF480" s="446"/>
      <c r="DG480" s="446"/>
      <c r="DH480" s="446"/>
      <c r="DI480" s="446"/>
      <c r="DJ480" s="446"/>
      <c r="DK480" s="446"/>
      <c r="DL480" s="446"/>
      <c r="DM480" s="446"/>
      <c r="DN480" s="446"/>
      <c r="DO480" s="446"/>
      <c r="DP480" s="446"/>
      <c r="DQ480" s="446"/>
      <c r="DR480" s="446"/>
      <c r="DS480" s="446"/>
      <c r="DT480" s="446"/>
      <c r="DU480" s="446"/>
      <c r="DV480" s="446"/>
      <c r="DW480" s="446"/>
      <c r="DX480" s="446"/>
      <c r="DY480" s="446"/>
      <c r="DZ480" s="283"/>
    </row>
    <row r="481" spans="4:130" s="223" customFormat="1" x14ac:dyDescent="0.2">
      <c r="D481" s="856"/>
      <c r="E481" s="856"/>
      <c r="F481" s="856"/>
      <c r="G481" s="856"/>
      <c r="H481" s="856"/>
      <c r="I481" s="856"/>
      <c r="J481" s="856"/>
      <c r="K481" s="856"/>
      <c r="L481" s="856"/>
      <c r="M481" s="856"/>
      <c r="N481" s="857"/>
      <c r="O481" s="856"/>
      <c r="P481" s="856"/>
      <c r="Q481" s="858"/>
      <c r="R481" s="858"/>
      <c r="S481" s="876"/>
      <c r="T481" s="856"/>
      <c r="U481" s="856"/>
      <c r="V481" s="856"/>
      <c r="W481" s="856"/>
      <c r="X481" s="856"/>
      <c r="Y481" s="355"/>
      <c r="AB481" s="446"/>
      <c r="AC481" s="446"/>
      <c r="AD481" s="562"/>
      <c r="AE481" s="446"/>
      <c r="AF481" s="446"/>
      <c r="AG481" s="446"/>
      <c r="AH481" s="446"/>
      <c r="AI481" s="446"/>
      <c r="AJ481" s="446"/>
      <c r="AK481" s="446"/>
      <c r="AL481" s="446"/>
      <c r="AM481" s="446"/>
      <c r="AN481" s="446"/>
      <c r="AO481" s="446"/>
      <c r="AP481" s="446"/>
      <c r="AQ481" s="446"/>
      <c r="AR481" s="446"/>
      <c r="AS481" s="446"/>
      <c r="AT481" s="446"/>
      <c r="AU481" s="446"/>
      <c r="AV481" s="446"/>
      <c r="AW481" s="446"/>
      <c r="AX481" s="446"/>
      <c r="AY481" s="446"/>
      <c r="AZ481" s="446"/>
      <c r="BA481" s="446"/>
      <c r="BB481" s="446"/>
      <c r="BC481" s="446"/>
      <c r="BD481" s="446"/>
      <c r="BE481" s="446"/>
      <c r="BF481" s="446"/>
      <c r="BG481" s="446"/>
      <c r="BH481" s="446"/>
      <c r="BI481" s="446"/>
      <c r="BJ481" s="446"/>
      <c r="BK481" s="446"/>
      <c r="BL481" s="446"/>
      <c r="BM481" s="446"/>
      <c r="BN481" s="446"/>
      <c r="BO481" s="446"/>
      <c r="BP481" s="446"/>
      <c r="BQ481" s="446"/>
      <c r="BR481" s="446"/>
      <c r="BS481" s="446"/>
      <c r="BT481" s="446"/>
      <c r="BU481" s="562"/>
      <c r="BV481" s="446"/>
      <c r="BW481" s="446"/>
      <c r="BX481" s="446"/>
      <c r="BY481" s="446"/>
      <c r="BZ481" s="446"/>
      <c r="CA481" s="446"/>
      <c r="CB481" s="446"/>
      <c r="CC481" s="446"/>
      <c r="CD481" s="446"/>
      <c r="CE481" s="446"/>
      <c r="CF481" s="446"/>
      <c r="CG481" s="446"/>
      <c r="CH481" s="446"/>
      <c r="CI481" s="446"/>
      <c r="CJ481" s="446"/>
      <c r="CK481" s="446"/>
      <c r="CL481" s="446"/>
      <c r="CM481" s="446"/>
      <c r="CN481" s="446"/>
      <c r="CO481" s="446"/>
      <c r="CP481" s="446"/>
      <c r="CQ481" s="446"/>
      <c r="CR481" s="446"/>
      <c r="CS481" s="446"/>
      <c r="CT481" s="446"/>
      <c r="CU481" s="446"/>
      <c r="CV481" s="446"/>
      <c r="CW481" s="233"/>
      <c r="CX481" s="446"/>
      <c r="CY481" s="446"/>
      <c r="CZ481" s="446"/>
      <c r="DA481" s="446"/>
      <c r="DB481" s="446"/>
      <c r="DC481" s="446"/>
      <c r="DD481" s="446"/>
      <c r="DE481" s="446"/>
      <c r="DF481" s="446"/>
      <c r="DG481" s="446"/>
      <c r="DH481" s="446"/>
      <c r="DI481" s="446"/>
      <c r="DJ481" s="446"/>
      <c r="DK481" s="446"/>
      <c r="DL481" s="446"/>
      <c r="DM481" s="446"/>
      <c r="DN481" s="446"/>
      <c r="DO481" s="446"/>
      <c r="DP481" s="446"/>
      <c r="DQ481" s="446"/>
      <c r="DR481" s="446"/>
      <c r="DS481" s="446"/>
      <c r="DT481" s="446"/>
      <c r="DU481" s="446"/>
      <c r="DV481" s="446"/>
      <c r="DW481" s="446"/>
      <c r="DX481" s="446"/>
      <c r="DY481" s="446"/>
      <c r="DZ481" s="283"/>
    </row>
    <row r="482" spans="4:130" s="223" customFormat="1" x14ac:dyDescent="0.2">
      <c r="D482" s="856"/>
      <c r="E482" s="856"/>
      <c r="F482" s="856"/>
      <c r="G482" s="856"/>
      <c r="H482" s="856"/>
      <c r="I482" s="856"/>
      <c r="J482" s="856"/>
      <c r="K482" s="856"/>
      <c r="L482" s="856"/>
      <c r="M482" s="856"/>
      <c r="N482" s="857"/>
      <c r="O482" s="856"/>
      <c r="P482" s="856"/>
      <c r="Q482" s="858"/>
      <c r="R482" s="858"/>
      <c r="S482" s="876"/>
      <c r="T482" s="856"/>
      <c r="U482" s="856"/>
      <c r="V482" s="856"/>
      <c r="W482" s="856"/>
      <c r="X482" s="856"/>
      <c r="Y482" s="355"/>
      <c r="AB482" s="446"/>
      <c r="AC482" s="446"/>
      <c r="AD482" s="562"/>
      <c r="AE482" s="446"/>
      <c r="AF482" s="446"/>
      <c r="AG482" s="446"/>
      <c r="AH482" s="446"/>
      <c r="AI482" s="446"/>
      <c r="AJ482" s="446"/>
      <c r="AK482" s="446"/>
      <c r="AL482" s="446"/>
      <c r="AM482" s="446"/>
      <c r="AN482" s="446"/>
      <c r="AO482" s="446"/>
      <c r="AP482" s="446"/>
      <c r="AQ482" s="446"/>
      <c r="AR482" s="446"/>
      <c r="AS482" s="446"/>
      <c r="AT482" s="446"/>
      <c r="AU482" s="446"/>
      <c r="AV482" s="446"/>
      <c r="AW482" s="446"/>
      <c r="AX482" s="446"/>
      <c r="AY482" s="446"/>
      <c r="AZ482" s="446"/>
      <c r="BA482" s="446"/>
      <c r="BB482" s="446"/>
      <c r="BC482" s="446"/>
      <c r="BD482" s="446"/>
      <c r="BE482" s="446"/>
      <c r="BF482" s="446"/>
      <c r="BG482" s="446"/>
      <c r="BH482" s="446"/>
      <c r="BI482" s="446"/>
      <c r="BJ482" s="446"/>
      <c r="BK482" s="446"/>
      <c r="BL482" s="446"/>
      <c r="BM482" s="446"/>
      <c r="BN482" s="446"/>
      <c r="BO482" s="446"/>
      <c r="BP482" s="446"/>
      <c r="BQ482" s="446"/>
      <c r="BR482" s="446"/>
      <c r="BS482" s="446"/>
      <c r="BT482" s="446"/>
      <c r="BU482" s="562"/>
      <c r="BV482" s="446"/>
      <c r="BW482" s="446"/>
      <c r="BX482" s="446"/>
      <c r="BY482" s="446"/>
      <c r="BZ482" s="446"/>
      <c r="CA482" s="446"/>
      <c r="CB482" s="446"/>
      <c r="CC482" s="446"/>
      <c r="CD482" s="446"/>
      <c r="CE482" s="446"/>
      <c r="CF482" s="446"/>
      <c r="CG482" s="446"/>
      <c r="CH482" s="446"/>
      <c r="CI482" s="446"/>
      <c r="CJ482" s="446"/>
      <c r="CK482" s="446"/>
      <c r="CL482" s="446"/>
      <c r="CM482" s="446"/>
      <c r="CN482" s="446"/>
      <c r="CO482" s="446"/>
      <c r="CP482" s="446"/>
      <c r="CQ482" s="446"/>
      <c r="CR482" s="446"/>
      <c r="CS482" s="446"/>
      <c r="CT482" s="446"/>
      <c r="CU482" s="446"/>
      <c r="CV482" s="446"/>
      <c r="CW482" s="233"/>
      <c r="CX482" s="446"/>
      <c r="CY482" s="446"/>
      <c r="CZ482" s="446"/>
      <c r="DA482" s="446"/>
      <c r="DB482" s="446"/>
      <c r="DC482" s="446"/>
      <c r="DD482" s="446"/>
      <c r="DE482" s="446"/>
      <c r="DF482" s="446"/>
      <c r="DG482" s="446"/>
      <c r="DH482" s="446"/>
      <c r="DI482" s="446"/>
      <c r="DJ482" s="446"/>
      <c r="DK482" s="446"/>
      <c r="DL482" s="446"/>
      <c r="DM482" s="446"/>
      <c r="DN482" s="446"/>
      <c r="DO482" s="446"/>
      <c r="DP482" s="446"/>
      <c r="DQ482" s="446"/>
      <c r="DR482" s="446"/>
      <c r="DS482" s="446"/>
      <c r="DT482" s="446"/>
      <c r="DU482" s="446"/>
      <c r="DV482" s="446"/>
      <c r="DW482" s="446"/>
      <c r="DX482" s="446"/>
      <c r="DY482" s="446"/>
      <c r="DZ482" s="283"/>
    </row>
    <row r="483" spans="4:130" s="223" customFormat="1" x14ac:dyDescent="0.2">
      <c r="D483" s="856"/>
      <c r="E483" s="856"/>
      <c r="F483" s="856"/>
      <c r="G483" s="856"/>
      <c r="H483" s="856"/>
      <c r="I483" s="856"/>
      <c r="J483" s="856"/>
      <c r="K483" s="856"/>
      <c r="L483" s="856"/>
      <c r="M483" s="856"/>
      <c r="N483" s="857"/>
      <c r="O483" s="856"/>
      <c r="P483" s="856"/>
      <c r="Q483" s="858"/>
      <c r="R483" s="858"/>
      <c r="S483" s="876"/>
      <c r="T483" s="856"/>
      <c r="U483" s="856"/>
      <c r="V483" s="856"/>
      <c r="W483" s="856"/>
      <c r="X483" s="856"/>
      <c r="Y483" s="355"/>
      <c r="AB483" s="446"/>
      <c r="AC483" s="446"/>
      <c r="AD483" s="562"/>
      <c r="AE483" s="446"/>
      <c r="AF483" s="446"/>
      <c r="AG483" s="446"/>
      <c r="AH483" s="446"/>
      <c r="AI483" s="446"/>
      <c r="AJ483" s="446"/>
      <c r="AK483" s="446"/>
      <c r="AL483" s="446"/>
      <c r="AM483" s="446"/>
      <c r="AN483" s="446"/>
      <c r="AO483" s="446"/>
      <c r="AP483" s="446"/>
      <c r="AQ483" s="446"/>
      <c r="AR483" s="446"/>
      <c r="AS483" s="446"/>
      <c r="AT483" s="446"/>
      <c r="AU483" s="446"/>
      <c r="AV483" s="446"/>
      <c r="AW483" s="446"/>
      <c r="AX483" s="446"/>
      <c r="AY483" s="446"/>
      <c r="AZ483" s="446"/>
      <c r="BA483" s="446"/>
      <c r="BB483" s="446"/>
      <c r="BC483" s="446"/>
      <c r="BD483" s="446"/>
      <c r="BE483" s="446"/>
      <c r="BF483" s="446"/>
      <c r="BG483" s="446"/>
      <c r="BH483" s="446"/>
      <c r="BI483" s="446"/>
      <c r="BJ483" s="446"/>
      <c r="BK483" s="446"/>
      <c r="BL483" s="446"/>
      <c r="BM483" s="446"/>
      <c r="BN483" s="446"/>
      <c r="BO483" s="446"/>
      <c r="BP483" s="446"/>
      <c r="BQ483" s="446"/>
      <c r="BR483" s="446"/>
      <c r="BS483" s="446"/>
      <c r="BT483" s="446"/>
      <c r="BU483" s="562"/>
      <c r="BV483" s="446"/>
      <c r="BW483" s="446"/>
      <c r="BX483" s="446"/>
      <c r="BY483" s="446"/>
      <c r="BZ483" s="446"/>
      <c r="CA483" s="446"/>
      <c r="CB483" s="446"/>
      <c r="CC483" s="446"/>
      <c r="CD483" s="446"/>
      <c r="CE483" s="446"/>
      <c r="CF483" s="446"/>
      <c r="CG483" s="446"/>
      <c r="CH483" s="446"/>
      <c r="CI483" s="446"/>
      <c r="CJ483" s="446"/>
      <c r="CK483" s="446"/>
      <c r="CL483" s="446"/>
      <c r="CM483" s="446"/>
      <c r="CN483" s="446"/>
      <c r="CO483" s="446"/>
      <c r="CP483" s="446"/>
      <c r="CQ483" s="446"/>
      <c r="CR483" s="446"/>
      <c r="CS483" s="446"/>
      <c r="CT483" s="446"/>
      <c r="CU483" s="446"/>
      <c r="CV483" s="446"/>
      <c r="CW483" s="233"/>
      <c r="CX483" s="446"/>
      <c r="CY483" s="446"/>
      <c r="CZ483" s="446"/>
      <c r="DA483" s="446"/>
      <c r="DB483" s="446"/>
      <c r="DC483" s="446"/>
      <c r="DD483" s="446"/>
      <c r="DE483" s="446"/>
      <c r="DF483" s="446"/>
      <c r="DG483" s="446"/>
      <c r="DH483" s="446"/>
      <c r="DI483" s="446"/>
      <c r="DJ483" s="446"/>
      <c r="DK483" s="446"/>
      <c r="DL483" s="446"/>
      <c r="DM483" s="446"/>
      <c r="DN483" s="446"/>
      <c r="DO483" s="446"/>
      <c r="DP483" s="446"/>
      <c r="DQ483" s="446"/>
      <c r="DR483" s="446"/>
      <c r="DS483" s="446"/>
      <c r="DT483" s="446"/>
      <c r="DU483" s="446"/>
      <c r="DV483" s="446"/>
      <c r="DW483" s="446"/>
      <c r="DX483" s="446"/>
      <c r="DY483" s="446"/>
      <c r="DZ483" s="283"/>
    </row>
    <row r="484" spans="4:130" s="223" customFormat="1" x14ac:dyDescent="0.2">
      <c r="D484" s="856"/>
      <c r="E484" s="856"/>
      <c r="F484" s="856"/>
      <c r="G484" s="856"/>
      <c r="H484" s="856"/>
      <c r="I484" s="856"/>
      <c r="J484" s="856"/>
      <c r="K484" s="856"/>
      <c r="L484" s="856"/>
      <c r="M484" s="856"/>
      <c r="N484" s="857"/>
      <c r="O484" s="856"/>
      <c r="P484" s="856"/>
      <c r="Q484" s="858"/>
      <c r="R484" s="858"/>
      <c r="S484" s="876"/>
      <c r="T484" s="856"/>
      <c r="U484" s="856"/>
      <c r="V484" s="856"/>
      <c r="W484" s="856"/>
      <c r="X484" s="856"/>
      <c r="Y484" s="355"/>
      <c r="AB484" s="446"/>
      <c r="AC484" s="446"/>
      <c r="AD484" s="562"/>
      <c r="AE484" s="446"/>
      <c r="AF484" s="446"/>
      <c r="AG484" s="446"/>
      <c r="AH484" s="446"/>
      <c r="AI484" s="446"/>
      <c r="AJ484" s="446"/>
      <c r="AK484" s="446"/>
      <c r="AL484" s="446"/>
      <c r="AM484" s="446"/>
      <c r="AN484" s="446"/>
      <c r="AO484" s="446"/>
      <c r="AP484" s="446"/>
      <c r="AQ484" s="446"/>
      <c r="AR484" s="446"/>
      <c r="AS484" s="446"/>
      <c r="AT484" s="446"/>
      <c r="AU484" s="446"/>
      <c r="AV484" s="446"/>
      <c r="AW484" s="446"/>
      <c r="AX484" s="446"/>
      <c r="AY484" s="446"/>
      <c r="AZ484" s="446"/>
      <c r="BA484" s="446"/>
      <c r="BB484" s="446"/>
      <c r="BC484" s="446"/>
      <c r="BD484" s="446"/>
      <c r="BE484" s="446"/>
      <c r="BF484" s="446"/>
      <c r="BG484" s="446"/>
      <c r="BH484" s="446"/>
      <c r="BI484" s="446"/>
      <c r="BJ484" s="446"/>
      <c r="BK484" s="446"/>
      <c r="BL484" s="446"/>
      <c r="BM484" s="446"/>
      <c r="BN484" s="446"/>
      <c r="BO484" s="446"/>
      <c r="BP484" s="446"/>
      <c r="BQ484" s="446"/>
      <c r="BR484" s="446"/>
      <c r="BS484" s="446"/>
      <c r="BT484" s="446"/>
      <c r="BU484" s="562"/>
      <c r="BV484" s="446"/>
      <c r="BW484" s="446"/>
      <c r="BX484" s="446"/>
      <c r="BY484" s="446"/>
      <c r="BZ484" s="446"/>
      <c r="CA484" s="446"/>
      <c r="CB484" s="446"/>
      <c r="CC484" s="446"/>
      <c r="CD484" s="446"/>
      <c r="CE484" s="446"/>
      <c r="CF484" s="446"/>
      <c r="CG484" s="446"/>
      <c r="CH484" s="446"/>
      <c r="CI484" s="446"/>
      <c r="CJ484" s="446"/>
      <c r="CK484" s="446"/>
      <c r="CL484" s="446"/>
      <c r="CM484" s="446"/>
      <c r="CN484" s="446"/>
      <c r="CO484" s="446"/>
      <c r="CP484" s="446"/>
      <c r="CQ484" s="446"/>
      <c r="CR484" s="446"/>
      <c r="CS484" s="446"/>
      <c r="CT484" s="446"/>
      <c r="CU484" s="446"/>
      <c r="CV484" s="446"/>
      <c r="CW484" s="233"/>
      <c r="CX484" s="446"/>
      <c r="CY484" s="446"/>
      <c r="CZ484" s="446"/>
      <c r="DA484" s="446"/>
      <c r="DB484" s="446"/>
      <c r="DC484" s="446"/>
      <c r="DD484" s="446"/>
      <c r="DE484" s="446"/>
      <c r="DF484" s="446"/>
      <c r="DG484" s="446"/>
      <c r="DH484" s="446"/>
      <c r="DI484" s="446"/>
      <c r="DJ484" s="446"/>
      <c r="DK484" s="446"/>
      <c r="DL484" s="446"/>
      <c r="DM484" s="446"/>
      <c r="DN484" s="446"/>
      <c r="DO484" s="446"/>
      <c r="DP484" s="446"/>
      <c r="DQ484" s="446"/>
      <c r="DR484" s="446"/>
      <c r="DS484" s="446"/>
      <c r="DT484" s="446"/>
      <c r="DU484" s="446"/>
      <c r="DV484" s="446"/>
      <c r="DW484" s="446"/>
      <c r="DX484" s="446"/>
      <c r="DY484" s="446"/>
      <c r="DZ484" s="283"/>
    </row>
    <row r="485" spans="4:130" s="223" customFormat="1" x14ac:dyDescent="0.2">
      <c r="D485" s="856"/>
      <c r="E485" s="856"/>
      <c r="F485" s="856"/>
      <c r="G485" s="856"/>
      <c r="H485" s="856"/>
      <c r="I485" s="856"/>
      <c r="J485" s="856"/>
      <c r="K485" s="856"/>
      <c r="L485" s="856"/>
      <c r="M485" s="856"/>
      <c r="N485" s="857"/>
      <c r="O485" s="856"/>
      <c r="P485" s="856"/>
      <c r="Q485" s="858"/>
      <c r="R485" s="858"/>
      <c r="S485" s="876"/>
      <c r="T485" s="856"/>
      <c r="U485" s="856"/>
      <c r="V485" s="856"/>
      <c r="W485" s="856"/>
      <c r="X485" s="856"/>
      <c r="Y485" s="355"/>
      <c r="AB485" s="446"/>
      <c r="AC485" s="446"/>
      <c r="AD485" s="562"/>
      <c r="AE485" s="446"/>
      <c r="AF485" s="446"/>
      <c r="AG485" s="446"/>
      <c r="AH485" s="446"/>
      <c r="AI485" s="446"/>
      <c r="AJ485" s="446"/>
      <c r="AK485" s="446"/>
      <c r="AL485" s="446"/>
      <c r="AM485" s="446"/>
      <c r="AN485" s="446"/>
      <c r="AO485" s="446"/>
      <c r="AP485" s="446"/>
      <c r="AQ485" s="446"/>
      <c r="AR485" s="446"/>
      <c r="AS485" s="446"/>
      <c r="AT485" s="446"/>
      <c r="AU485" s="446"/>
      <c r="AV485" s="446"/>
      <c r="AW485" s="446"/>
      <c r="AX485" s="446"/>
      <c r="AY485" s="446"/>
      <c r="AZ485" s="446"/>
      <c r="BA485" s="446"/>
      <c r="BB485" s="446"/>
      <c r="BC485" s="446"/>
      <c r="BD485" s="446"/>
      <c r="BE485" s="446"/>
      <c r="BF485" s="446"/>
      <c r="BG485" s="446"/>
      <c r="BH485" s="446"/>
      <c r="BI485" s="446"/>
      <c r="BJ485" s="446"/>
      <c r="BK485" s="446"/>
      <c r="BL485" s="446"/>
      <c r="BM485" s="446"/>
      <c r="BN485" s="446"/>
      <c r="BO485" s="446"/>
      <c r="BP485" s="446"/>
      <c r="BQ485" s="446"/>
      <c r="BR485" s="446"/>
      <c r="BS485" s="446"/>
      <c r="BT485" s="446"/>
      <c r="BU485" s="562"/>
      <c r="BV485" s="446"/>
      <c r="BW485" s="446"/>
      <c r="BX485" s="446"/>
      <c r="BY485" s="446"/>
      <c r="BZ485" s="446"/>
      <c r="CA485" s="446"/>
      <c r="CB485" s="446"/>
      <c r="CC485" s="446"/>
      <c r="CD485" s="446"/>
      <c r="CE485" s="446"/>
      <c r="CF485" s="446"/>
      <c r="CG485" s="446"/>
      <c r="CH485" s="446"/>
      <c r="CI485" s="446"/>
      <c r="CJ485" s="446"/>
      <c r="CK485" s="446"/>
      <c r="CL485" s="446"/>
      <c r="CM485" s="446"/>
      <c r="CN485" s="446"/>
      <c r="CO485" s="446"/>
      <c r="CP485" s="446"/>
      <c r="CQ485" s="446"/>
      <c r="CR485" s="446"/>
      <c r="CS485" s="446"/>
      <c r="CT485" s="446"/>
      <c r="CU485" s="446"/>
      <c r="CV485" s="446"/>
      <c r="CW485" s="233"/>
      <c r="CX485" s="446"/>
      <c r="CY485" s="446"/>
      <c r="CZ485" s="446"/>
      <c r="DA485" s="446"/>
      <c r="DB485" s="446"/>
      <c r="DC485" s="446"/>
      <c r="DD485" s="446"/>
      <c r="DE485" s="446"/>
      <c r="DF485" s="446"/>
      <c r="DG485" s="446"/>
      <c r="DH485" s="446"/>
      <c r="DI485" s="446"/>
      <c r="DJ485" s="446"/>
      <c r="DK485" s="446"/>
      <c r="DL485" s="446"/>
      <c r="DM485" s="446"/>
      <c r="DN485" s="446"/>
      <c r="DO485" s="446"/>
      <c r="DP485" s="446"/>
      <c r="DQ485" s="446"/>
      <c r="DR485" s="446"/>
      <c r="DS485" s="446"/>
      <c r="DT485" s="446"/>
      <c r="DU485" s="446"/>
      <c r="DV485" s="446"/>
      <c r="DW485" s="446"/>
      <c r="DX485" s="446"/>
      <c r="DY485" s="446"/>
      <c r="DZ485" s="283"/>
    </row>
    <row r="486" spans="4:130" s="223" customFormat="1" x14ac:dyDescent="0.2">
      <c r="D486" s="856"/>
      <c r="E486" s="856"/>
      <c r="F486" s="856"/>
      <c r="G486" s="856"/>
      <c r="H486" s="856"/>
      <c r="I486" s="856"/>
      <c r="J486" s="856"/>
      <c r="K486" s="856"/>
      <c r="L486" s="856"/>
      <c r="M486" s="856"/>
      <c r="N486" s="857"/>
      <c r="O486" s="856"/>
      <c r="P486" s="856"/>
      <c r="Q486" s="858"/>
      <c r="R486" s="858"/>
      <c r="S486" s="876"/>
      <c r="T486" s="856"/>
      <c r="U486" s="856"/>
      <c r="V486" s="856"/>
      <c r="W486" s="856"/>
      <c r="X486" s="856"/>
      <c r="Y486" s="355"/>
      <c r="AB486" s="446"/>
      <c r="AC486" s="446"/>
      <c r="AD486" s="562"/>
      <c r="AE486" s="446"/>
      <c r="AF486" s="446"/>
      <c r="AG486" s="446"/>
      <c r="AH486" s="446"/>
      <c r="AI486" s="446"/>
      <c r="AJ486" s="446"/>
      <c r="AK486" s="446"/>
      <c r="AL486" s="446"/>
      <c r="AM486" s="446"/>
      <c r="AN486" s="446"/>
      <c r="AO486" s="446"/>
      <c r="AP486" s="446"/>
      <c r="AQ486" s="446"/>
      <c r="AR486" s="446"/>
      <c r="AS486" s="446"/>
      <c r="AT486" s="446"/>
      <c r="AU486" s="446"/>
      <c r="AV486" s="446"/>
      <c r="AW486" s="446"/>
      <c r="AX486" s="446"/>
      <c r="AY486" s="446"/>
      <c r="AZ486" s="446"/>
      <c r="BA486" s="446"/>
      <c r="BB486" s="446"/>
      <c r="BC486" s="446"/>
      <c r="BD486" s="446"/>
      <c r="BE486" s="446"/>
      <c r="BF486" s="446"/>
      <c r="BG486" s="446"/>
      <c r="BH486" s="446"/>
      <c r="BI486" s="446"/>
      <c r="BJ486" s="446"/>
      <c r="BK486" s="446"/>
      <c r="BL486" s="446"/>
      <c r="BM486" s="446"/>
      <c r="BN486" s="446"/>
      <c r="BO486" s="446"/>
      <c r="BP486" s="446"/>
      <c r="BQ486" s="446"/>
      <c r="BR486" s="446"/>
      <c r="BS486" s="446"/>
      <c r="BT486" s="446"/>
      <c r="BU486" s="562"/>
      <c r="BV486" s="446"/>
      <c r="BW486" s="446"/>
      <c r="BX486" s="446"/>
      <c r="BY486" s="446"/>
      <c r="BZ486" s="446"/>
      <c r="CA486" s="446"/>
      <c r="CB486" s="446"/>
      <c r="CC486" s="446"/>
      <c r="CD486" s="446"/>
      <c r="CE486" s="446"/>
      <c r="CF486" s="446"/>
      <c r="CG486" s="446"/>
      <c r="CH486" s="446"/>
      <c r="CI486" s="446"/>
      <c r="CJ486" s="446"/>
      <c r="CK486" s="446"/>
      <c r="CL486" s="446"/>
      <c r="CM486" s="446"/>
      <c r="CN486" s="446"/>
      <c r="CO486" s="446"/>
      <c r="CP486" s="446"/>
      <c r="CQ486" s="446"/>
      <c r="CR486" s="446"/>
      <c r="CS486" s="446"/>
      <c r="CT486" s="446"/>
      <c r="CU486" s="446"/>
      <c r="CV486" s="446"/>
      <c r="CW486" s="233"/>
      <c r="CX486" s="446"/>
      <c r="CY486" s="446"/>
      <c r="CZ486" s="446"/>
      <c r="DA486" s="446"/>
      <c r="DB486" s="446"/>
      <c r="DC486" s="446"/>
      <c r="DD486" s="446"/>
      <c r="DE486" s="446"/>
      <c r="DF486" s="446"/>
      <c r="DG486" s="446"/>
      <c r="DH486" s="446"/>
      <c r="DI486" s="446"/>
      <c r="DJ486" s="446"/>
      <c r="DK486" s="446"/>
      <c r="DL486" s="446"/>
      <c r="DM486" s="446"/>
      <c r="DN486" s="446"/>
      <c r="DO486" s="446"/>
      <c r="DP486" s="446"/>
      <c r="DQ486" s="446"/>
      <c r="DR486" s="446"/>
      <c r="DS486" s="446"/>
      <c r="DT486" s="446"/>
      <c r="DU486" s="446"/>
      <c r="DV486" s="446"/>
      <c r="DW486" s="446"/>
      <c r="DX486" s="446"/>
      <c r="DY486" s="446"/>
      <c r="DZ486" s="283"/>
    </row>
    <row r="487" spans="4:130" s="223" customFormat="1" x14ac:dyDescent="0.2">
      <c r="D487" s="856"/>
      <c r="E487" s="856"/>
      <c r="F487" s="856"/>
      <c r="G487" s="856"/>
      <c r="H487" s="856"/>
      <c r="I487" s="856"/>
      <c r="J487" s="856"/>
      <c r="K487" s="856"/>
      <c r="L487" s="856"/>
      <c r="M487" s="856"/>
      <c r="N487" s="857"/>
      <c r="O487" s="856"/>
      <c r="P487" s="856"/>
      <c r="Q487" s="858"/>
      <c r="R487" s="858"/>
      <c r="S487" s="876"/>
      <c r="T487" s="856"/>
      <c r="U487" s="856"/>
      <c r="V487" s="856"/>
      <c r="W487" s="856"/>
      <c r="X487" s="856"/>
      <c r="Y487" s="355"/>
      <c r="AB487" s="446"/>
      <c r="AC487" s="446"/>
      <c r="AD487" s="562"/>
      <c r="AE487" s="446"/>
      <c r="AF487" s="446"/>
      <c r="AG487" s="446"/>
      <c r="AH487" s="446"/>
      <c r="AI487" s="446"/>
      <c r="AJ487" s="446"/>
      <c r="AK487" s="446"/>
      <c r="AL487" s="446"/>
      <c r="AM487" s="446"/>
      <c r="AN487" s="446"/>
      <c r="AO487" s="446"/>
      <c r="AP487" s="446"/>
      <c r="AQ487" s="446"/>
      <c r="AR487" s="446"/>
      <c r="AS487" s="446"/>
      <c r="AT487" s="446"/>
      <c r="AU487" s="446"/>
      <c r="AV487" s="446"/>
      <c r="AW487" s="446"/>
      <c r="AX487" s="446"/>
      <c r="AY487" s="446"/>
      <c r="AZ487" s="446"/>
      <c r="BA487" s="446"/>
      <c r="BB487" s="446"/>
      <c r="BC487" s="446"/>
      <c r="BD487" s="446"/>
      <c r="BE487" s="446"/>
      <c r="BF487" s="446"/>
      <c r="BG487" s="446"/>
      <c r="BH487" s="446"/>
      <c r="BI487" s="446"/>
      <c r="BJ487" s="446"/>
      <c r="BK487" s="446"/>
      <c r="BL487" s="446"/>
      <c r="BM487" s="446"/>
      <c r="BN487" s="446"/>
      <c r="BO487" s="446"/>
      <c r="BP487" s="446"/>
      <c r="BQ487" s="446"/>
      <c r="BR487" s="446"/>
      <c r="BS487" s="446"/>
      <c r="BT487" s="446"/>
      <c r="BU487" s="562"/>
      <c r="BV487" s="446"/>
      <c r="BW487" s="446"/>
      <c r="BX487" s="446"/>
      <c r="BY487" s="446"/>
      <c r="BZ487" s="446"/>
      <c r="CA487" s="446"/>
      <c r="CB487" s="446"/>
      <c r="CC487" s="446"/>
      <c r="CD487" s="446"/>
      <c r="CE487" s="446"/>
      <c r="CF487" s="446"/>
      <c r="CG487" s="446"/>
      <c r="CH487" s="446"/>
      <c r="CI487" s="446"/>
      <c r="CJ487" s="446"/>
      <c r="CK487" s="446"/>
      <c r="CL487" s="446"/>
      <c r="CM487" s="446"/>
      <c r="CN487" s="446"/>
      <c r="CO487" s="446"/>
      <c r="CP487" s="446"/>
      <c r="CQ487" s="446"/>
      <c r="CR487" s="446"/>
      <c r="CS487" s="446"/>
      <c r="CT487" s="446"/>
      <c r="CU487" s="446"/>
      <c r="CV487" s="446"/>
      <c r="CW487" s="233"/>
      <c r="CX487" s="446"/>
      <c r="CY487" s="446"/>
      <c r="CZ487" s="446"/>
      <c r="DA487" s="446"/>
      <c r="DB487" s="446"/>
      <c r="DC487" s="446"/>
      <c r="DD487" s="446"/>
      <c r="DE487" s="446"/>
      <c r="DF487" s="446"/>
      <c r="DG487" s="446"/>
      <c r="DH487" s="446"/>
      <c r="DI487" s="446"/>
      <c r="DJ487" s="446"/>
      <c r="DK487" s="446"/>
      <c r="DL487" s="446"/>
      <c r="DM487" s="446"/>
      <c r="DN487" s="446"/>
      <c r="DO487" s="446"/>
      <c r="DP487" s="446"/>
      <c r="DQ487" s="446"/>
      <c r="DR487" s="446"/>
      <c r="DS487" s="446"/>
      <c r="DT487" s="446"/>
      <c r="DU487" s="446"/>
      <c r="DV487" s="446"/>
      <c r="DW487" s="446"/>
      <c r="DX487" s="446"/>
      <c r="DY487" s="446"/>
      <c r="DZ487" s="283"/>
    </row>
    <row r="488" spans="4:130" s="223" customFormat="1" x14ac:dyDescent="0.2">
      <c r="D488" s="856"/>
      <c r="E488" s="856"/>
      <c r="F488" s="856"/>
      <c r="G488" s="856"/>
      <c r="H488" s="856"/>
      <c r="I488" s="856"/>
      <c r="J488" s="856"/>
      <c r="K488" s="856"/>
      <c r="L488" s="856"/>
      <c r="M488" s="856"/>
      <c r="N488" s="857"/>
      <c r="O488" s="856"/>
      <c r="P488" s="856"/>
      <c r="Q488" s="858"/>
      <c r="R488" s="858"/>
      <c r="S488" s="876"/>
      <c r="T488" s="856"/>
      <c r="U488" s="856"/>
      <c r="V488" s="856"/>
      <c r="W488" s="856"/>
      <c r="X488" s="856"/>
      <c r="Y488" s="355"/>
      <c r="AB488" s="446"/>
      <c r="AC488" s="446"/>
      <c r="AD488" s="562"/>
      <c r="AE488" s="446"/>
      <c r="AF488" s="446"/>
      <c r="AG488" s="446"/>
      <c r="AH488" s="446"/>
      <c r="AI488" s="446"/>
      <c r="AJ488" s="446"/>
      <c r="AK488" s="446"/>
      <c r="AL488" s="446"/>
      <c r="AM488" s="446"/>
      <c r="AN488" s="446"/>
      <c r="AO488" s="446"/>
      <c r="AP488" s="446"/>
      <c r="AQ488" s="446"/>
      <c r="AR488" s="446"/>
      <c r="AS488" s="446"/>
      <c r="AT488" s="446"/>
      <c r="AU488" s="446"/>
      <c r="AV488" s="446"/>
      <c r="AW488" s="446"/>
      <c r="AX488" s="446"/>
      <c r="AY488" s="446"/>
      <c r="AZ488" s="446"/>
      <c r="BA488" s="446"/>
      <c r="BB488" s="446"/>
      <c r="BC488" s="446"/>
      <c r="BD488" s="446"/>
      <c r="BE488" s="446"/>
      <c r="BF488" s="446"/>
      <c r="BG488" s="446"/>
      <c r="BH488" s="446"/>
      <c r="BI488" s="446"/>
      <c r="BJ488" s="446"/>
      <c r="BK488" s="446"/>
      <c r="BL488" s="446"/>
      <c r="BM488" s="446"/>
      <c r="BN488" s="446"/>
      <c r="BO488" s="446"/>
      <c r="BP488" s="446"/>
      <c r="BQ488" s="446"/>
      <c r="BR488" s="446"/>
      <c r="BS488" s="446"/>
      <c r="BT488" s="446"/>
      <c r="BU488" s="562"/>
      <c r="BV488" s="446"/>
      <c r="BW488" s="446"/>
      <c r="BX488" s="446"/>
      <c r="BY488" s="446"/>
      <c r="BZ488" s="446"/>
      <c r="CA488" s="446"/>
      <c r="CB488" s="446"/>
      <c r="CC488" s="446"/>
      <c r="CD488" s="446"/>
      <c r="CE488" s="446"/>
      <c r="CF488" s="446"/>
      <c r="CG488" s="446"/>
      <c r="CH488" s="446"/>
      <c r="CI488" s="446"/>
      <c r="CJ488" s="446"/>
      <c r="CK488" s="446"/>
      <c r="CL488" s="446"/>
      <c r="CM488" s="446"/>
      <c r="CN488" s="446"/>
      <c r="CO488" s="446"/>
      <c r="CP488" s="446"/>
      <c r="CQ488" s="446"/>
      <c r="CR488" s="446"/>
      <c r="CS488" s="446"/>
      <c r="CT488" s="446"/>
      <c r="CU488" s="446"/>
      <c r="CV488" s="446"/>
      <c r="CW488" s="233"/>
      <c r="CX488" s="446"/>
      <c r="CY488" s="446"/>
      <c r="CZ488" s="446"/>
      <c r="DA488" s="446"/>
      <c r="DB488" s="446"/>
      <c r="DC488" s="446"/>
      <c r="DD488" s="446"/>
      <c r="DE488" s="446"/>
      <c r="DF488" s="446"/>
      <c r="DG488" s="446"/>
      <c r="DH488" s="446"/>
      <c r="DI488" s="446"/>
      <c r="DJ488" s="446"/>
      <c r="DK488" s="446"/>
      <c r="DL488" s="446"/>
      <c r="DM488" s="446"/>
      <c r="DN488" s="446"/>
      <c r="DO488" s="446"/>
      <c r="DP488" s="446"/>
      <c r="DQ488" s="446"/>
      <c r="DR488" s="446"/>
      <c r="DS488" s="446"/>
      <c r="DT488" s="446"/>
      <c r="DU488" s="446"/>
      <c r="DV488" s="446"/>
      <c r="DW488" s="446"/>
      <c r="DX488" s="446"/>
      <c r="DY488" s="446"/>
      <c r="DZ488" s="283"/>
    </row>
    <row r="489" spans="4:130" s="223" customFormat="1" x14ac:dyDescent="0.2">
      <c r="D489" s="856"/>
      <c r="E489" s="856"/>
      <c r="F489" s="856"/>
      <c r="G489" s="856"/>
      <c r="H489" s="856"/>
      <c r="I489" s="856"/>
      <c r="J489" s="856"/>
      <c r="K489" s="856"/>
      <c r="L489" s="856"/>
      <c r="M489" s="856"/>
      <c r="N489" s="857"/>
      <c r="O489" s="856"/>
      <c r="P489" s="856"/>
      <c r="Q489" s="858"/>
      <c r="R489" s="858"/>
      <c r="S489" s="876"/>
      <c r="T489" s="856"/>
      <c r="U489" s="856"/>
      <c r="V489" s="856"/>
      <c r="W489" s="856"/>
      <c r="X489" s="856"/>
      <c r="Y489" s="355"/>
      <c r="AB489" s="446"/>
      <c r="AC489" s="446"/>
      <c r="AD489" s="562"/>
      <c r="AE489" s="446"/>
      <c r="AF489" s="446"/>
      <c r="AG489" s="446"/>
      <c r="AH489" s="446"/>
      <c r="AI489" s="446"/>
      <c r="AJ489" s="446"/>
      <c r="AK489" s="446"/>
      <c r="AL489" s="446"/>
      <c r="AM489" s="446"/>
      <c r="AN489" s="446"/>
      <c r="AO489" s="446"/>
      <c r="AP489" s="446"/>
      <c r="AQ489" s="446"/>
      <c r="AR489" s="446"/>
      <c r="AS489" s="446"/>
      <c r="AT489" s="446"/>
      <c r="AU489" s="446"/>
      <c r="AV489" s="446"/>
      <c r="AW489" s="446"/>
      <c r="AX489" s="446"/>
      <c r="AY489" s="446"/>
      <c r="AZ489" s="446"/>
      <c r="BA489" s="446"/>
      <c r="BB489" s="446"/>
      <c r="BC489" s="446"/>
      <c r="BD489" s="446"/>
      <c r="BE489" s="446"/>
      <c r="BF489" s="446"/>
      <c r="BG489" s="446"/>
      <c r="BH489" s="446"/>
      <c r="BI489" s="446"/>
      <c r="BJ489" s="446"/>
      <c r="BK489" s="446"/>
      <c r="BL489" s="446"/>
      <c r="BM489" s="446"/>
      <c r="BN489" s="446"/>
      <c r="BO489" s="446"/>
      <c r="BP489" s="446"/>
      <c r="BQ489" s="446"/>
      <c r="BR489" s="446"/>
      <c r="BS489" s="446"/>
      <c r="BT489" s="446"/>
      <c r="BU489" s="562"/>
      <c r="BV489" s="446"/>
      <c r="BW489" s="446"/>
      <c r="BX489" s="446"/>
      <c r="BY489" s="446"/>
      <c r="BZ489" s="446"/>
      <c r="CA489" s="446"/>
      <c r="CB489" s="446"/>
      <c r="CC489" s="446"/>
      <c r="CD489" s="446"/>
      <c r="CE489" s="446"/>
      <c r="CF489" s="446"/>
      <c r="CG489" s="446"/>
      <c r="CH489" s="446"/>
      <c r="CI489" s="446"/>
      <c r="CJ489" s="446"/>
      <c r="CK489" s="446"/>
      <c r="CL489" s="446"/>
      <c r="CM489" s="446"/>
      <c r="CN489" s="446"/>
      <c r="CO489" s="446"/>
      <c r="CP489" s="446"/>
      <c r="CQ489" s="446"/>
      <c r="CR489" s="446"/>
      <c r="CS489" s="446"/>
      <c r="CT489" s="446"/>
      <c r="CU489" s="446"/>
      <c r="CV489" s="446"/>
      <c r="CW489" s="233"/>
      <c r="CX489" s="446"/>
      <c r="CY489" s="446"/>
      <c r="CZ489" s="446"/>
      <c r="DA489" s="446"/>
      <c r="DB489" s="446"/>
      <c r="DC489" s="446"/>
      <c r="DD489" s="446"/>
      <c r="DE489" s="446"/>
      <c r="DF489" s="446"/>
      <c r="DG489" s="446"/>
      <c r="DH489" s="446"/>
      <c r="DI489" s="446"/>
      <c r="DJ489" s="446"/>
      <c r="DK489" s="446"/>
      <c r="DL489" s="446"/>
      <c r="DM489" s="446"/>
      <c r="DN489" s="446"/>
      <c r="DO489" s="446"/>
      <c r="DP489" s="446"/>
      <c r="DQ489" s="446"/>
      <c r="DR489" s="446"/>
      <c r="DS489" s="446"/>
      <c r="DT489" s="446"/>
      <c r="DU489" s="446"/>
      <c r="DV489" s="446"/>
      <c r="DW489" s="446"/>
      <c r="DX489" s="446"/>
      <c r="DY489" s="446"/>
      <c r="DZ489" s="283"/>
    </row>
    <row r="490" spans="4:130" s="223" customFormat="1" x14ac:dyDescent="0.2">
      <c r="D490" s="856"/>
      <c r="E490" s="856"/>
      <c r="F490" s="856"/>
      <c r="G490" s="856"/>
      <c r="H490" s="856"/>
      <c r="I490" s="856"/>
      <c r="J490" s="856"/>
      <c r="K490" s="856"/>
      <c r="L490" s="856"/>
      <c r="M490" s="856"/>
      <c r="N490" s="857"/>
      <c r="O490" s="856"/>
      <c r="P490" s="856"/>
      <c r="Q490" s="858"/>
      <c r="R490" s="858"/>
      <c r="S490" s="876"/>
      <c r="T490" s="856"/>
      <c r="U490" s="856"/>
      <c r="V490" s="856"/>
      <c r="W490" s="856"/>
      <c r="X490" s="856"/>
      <c r="Y490" s="355"/>
      <c r="AB490" s="446"/>
      <c r="AC490" s="446"/>
      <c r="AD490" s="562"/>
      <c r="AE490" s="446"/>
      <c r="AF490" s="446"/>
      <c r="AG490" s="446"/>
      <c r="AH490" s="446"/>
      <c r="AI490" s="446"/>
      <c r="AJ490" s="446"/>
      <c r="AK490" s="446"/>
      <c r="AL490" s="446"/>
      <c r="AM490" s="446"/>
      <c r="AN490" s="446"/>
      <c r="AO490" s="446"/>
      <c r="AP490" s="446"/>
      <c r="AQ490" s="446"/>
      <c r="AR490" s="446"/>
      <c r="AS490" s="446"/>
      <c r="AT490" s="446"/>
      <c r="AU490" s="446"/>
      <c r="AV490" s="446"/>
      <c r="AW490" s="446"/>
      <c r="AX490" s="446"/>
      <c r="AY490" s="446"/>
      <c r="AZ490" s="446"/>
      <c r="BA490" s="446"/>
      <c r="BB490" s="446"/>
      <c r="BC490" s="446"/>
      <c r="BD490" s="446"/>
      <c r="BE490" s="446"/>
      <c r="BF490" s="446"/>
      <c r="BG490" s="446"/>
      <c r="BH490" s="446"/>
      <c r="BI490" s="446"/>
      <c r="BJ490" s="446"/>
      <c r="BK490" s="446"/>
      <c r="BL490" s="446"/>
      <c r="BM490" s="446"/>
      <c r="BN490" s="446"/>
      <c r="BO490" s="446"/>
      <c r="BP490" s="446"/>
      <c r="BQ490" s="446"/>
      <c r="BR490" s="446"/>
      <c r="BS490" s="446"/>
      <c r="BT490" s="446"/>
      <c r="BU490" s="562"/>
      <c r="BV490" s="446"/>
      <c r="BW490" s="446"/>
      <c r="BX490" s="446"/>
      <c r="BY490" s="446"/>
      <c r="BZ490" s="446"/>
      <c r="CA490" s="446"/>
      <c r="CB490" s="446"/>
      <c r="CC490" s="446"/>
      <c r="CD490" s="446"/>
      <c r="CE490" s="446"/>
      <c r="CF490" s="446"/>
      <c r="CG490" s="446"/>
      <c r="CH490" s="446"/>
      <c r="CI490" s="446"/>
      <c r="CJ490" s="446"/>
      <c r="CK490" s="446"/>
      <c r="CL490" s="446"/>
      <c r="CM490" s="446"/>
      <c r="CN490" s="446"/>
      <c r="CO490" s="446"/>
      <c r="CP490" s="446"/>
      <c r="CQ490" s="446"/>
      <c r="CR490" s="446"/>
      <c r="CS490" s="446"/>
      <c r="CT490" s="446"/>
      <c r="CU490" s="446"/>
      <c r="CV490" s="446"/>
      <c r="CW490" s="233"/>
      <c r="CX490" s="446"/>
      <c r="CY490" s="446"/>
      <c r="CZ490" s="446"/>
      <c r="DA490" s="446"/>
      <c r="DB490" s="446"/>
      <c r="DC490" s="446"/>
      <c r="DD490" s="446"/>
      <c r="DE490" s="446"/>
      <c r="DF490" s="446"/>
      <c r="DG490" s="446"/>
      <c r="DH490" s="446"/>
      <c r="DI490" s="446"/>
      <c r="DJ490" s="446"/>
      <c r="DK490" s="446"/>
      <c r="DL490" s="446"/>
      <c r="DM490" s="446"/>
      <c r="DN490" s="446"/>
      <c r="DO490" s="446"/>
      <c r="DP490" s="446"/>
      <c r="DQ490" s="446"/>
      <c r="DR490" s="446"/>
      <c r="DS490" s="446"/>
      <c r="DT490" s="446"/>
      <c r="DU490" s="446"/>
      <c r="DV490" s="446"/>
      <c r="DW490" s="446"/>
      <c r="DX490" s="446"/>
      <c r="DY490" s="446"/>
      <c r="DZ490" s="283"/>
    </row>
    <row r="491" spans="4:130" s="223" customFormat="1" x14ac:dyDescent="0.2">
      <c r="D491" s="856"/>
      <c r="E491" s="856"/>
      <c r="F491" s="856"/>
      <c r="G491" s="856"/>
      <c r="H491" s="856"/>
      <c r="I491" s="856"/>
      <c r="J491" s="856"/>
      <c r="K491" s="856"/>
      <c r="L491" s="856"/>
      <c r="M491" s="856"/>
      <c r="N491" s="857"/>
      <c r="O491" s="856"/>
      <c r="P491" s="856"/>
      <c r="Q491" s="858"/>
      <c r="R491" s="858"/>
      <c r="S491" s="876"/>
      <c r="T491" s="856"/>
      <c r="U491" s="856"/>
      <c r="V491" s="856"/>
      <c r="W491" s="856"/>
      <c r="X491" s="856"/>
      <c r="Y491" s="355"/>
      <c r="AB491" s="446"/>
      <c r="AC491" s="446"/>
      <c r="AD491" s="562"/>
      <c r="AE491" s="446"/>
      <c r="AF491" s="446"/>
      <c r="AG491" s="446"/>
      <c r="AH491" s="446"/>
      <c r="AI491" s="446"/>
      <c r="AJ491" s="446"/>
      <c r="AK491" s="446"/>
      <c r="AL491" s="446"/>
      <c r="AM491" s="446"/>
      <c r="AN491" s="446"/>
      <c r="AO491" s="446"/>
      <c r="AP491" s="446"/>
      <c r="AQ491" s="446"/>
      <c r="AR491" s="446"/>
      <c r="AS491" s="446"/>
      <c r="AT491" s="446"/>
      <c r="AU491" s="446"/>
      <c r="AV491" s="446"/>
      <c r="AW491" s="446"/>
      <c r="AX491" s="446"/>
      <c r="AY491" s="446"/>
      <c r="AZ491" s="446"/>
      <c r="BA491" s="446"/>
      <c r="BB491" s="446"/>
      <c r="BC491" s="446"/>
      <c r="BD491" s="446"/>
      <c r="BE491" s="446"/>
      <c r="BF491" s="446"/>
      <c r="BG491" s="446"/>
      <c r="BH491" s="446"/>
      <c r="BI491" s="446"/>
      <c r="BJ491" s="446"/>
      <c r="BK491" s="446"/>
      <c r="BL491" s="446"/>
      <c r="BM491" s="446"/>
      <c r="BN491" s="446"/>
      <c r="BO491" s="446"/>
      <c r="BP491" s="446"/>
      <c r="BQ491" s="446"/>
      <c r="BR491" s="446"/>
      <c r="BS491" s="446"/>
      <c r="BT491" s="446"/>
      <c r="BU491" s="562"/>
      <c r="BV491" s="446"/>
      <c r="BW491" s="446"/>
      <c r="BX491" s="446"/>
      <c r="BY491" s="446"/>
      <c r="BZ491" s="446"/>
      <c r="CA491" s="446"/>
      <c r="CB491" s="446"/>
      <c r="CC491" s="446"/>
      <c r="CD491" s="446"/>
      <c r="CE491" s="446"/>
      <c r="CF491" s="446"/>
      <c r="CG491" s="446"/>
      <c r="CH491" s="446"/>
      <c r="CI491" s="446"/>
      <c r="CJ491" s="446"/>
      <c r="CK491" s="446"/>
      <c r="CL491" s="446"/>
      <c r="CM491" s="446"/>
      <c r="CN491" s="446"/>
      <c r="CO491" s="446"/>
      <c r="CP491" s="446"/>
      <c r="CQ491" s="446"/>
      <c r="CR491" s="446"/>
      <c r="CS491" s="446"/>
      <c r="CT491" s="446"/>
      <c r="CU491" s="446"/>
      <c r="CV491" s="446"/>
      <c r="CW491" s="233"/>
      <c r="CX491" s="446"/>
      <c r="CY491" s="446"/>
      <c r="CZ491" s="446"/>
      <c r="DA491" s="446"/>
      <c r="DB491" s="446"/>
      <c r="DC491" s="446"/>
      <c r="DD491" s="446"/>
      <c r="DE491" s="446"/>
      <c r="DF491" s="446"/>
      <c r="DG491" s="446"/>
      <c r="DH491" s="446"/>
      <c r="DI491" s="446"/>
      <c r="DJ491" s="446"/>
      <c r="DK491" s="446"/>
      <c r="DL491" s="446"/>
      <c r="DM491" s="446"/>
      <c r="DN491" s="446"/>
      <c r="DO491" s="446"/>
      <c r="DP491" s="446"/>
      <c r="DQ491" s="446"/>
      <c r="DR491" s="446"/>
      <c r="DS491" s="446"/>
      <c r="DT491" s="446"/>
      <c r="DU491" s="446"/>
      <c r="DV491" s="446"/>
      <c r="DW491" s="446"/>
      <c r="DX491" s="446"/>
      <c r="DY491" s="446"/>
      <c r="DZ491" s="283"/>
    </row>
    <row r="492" spans="4:130" s="223" customFormat="1" x14ac:dyDescent="0.2">
      <c r="D492" s="856"/>
      <c r="E492" s="856"/>
      <c r="F492" s="856"/>
      <c r="G492" s="856"/>
      <c r="H492" s="856"/>
      <c r="I492" s="856"/>
      <c r="J492" s="856"/>
      <c r="K492" s="856"/>
      <c r="L492" s="856"/>
      <c r="M492" s="856"/>
      <c r="N492" s="857"/>
      <c r="O492" s="856"/>
      <c r="P492" s="856"/>
      <c r="Q492" s="858"/>
      <c r="R492" s="858"/>
      <c r="S492" s="876"/>
      <c r="T492" s="856"/>
      <c r="U492" s="856"/>
      <c r="V492" s="856"/>
      <c r="W492" s="856"/>
      <c r="X492" s="856"/>
      <c r="Y492" s="355"/>
      <c r="AB492" s="446"/>
      <c r="AC492" s="446"/>
      <c r="AD492" s="562"/>
      <c r="AE492" s="446"/>
      <c r="AF492" s="446"/>
      <c r="AG492" s="446"/>
      <c r="AH492" s="446"/>
      <c r="AI492" s="446"/>
      <c r="AJ492" s="446"/>
      <c r="AK492" s="446"/>
      <c r="AL492" s="446"/>
      <c r="AM492" s="446"/>
      <c r="AN492" s="446"/>
      <c r="AO492" s="446"/>
      <c r="AP492" s="446"/>
      <c r="AQ492" s="446"/>
      <c r="AR492" s="446"/>
      <c r="AS492" s="446"/>
      <c r="AT492" s="446"/>
      <c r="AU492" s="446"/>
      <c r="AV492" s="446"/>
      <c r="AW492" s="446"/>
      <c r="AX492" s="446"/>
      <c r="AY492" s="446"/>
      <c r="AZ492" s="446"/>
      <c r="BA492" s="446"/>
      <c r="BB492" s="446"/>
      <c r="BC492" s="446"/>
      <c r="BD492" s="446"/>
      <c r="BE492" s="446"/>
      <c r="BF492" s="446"/>
      <c r="BG492" s="446"/>
      <c r="BH492" s="446"/>
      <c r="BI492" s="446"/>
      <c r="BJ492" s="446"/>
      <c r="BK492" s="446"/>
      <c r="BL492" s="446"/>
      <c r="BM492" s="446"/>
      <c r="BN492" s="446"/>
      <c r="BO492" s="446"/>
      <c r="BP492" s="446"/>
      <c r="BQ492" s="446"/>
      <c r="BR492" s="446"/>
      <c r="BS492" s="446"/>
      <c r="BT492" s="446"/>
      <c r="BU492" s="562"/>
      <c r="BV492" s="446"/>
      <c r="BW492" s="446"/>
      <c r="BX492" s="446"/>
      <c r="BY492" s="446"/>
      <c r="BZ492" s="446"/>
      <c r="CA492" s="446"/>
      <c r="CB492" s="446"/>
      <c r="CC492" s="446"/>
      <c r="CD492" s="446"/>
      <c r="CE492" s="446"/>
      <c r="CF492" s="446"/>
      <c r="CG492" s="446"/>
      <c r="CH492" s="446"/>
      <c r="CI492" s="446"/>
      <c r="CJ492" s="446"/>
      <c r="CK492" s="446"/>
      <c r="CL492" s="446"/>
      <c r="CM492" s="446"/>
      <c r="CN492" s="446"/>
      <c r="CO492" s="446"/>
      <c r="CP492" s="446"/>
      <c r="CQ492" s="446"/>
      <c r="CR492" s="446"/>
      <c r="CS492" s="446"/>
      <c r="CT492" s="446"/>
      <c r="CU492" s="446"/>
      <c r="CV492" s="446"/>
      <c r="CW492" s="233"/>
      <c r="CX492" s="446"/>
      <c r="CY492" s="446"/>
      <c r="CZ492" s="446"/>
      <c r="DA492" s="446"/>
      <c r="DB492" s="446"/>
      <c r="DC492" s="446"/>
      <c r="DD492" s="446"/>
      <c r="DE492" s="446"/>
      <c r="DF492" s="446"/>
      <c r="DG492" s="446"/>
      <c r="DH492" s="446"/>
      <c r="DI492" s="446"/>
      <c r="DJ492" s="446"/>
      <c r="DK492" s="446"/>
      <c r="DL492" s="446"/>
      <c r="DM492" s="446"/>
      <c r="DN492" s="446"/>
      <c r="DO492" s="446"/>
      <c r="DP492" s="446"/>
      <c r="DQ492" s="446"/>
      <c r="DR492" s="446"/>
      <c r="DS492" s="446"/>
      <c r="DT492" s="446"/>
      <c r="DU492" s="446"/>
      <c r="DV492" s="446"/>
      <c r="DW492" s="446"/>
      <c r="DX492" s="446"/>
      <c r="DY492" s="446"/>
      <c r="DZ492" s="283"/>
    </row>
    <row r="493" spans="4:130" s="223" customFormat="1" x14ac:dyDescent="0.2">
      <c r="D493" s="856"/>
      <c r="E493" s="856"/>
      <c r="F493" s="856"/>
      <c r="G493" s="856"/>
      <c r="H493" s="856"/>
      <c r="I493" s="856"/>
      <c r="J493" s="856"/>
      <c r="K493" s="856"/>
      <c r="L493" s="856"/>
      <c r="M493" s="856"/>
      <c r="N493" s="857"/>
      <c r="O493" s="856"/>
      <c r="P493" s="856"/>
      <c r="Q493" s="858"/>
      <c r="R493" s="858"/>
      <c r="S493" s="876"/>
      <c r="T493" s="856"/>
      <c r="U493" s="856"/>
      <c r="V493" s="856"/>
      <c r="W493" s="856"/>
      <c r="X493" s="856"/>
      <c r="Y493" s="355"/>
      <c r="AB493" s="446"/>
      <c r="AC493" s="446"/>
      <c r="AD493" s="562"/>
      <c r="AE493" s="446"/>
      <c r="AF493" s="446"/>
      <c r="AG493" s="446"/>
      <c r="AH493" s="446"/>
      <c r="AI493" s="446"/>
      <c r="AJ493" s="446"/>
      <c r="AK493" s="446"/>
      <c r="AL493" s="446"/>
      <c r="AM493" s="446"/>
      <c r="AN493" s="446"/>
      <c r="AO493" s="446"/>
      <c r="AP493" s="446"/>
      <c r="AQ493" s="446"/>
      <c r="AR493" s="446"/>
      <c r="AS493" s="446"/>
      <c r="AT493" s="446"/>
      <c r="AU493" s="446"/>
      <c r="AV493" s="446"/>
      <c r="AW493" s="446"/>
      <c r="AX493" s="446"/>
      <c r="AY493" s="446"/>
      <c r="AZ493" s="446"/>
      <c r="BA493" s="446"/>
      <c r="BB493" s="446"/>
      <c r="BC493" s="446"/>
      <c r="BD493" s="446"/>
      <c r="BE493" s="446"/>
      <c r="BF493" s="446"/>
      <c r="BG493" s="446"/>
      <c r="BH493" s="446"/>
      <c r="BI493" s="446"/>
      <c r="BJ493" s="446"/>
      <c r="BK493" s="446"/>
      <c r="BL493" s="446"/>
      <c r="BM493" s="446"/>
      <c r="BN493" s="446"/>
      <c r="BO493" s="446"/>
      <c r="BP493" s="446"/>
      <c r="BQ493" s="446"/>
      <c r="BR493" s="446"/>
      <c r="BS493" s="446"/>
      <c r="BT493" s="446"/>
      <c r="BU493" s="562"/>
      <c r="BV493" s="446"/>
      <c r="BW493" s="446"/>
      <c r="BX493" s="446"/>
      <c r="BY493" s="446"/>
      <c r="BZ493" s="446"/>
      <c r="CA493" s="446"/>
      <c r="CB493" s="446"/>
      <c r="CC493" s="446"/>
      <c r="CD493" s="446"/>
      <c r="CE493" s="446"/>
      <c r="CF493" s="446"/>
      <c r="CG493" s="446"/>
      <c r="CH493" s="446"/>
      <c r="CI493" s="446"/>
      <c r="CJ493" s="446"/>
      <c r="CK493" s="446"/>
      <c r="CL493" s="446"/>
      <c r="CM493" s="446"/>
      <c r="CN493" s="446"/>
      <c r="CO493" s="446"/>
      <c r="CP493" s="446"/>
      <c r="CQ493" s="446"/>
      <c r="CR493" s="446"/>
      <c r="CS493" s="446"/>
      <c r="CT493" s="446"/>
      <c r="CU493" s="446"/>
      <c r="CV493" s="446"/>
      <c r="CW493" s="233"/>
      <c r="CX493" s="446"/>
      <c r="CY493" s="446"/>
      <c r="CZ493" s="446"/>
      <c r="DA493" s="446"/>
      <c r="DB493" s="446"/>
      <c r="DC493" s="446"/>
      <c r="DD493" s="446"/>
      <c r="DE493" s="446"/>
      <c r="DF493" s="446"/>
      <c r="DG493" s="446"/>
      <c r="DH493" s="446"/>
      <c r="DI493" s="446"/>
      <c r="DJ493" s="446"/>
      <c r="DK493" s="446"/>
      <c r="DL493" s="446"/>
      <c r="DM493" s="446"/>
      <c r="DN493" s="446"/>
      <c r="DO493" s="446"/>
      <c r="DP493" s="446"/>
      <c r="DQ493" s="446"/>
      <c r="DR493" s="446"/>
      <c r="DS493" s="446"/>
      <c r="DT493" s="446"/>
      <c r="DU493" s="446"/>
      <c r="DV493" s="446"/>
      <c r="DW493" s="446"/>
      <c r="DX493" s="446"/>
      <c r="DY493" s="446"/>
      <c r="DZ493" s="283"/>
    </row>
    <row r="494" spans="4:130" s="223" customFormat="1" x14ac:dyDescent="0.2">
      <c r="D494" s="856"/>
      <c r="E494" s="856"/>
      <c r="F494" s="856"/>
      <c r="G494" s="856"/>
      <c r="H494" s="856"/>
      <c r="I494" s="856"/>
      <c r="J494" s="856"/>
      <c r="K494" s="856"/>
      <c r="L494" s="856"/>
      <c r="M494" s="856"/>
      <c r="N494" s="857"/>
      <c r="O494" s="856"/>
      <c r="P494" s="856"/>
      <c r="Q494" s="858"/>
      <c r="R494" s="858"/>
      <c r="S494" s="876"/>
      <c r="T494" s="856"/>
      <c r="U494" s="856"/>
      <c r="V494" s="856"/>
      <c r="W494" s="856"/>
      <c r="X494" s="856"/>
      <c r="Y494" s="355"/>
      <c r="AB494" s="446"/>
      <c r="AC494" s="446"/>
      <c r="AD494" s="562"/>
      <c r="AE494" s="446"/>
      <c r="AF494" s="446"/>
      <c r="AG494" s="446"/>
      <c r="AH494" s="446"/>
      <c r="AI494" s="446"/>
      <c r="AJ494" s="446"/>
      <c r="AK494" s="446"/>
      <c r="AL494" s="446"/>
      <c r="AM494" s="446"/>
      <c r="AN494" s="446"/>
      <c r="AO494" s="446"/>
      <c r="AP494" s="446"/>
      <c r="AQ494" s="446"/>
      <c r="AR494" s="446"/>
      <c r="AS494" s="446"/>
      <c r="AT494" s="446"/>
      <c r="AU494" s="446"/>
      <c r="AV494" s="446"/>
      <c r="AW494" s="446"/>
      <c r="AX494" s="446"/>
      <c r="AY494" s="446"/>
      <c r="AZ494" s="446"/>
      <c r="BA494" s="446"/>
      <c r="BB494" s="446"/>
      <c r="BC494" s="446"/>
      <c r="BD494" s="446"/>
      <c r="BE494" s="446"/>
      <c r="BF494" s="446"/>
      <c r="BG494" s="446"/>
      <c r="BH494" s="446"/>
      <c r="BI494" s="446"/>
      <c r="BJ494" s="446"/>
      <c r="BK494" s="446"/>
      <c r="BL494" s="446"/>
      <c r="BM494" s="446"/>
      <c r="BN494" s="446"/>
      <c r="BO494" s="446"/>
      <c r="BP494" s="446"/>
      <c r="BQ494" s="446"/>
      <c r="BR494" s="446"/>
      <c r="BS494" s="446"/>
      <c r="BT494" s="446"/>
      <c r="BU494" s="562"/>
      <c r="BV494" s="446"/>
      <c r="BW494" s="446"/>
      <c r="BX494" s="446"/>
      <c r="BY494" s="446"/>
      <c r="BZ494" s="446"/>
      <c r="CA494" s="446"/>
      <c r="CB494" s="446"/>
      <c r="CC494" s="446"/>
      <c r="CD494" s="446"/>
      <c r="CE494" s="446"/>
      <c r="CF494" s="446"/>
      <c r="CG494" s="446"/>
      <c r="CH494" s="446"/>
      <c r="CI494" s="446"/>
      <c r="CJ494" s="446"/>
      <c r="CK494" s="446"/>
      <c r="CL494" s="446"/>
      <c r="CM494" s="446"/>
      <c r="CN494" s="446"/>
      <c r="CO494" s="446"/>
      <c r="CP494" s="446"/>
      <c r="CQ494" s="446"/>
      <c r="CR494" s="446"/>
      <c r="CS494" s="446"/>
      <c r="CT494" s="446"/>
      <c r="CU494" s="446"/>
      <c r="CV494" s="446"/>
      <c r="CW494" s="233"/>
      <c r="CX494" s="446"/>
      <c r="CY494" s="446"/>
      <c r="CZ494" s="446"/>
      <c r="DA494" s="446"/>
      <c r="DB494" s="446"/>
      <c r="DC494" s="446"/>
      <c r="DD494" s="446"/>
      <c r="DE494" s="446"/>
      <c r="DF494" s="446"/>
      <c r="DG494" s="446"/>
      <c r="DH494" s="446"/>
      <c r="DI494" s="446"/>
      <c r="DJ494" s="446"/>
      <c r="DK494" s="446"/>
      <c r="DL494" s="446"/>
      <c r="DM494" s="446"/>
      <c r="DN494" s="446"/>
      <c r="DO494" s="446"/>
      <c r="DP494" s="446"/>
      <c r="DQ494" s="446"/>
      <c r="DR494" s="446"/>
      <c r="DS494" s="446"/>
      <c r="DT494" s="446"/>
      <c r="DU494" s="446"/>
      <c r="DV494" s="446"/>
      <c r="DW494" s="446"/>
      <c r="DX494" s="446"/>
      <c r="DY494" s="446"/>
      <c r="DZ494" s="283"/>
    </row>
    <row r="495" spans="4:130" s="223" customFormat="1" x14ac:dyDescent="0.2">
      <c r="D495" s="856"/>
      <c r="E495" s="856"/>
      <c r="F495" s="856"/>
      <c r="G495" s="856"/>
      <c r="H495" s="856"/>
      <c r="I495" s="856"/>
      <c r="J495" s="856"/>
      <c r="K495" s="856"/>
      <c r="L495" s="856"/>
      <c r="M495" s="856"/>
      <c r="N495" s="857"/>
      <c r="O495" s="856"/>
      <c r="P495" s="856"/>
      <c r="Q495" s="858"/>
      <c r="R495" s="858"/>
      <c r="S495" s="876"/>
      <c r="T495" s="856"/>
      <c r="U495" s="856"/>
      <c r="V495" s="856"/>
      <c r="W495" s="856"/>
      <c r="X495" s="856"/>
      <c r="Y495" s="355"/>
      <c r="AB495" s="446"/>
      <c r="AC495" s="446"/>
      <c r="AD495" s="562"/>
      <c r="AE495" s="446"/>
      <c r="AF495" s="446"/>
      <c r="AG495" s="446"/>
      <c r="AH495" s="446"/>
      <c r="AI495" s="446"/>
      <c r="AJ495" s="446"/>
      <c r="AK495" s="446"/>
      <c r="AL495" s="446"/>
      <c r="AM495" s="446"/>
      <c r="AN495" s="446"/>
      <c r="AO495" s="446"/>
      <c r="AP495" s="446"/>
      <c r="AQ495" s="446"/>
      <c r="AR495" s="446"/>
      <c r="AS495" s="446"/>
      <c r="AT495" s="446"/>
      <c r="AU495" s="446"/>
      <c r="AV495" s="446"/>
      <c r="AW495" s="446"/>
      <c r="AX495" s="446"/>
      <c r="AY495" s="446"/>
      <c r="AZ495" s="446"/>
      <c r="BA495" s="446"/>
      <c r="BB495" s="446"/>
      <c r="BC495" s="446"/>
      <c r="BD495" s="446"/>
      <c r="BE495" s="446"/>
      <c r="BF495" s="446"/>
      <c r="BG495" s="446"/>
      <c r="BH495" s="446"/>
      <c r="BI495" s="446"/>
      <c r="BJ495" s="446"/>
      <c r="BK495" s="446"/>
      <c r="BL495" s="446"/>
      <c r="BM495" s="446"/>
      <c r="BN495" s="446"/>
      <c r="BO495" s="446"/>
      <c r="BP495" s="446"/>
      <c r="BQ495" s="446"/>
      <c r="BR495" s="446"/>
      <c r="BS495" s="446"/>
      <c r="BT495" s="446"/>
      <c r="BU495" s="562"/>
      <c r="BV495" s="446"/>
      <c r="BW495" s="446"/>
      <c r="BX495" s="446"/>
      <c r="BY495" s="446"/>
      <c r="BZ495" s="446"/>
      <c r="CA495" s="446"/>
      <c r="CB495" s="446"/>
      <c r="CC495" s="446"/>
      <c r="CD495" s="446"/>
      <c r="CE495" s="446"/>
      <c r="CF495" s="446"/>
      <c r="CG495" s="446"/>
      <c r="CH495" s="446"/>
      <c r="CI495" s="446"/>
      <c r="CJ495" s="446"/>
      <c r="CK495" s="446"/>
      <c r="CL495" s="446"/>
      <c r="CM495" s="446"/>
      <c r="CN495" s="446"/>
      <c r="CO495" s="446"/>
      <c r="CP495" s="446"/>
      <c r="CQ495" s="446"/>
      <c r="CR495" s="446"/>
      <c r="CS495" s="446"/>
      <c r="CT495" s="446"/>
      <c r="CU495" s="446"/>
      <c r="CV495" s="446"/>
      <c r="CW495" s="233"/>
      <c r="CX495" s="446"/>
      <c r="CY495" s="446"/>
      <c r="CZ495" s="446"/>
      <c r="DA495" s="446"/>
      <c r="DB495" s="446"/>
      <c r="DC495" s="446"/>
      <c r="DD495" s="446"/>
      <c r="DE495" s="446"/>
      <c r="DF495" s="446"/>
      <c r="DG495" s="446"/>
      <c r="DH495" s="446"/>
      <c r="DI495" s="446"/>
      <c r="DJ495" s="446"/>
      <c r="DK495" s="446"/>
      <c r="DL495" s="446"/>
      <c r="DM495" s="446"/>
      <c r="DN495" s="446"/>
      <c r="DO495" s="446"/>
      <c r="DP495" s="446"/>
      <c r="DQ495" s="446"/>
      <c r="DR495" s="446"/>
      <c r="DS495" s="446"/>
      <c r="DT495" s="446"/>
      <c r="DU495" s="446"/>
      <c r="DV495" s="446"/>
      <c r="DW495" s="446"/>
      <c r="DX495" s="446"/>
      <c r="DY495" s="446"/>
      <c r="DZ495" s="283"/>
    </row>
    <row r="496" spans="4:130" s="223" customFormat="1" x14ac:dyDescent="0.2">
      <c r="D496" s="856"/>
      <c r="E496" s="856"/>
      <c r="F496" s="856"/>
      <c r="G496" s="856"/>
      <c r="H496" s="856"/>
      <c r="I496" s="856"/>
      <c r="J496" s="856"/>
      <c r="K496" s="856"/>
      <c r="L496" s="856"/>
      <c r="M496" s="856"/>
      <c r="N496" s="857"/>
      <c r="O496" s="856"/>
      <c r="P496" s="856"/>
      <c r="Q496" s="858"/>
      <c r="R496" s="858"/>
      <c r="S496" s="876"/>
      <c r="T496" s="856"/>
      <c r="U496" s="856"/>
      <c r="V496" s="856"/>
      <c r="W496" s="856"/>
      <c r="X496" s="856"/>
      <c r="Y496" s="355"/>
      <c r="AB496" s="446"/>
      <c r="AC496" s="446"/>
      <c r="AD496" s="562"/>
      <c r="AE496" s="446"/>
      <c r="AF496" s="446"/>
      <c r="AG496" s="446"/>
      <c r="AH496" s="446"/>
      <c r="AI496" s="446"/>
      <c r="AJ496" s="446"/>
      <c r="AK496" s="446"/>
      <c r="AL496" s="446"/>
      <c r="AM496" s="446"/>
      <c r="AN496" s="446"/>
      <c r="AO496" s="446"/>
      <c r="AP496" s="446"/>
      <c r="AQ496" s="446"/>
      <c r="AR496" s="446"/>
      <c r="AS496" s="446"/>
      <c r="AT496" s="446"/>
      <c r="AU496" s="446"/>
      <c r="AV496" s="446"/>
      <c r="AW496" s="446"/>
      <c r="AX496" s="446"/>
      <c r="AY496" s="446"/>
      <c r="AZ496" s="446"/>
      <c r="BA496" s="446"/>
      <c r="BB496" s="446"/>
      <c r="BC496" s="446"/>
      <c r="BD496" s="446"/>
      <c r="BE496" s="446"/>
      <c r="BF496" s="446"/>
      <c r="BG496" s="446"/>
      <c r="BH496" s="446"/>
      <c r="BI496" s="446"/>
      <c r="BJ496" s="446"/>
      <c r="BK496" s="446"/>
      <c r="BL496" s="446"/>
      <c r="BM496" s="446"/>
      <c r="BN496" s="446"/>
      <c r="BO496" s="446"/>
      <c r="BP496" s="446"/>
      <c r="BQ496" s="446"/>
      <c r="BR496" s="446"/>
      <c r="BS496" s="446"/>
      <c r="BT496" s="446"/>
      <c r="BU496" s="562"/>
      <c r="BV496" s="446"/>
      <c r="BW496" s="446"/>
      <c r="BX496" s="446"/>
      <c r="BY496" s="446"/>
      <c r="BZ496" s="446"/>
      <c r="CA496" s="446"/>
      <c r="CB496" s="446"/>
      <c r="CC496" s="446"/>
      <c r="CD496" s="446"/>
      <c r="CE496" s="446"/>
      <c r="CF496" s="446"/>
      <c r="CG496" s="446"/>
      <c r="CH496" s="446"/>
      <c r="CI496" s="446"/>
      <c r="CJ496" s="446"/>
      <c r="CK496" s="446"/>
      <c r="CL496" s="446"/>
      <c r="CM496" s="446"/>
      <c r="CN496" s="446"/>
      <c r="CO496" s="446"/>
      <c r="CP496" s="446"/>
      <c r="CQ496" s="446"/>
      <c r="CR496" s="446"/>
      <c r="CS496" s="446"/>
      <c r="CT496" s="446"/>
      <c r="CU496" s="446"/>
      <c r="CV496" s="446"/>
      <c r="CW496" s="233"/>
      <c r="CX496" s="446"/>
      <c r="CY496" s="446"/>
      <c r="CZ496" s="446"/>
      <c r="DA496" s="446"/>
      <c r="DB496" s="446"/>
      <c r="DC496" s="446"/>
      <c r="DD496" s="446"/>
      <c r="DE496" s="446"/>
      <c r="DF496" s="446"/>
      <c r="DG496" s="446"/>
      <c r="DH496" s="446"/>
      <c r="DI496" s="446"/>
      <c r="DJ496" s="446"/>
      <c r="DK496" s="446"/>
      <c r="DL496" s="446"/>
      <c r="DM496" s="446"/>
      <c r="DN496" s="446"/>
      <c r="DO496" s="446"/>
      <c r="DP496" s="446"/>
      <c r="DQ496" s="446"/>
      <c r="DR496" s="446"/>
      <c r="DS496" s="446"/>
      <c r="DT496" s="446"/>
      <c r="DU496" s="446"/>
      <c r="DV496" s="446"/>
      <c r="DW496" s="446"/>
      <c r="DX496" s="446"/>
      <c r="DY496" s="446"/>
      <c r="DZ496" s="283"/>
    </row>
    <row r="497" spans="4:130" s="223" customFormat="1" x14ac:dyDescent="0.2">
      <c r="D497" s="856"/>
      <c r="E497" s="856"/>
      <c r="F497" s="856"/>
      <c r="G497" s="856"/>
      <c r="H497" s="856"/>
      <c r="I497" s="856"/>
      <c r="J497" s="856"/>
      <c r="K497" s="856"/>
      <c r="L497" s="856"/>
      <c r="M497" s="856"/>
      <c r="N497" s="857"/>
      <c r="O497" s="856"/>
      <c r="P497" s="856"/>
      <c r="Q497" s="858"/>
      <c r="R497" s="858"/>
      <c r="S497" s="876"/>
      <c r="T497" s="856"/>
      <c r="U497" s="856"/>
      <c r="V497" s="856"/>
      <c r="W497" s="856"/>
      <c r="X497" s="856"/>
      <c r="Y497" s="355"/>
      <c r="AB497" s="446"/>
      <c r="AC497" s="446"/>
      <c r="AD497" s="562"/>
      <c r="AE497" s="446"/>
      <c r="AF497" s="446"/>
      <c r="AG497" s="446"/>
      <c r="AH497" s="446"/>
      <c r="AI497" s="446"/>
      <c r="AJ497" s="446"/>
      <c r="AK497" s="446"/>
      <c r="AL497" s="446"/>
      <c r="AM497" s="446"/>
      <c r="AN497" s="446"/>
      <c r="AO497" s="446"/>
      <c r="AP497" s="446"/>
      <c r="AQ497" s="446"/>
      <c r="AR497" s="446"/>
      <c r="AS497" s="446"/>
      <c r="AT497" s="446"/>
      <c r="AU497" s="446"/>
      <c r="AV497" s="446"/>
      <c r="AW497" s="446"/>
      <c r="AX497" s="446"/>
      <c r="AY497" s="446"/>
      <c r="AZ497" s="446"/>
      <c r="BA497" s="446"/>
      <c r="BB497" s="446"/>
      <c r="BC497" s="446"/>
      <c r="BD497" s="446"/>
      <c r="BE497" s="446"/>
      <c r="BF497" s="446"/>
      <c r="BG497" s="446"/>
      <c r="BH497" s="446"/>
      <c r="BI497" s="446"/>
      <c r="BJ497" s="446"/>
      <c r="BK497" s="446"/>
      <c r="BL497" s="446"/>
      <c r="BM497" s="446"/>
      <c r="BN497" s="446"/>
      <c r="BO497" s="446"/>
      <c r="BP497" s="446"/>
      <c r="BQ497" s="446"/>
      <c r="BR497" s="446"/>
      <c r="BS497" s="446"/>
      <c r="BT497" s="446"/>
      <c r="BU497" s="562"/>
      <c r="BV497" s="446"/>
      <c r="BW497" s="446"/>
      <c r="BX497" s="446"/>
      <c r="BY497" s="446"/>
      <c r="BZ497" s="446"/>
      <c r="CA497" s="446"/>
      <c r="CB497" s="446"/>
      <c r="CC497" s="446"/>
      <c r="CD497" s="446"/>
      <c r="CE497" s="446"/>
      <c r="CF497" s="446"/>
      <c r="CG497" s="446"/>
      <c r="CH497" s="446"/>
      <c r="CI497" s="446"/>
      <c r="CJ497" s="446"/>
      <c r="CK497" s="446"/>
      <c r="CL497" s="446"/>
      <c r="CM497" s="446"/>
      <c r="CN497" s="446"/>
      <c r="CO497" s="446"/>
      <c r="CP497" s="446"/>
      <c r="CQ497" s="446"/>
      <c r="CR497" s="446"/>
      <c r="CS497" s="446"/>
      <c r="CT497" s="446"/>
      <c r="CU497" s="446"/>
      <c r="CV497" s="446"/>
      <c r="CW497" s="233"/>
      <c r="CX497" s="446"/>
      <c r="CY497" s="446"/>
      <c r="CZ497" s="446"/>
      <c r="DA497" s="446"/>
      <c r="DB497" s="446"/>
      <c r="DC497" s="446"/>
      <c r="DD497" s="446"/>
      <c r="DE497" s="446"/>
      <c r="DF497" s="446"/>
      <c r="DG497" s="446"/>
      <c r="DH497" s="446"/>
      <c r="DI497" s="446"/>
      <c r="DJ497" s="446"/>
      <c r="DK497" s="446"/>
      <c r="DL497" s="446"/>
      <c r="DM497" s="446"/>
      <c r="DN497" s="446"/>
      <c r="DO497" s="446"/>
      <c r="DP497" s="446"/>
      <c r="DQ497" s="446"/>
      <c r="DR497" s="446"/>
      <c r="DS497" s="446"/>
      <c r="DT497" s="446"/>
      <c r="DU497" s="446"/>
      <c r="DV497" s="446"/>
      <c r="DW497" s="446"/>
      <c r="DX497" s="446"/>
      <c r="DY497" s="446"/>
      <c r="DZ497" s="283"/>
    </row>
    <row r="498" spans="4:130" s="223" customFormat="1" x14ac:dyDescent="0.2">
      <c r="D498" s="856"/>
      <c r="E498" s="856"/>
      <c r="F498" s="856"/>
      <c r="G498" s="856"/>
      <c r="H498" s="856"/>
      <c r="I498" s="856"/>
      <c r="J498" s="856"/>
      <c r="K498" s="856"/>
      <c r="L498" s="856"/>
      <c r="M498" s="856"/>
      <c r="N498" s="857"/>
      <c r="O498" s="856"/>
      <c r="P498" s="856"/>
      <c r="Q498" s="858"/>
      <c r="R498" s="858"/>
      <c r="S498" s="876"/>
      <c r="T498" s="856"/>
      <c r="U498" s="856"/>
      <c r="V498" s="856"/>
      <c r="W498" s="856"/>
      <c r="X498" s="856"/>
      <c r="Y498" s="355"/>
      <c r="AB498" s="446"/>
      <c r="AC498" s="446"/>
      <c r="AD498" s="562"/>
      <c r="AE498" s="446"/>
      <c r="AF498" s="446"/>
      <c r="AG498" s="446"/>
      <c r="AH498" s="446"/>
      <c r="AI498" s="446"/>
      <c r="AJ498" s="446"/>
      <c r="AK498" s="446"/>
      <c r="AL498" s="446"/>
      <c r="AM498" s="446"/>
      <c r="AN498" s="446"/>
      <c r="AO498" s="446"/>
      <c r="AP498" s="446"/>
      <c r="AQ498" s="446"/>
      <c r="AR498" s="446"/>
      <c r="AS498" s="446"/>
      <c r="AT498" s="446"/>
      <c r="AU498" s="446"/>
      <c r="AV498" s="446"/>
      <c r="AW498" s="446"/>
      <c r="AX498" s="446"/>
      <c r="AY498" s="446"/>
      <c r="AZ498" s="446"/>
      <c r="BA498" s="446"/>
      <c r="BB498" s="446"/>
      <c r="BC498" s="446"/>
      <c r="BD498" s="446"/>
      <c r="BE498" s="446"/>
      <c r="BF498" s="446"/>
      <c r="BG498" s="446"/>
      <c r="BH498" s="446"/>
      <c r="BI498" s="446"/>
      <c r="BJ498" s="446"/>
      <c r="BK498" s="446"/>
      <c r="BL498" s="446"/>
      <c r="BM498" s="446"/>
      <c r="BN498" s="446"/>
      <c r="BO498" s="446"/>
      <c r="BP498" s="446"/>
      <c r="BQ498" s="446"/>
      <c r="BR498" s="446"/>
      <c r="BS498" s="446"/>
      <c r="BT498" s="446"/>
      <c r="BU498" s="562"/>
      <c r="BV498" s="446"/>
      <c r="BW498" s="446"/>
      <c r="BX498" s="446"/>
      <c r="BY498" s="446"/>
      <c r="BZ498" s="446"/>
      <c r="CA498" s="446"/>
      <c r="CB498" s="446"/>
      <c r="CC498" s="446"/>
      <c r="CD498" s="446"/>
      <c r="CE498" s="446"/>
      <c r="CF498" s="446"/>
      <c r="CG498" s="446"/>
      <c r="CH498" s="446"/>
      <c r="CI498" s="446"/>
      <c r="CJ498" s="446"/>
      <c r="CK498" s="446"/>
      <c r="CL498" s="446"/>
      <c r="CM498" s="446"/>
      <c r="CN498" s="446"/>
      <c r="CO498" s="446"/>
      <c r="CP498" s="446"/>
      <c r="CQ498" s="446"/>
      <c r="CR498" s="446"/>
      <c r="CS498" s="446"/>
      <c r="CT498" s="446"/>
      <c r="CU498" s="446"/>
      <c r="CV498" s="446"/>
      <c r="CW498" s="233"/>
      <c r="CX498" s="446"/>
      <c r="CY498" s="446"/>
      <c r="CZ498" s="446"/>
      <c r="DA498" s="446"/>
      <c r="DB498" s="446"/>
      <c r="DC498" s="446"/>
      <c r="DD498" s="446"/>
      <c r="DE498" s="446"/>
      <c r="DF498" s="446"/>
      <c r="DG498" s="446"/>
      <c r="DH498" s="446"/>
      <c r="DI498" s="446"/>
      <c r="DJ498" s="446"/>
      <c r="DK498" s="446"/>
      <c r="DL498" s="446"/>
      <c r="DM498" s="446"/>
      <c r="DN498" s="446"/>
      <c r="DO498" s="446"/>
      <c r="DP498" s="446"/>
      <c r="DQ498" s="446"/>
      <c r="DR498" s="446"/>
      <c r="DS498" s="446"/>
      <c r="DT498" s="446"/>
      <c r="DU498" s="446"/>
      <c r="DV498" s="446"/>
      <c r="DW498" s="446"/>
      <c r="DX498" s="446"/>
      <c r="DY498" s="446"/>
      <c r="DZ498" s="283"/>
    </row>
    <row r="499" spans="4:130" s="223" customFormat="1" x14ac:dyDescent="0.2">
      <c r="D499" s="856"/>
      <c r="E499" s="856"/>
      <c r="F499" s="856"/>
      <c r="G499" s="856"/>
      <c r="H499" s="856"/>
      <c r="I499" s="856"/>
      <c r="J499" s="856"/>
      <c r="K499" s="856"/>
      <c r="L499" s="856"/>
      <c r="M499" s="856"/>
      <c r="N499" s="857"/>
      <c r="O499" s="856"/>
      <c r="P499" s="856"/>
      <c r="Q499" s="858"/>
      <c r="R499" s="858"/>
      <c r="S499" s="876"/>
      <c r="T499" s="856"/>
      <c r="U499" s="856"/>
      <c r="V499" s="856"/>
      <c r="W499" s="856"/>
      <c r="X499" s="856"/>
      <c r="Y499" s="355"/>
      <c r="AB499" s="446"/>
      <c r="AC499" s="446"/>
      <c r="AD499" s="562"/>
      <c r="AE499" s="446"/>
      <c r="AF499" s="446"/>
      <c r="AG499" s="446"/>
      <c r="AH499" s="446"/>
      <c r="AI499" s="446"/>
      <c r="AJ499" s="446"/>
      <c r="AK499" s="446"/>
      <c r="AL499" s="446"/>
      <c r="AM499" s="446"/>
      <c r="AN499" s="446"/>
      <c r="AO499" s="446"/>
      <c r="AP499" s="446"/>
      <c r="AQ499" s="446"/>
      <c r="AR499" s="446"/>
      <c r="AS499" s="446"/>
      <c r="AT499" s="446"/>
      <c r="AU499" s="446"/>
      <c r="AV499" s="446"/>
      <c r="AW499" s="446"/>
      <c r="AX499" s="446"/>
      <c r="AY499" s="446"/>
      <c r="AZ499" s="446"/>
      <c r="BA499" s="446"/>
      <c r="BB499" s="446"/>
      <c r="BC499" s="446"/>
      <c r="BD499" s="446"/>
      <c r="BE499" s="446"/>
      <c r="BF499" s="446"/>
      <c r="BG499" s="446"/>
      <c r="BH499" s="446"/>
      <c r="BI499" s="446"/>
      <c r="BJ499" s="446"/>
      <c r="BK499" s="446"/>
      <c r="BL499" s="446"/>
      <c r="BM499" s="446"/>
      <c r="BN499" s="446"/>
      <c r="BO499" s="446"/>
      <c r="BP499" s="446"/>
      <c r="BQ499" s="446"/>
      <c r="BR499" s="446"/>
      <c r="BS499" s="446"/>
      <c r="BT499" s="446"/>
      <c r="BU499" s="562"/>
      <c r="BV499" s="446"/>
      <c r="BW499" s="446"/>
      <c r="BX499" s="446"/>
      <c r="BY499" s="446"/>
      <c r="BZ499" s="446"/>
      <c r="CA499" s="446"/>
      <c r="CB499" s="446"/>
      <c r="CC499" s="446"/>
      <c r="CD499" s="446"/>
      <c r="CE499" s="446"/>
      <c r="CF499" s="446"/>
      <c r="CG499" s="446"/>
      <c r="CH499" s="446"/>
      <c r="CI499" s="446"/>
      <c r="CJ499" s="446"/>
      <c r="CK499" s="446"/>
      <c r="CL499" s="446"/>
      <c r="CM499" s="446"/>
      <c r="CN499" s="446"/>
      <c r="CO499" s="446"/>
      <c r="CP499" s="446"/>
      <c r="CQ499" s="446"/>
      <c r="CR499" s="446"/>
      <c r="CS499" s="446"/>
      <c r="CT499" s="446"/>
      <c r="CU499" s="446"/>
      <c r="CV499" s="446"/>
      <c r="CW499" s="233"/>
      <c r="CX499" s="446"/>
      <c r="CY499" s="446"/>
      <c r="CZ499" s="446"/>
      <c r="DA499" s="446"/>
      <c r="DB499" s="446"/>
      <c r="DC499" s="446"/>
      <c r="DD499" s="446"/>
      <c r="DE499" s="446"/>
      <c r="DF499" s="446"/>
      <c r="DG499" s="446"/>
      <c r="DH499" s="446"/>
      <c r="DI499" s="446"/>
      <c r="DJ499" s="446"/>
      <c r="DK499" s="446"/>
      <c r="DL499" s="446"/>
      <c r="DM499" s="446"/>
      <c r="DN499" s="446"/>
      <c r="DO499" s="446"/>
      <c r="DP499" s="446"/>
      <c r="DQ499" s="446"/>
      <c r="DR499" s="446"/>
      <c r="DS499" s="446"/>
      <c r="DT499" s="446"/>
      <c r="DU499" s="446"/>
      <c r="DV499" s="446"/>
      <c r="DW499" s="446"/>
      <c r="DX499" s="446"/>
      <c r="DY499" s="446"/>
      <c r="DZ499" s="283"/>
    </row>
    <row r="500" spans="4:130" s="223" customFormat="1" x14ac:dyDescent="0.2">
      <c r="D500" s="856"/>
      <c r="E500" s="856"/>
      <c r="F500" s="856"/>
      <c r="G500" s="856"/>
      <c r="H500" s="856"/>
      <c r="I500" s="856"/>
      <c r="J500" s="856"/>
      <c r="K500" s="856"/>
      <c r="L500" s="856"/>
      <c r="M500" s="856"/>
      <c r="N500" s="857"/>
      <c r="O500" s="856"/>
      <c r="P500" s="856"/>
      <c r="Q500" s="858"/>
      <c r="R500" s="858"/>
      <c r="S500" s="876"/>
      <c r="T500" s="856"/>
      <c r="U500" s="856"/>
      <c r="V500" s="856"/>
      <c r="W500" s="856"/>
      <c r="X500" s="856"/>
      <c r="Y500" s="355"/>
      <c r="AB500" s="446"/>
      <c r="AC500" s="446"/>
      <c r="AD500" s="562"/>
      <c r="AE500" s="446"/>
      <c r="AF500" s="446"/>
      <c r="AG500" s="446"/>
      <c r="AH500" s="446"/>
      <c r="AI500" s="446"/>
      <c r="AJ500" s="446"/>
      <c r="AK500" s="446"/>
      <c r="AL500" s="446"/>
      <c r="AM500" s="446"/>
      <c r="AN500" s="446"/>
      <c r="AO500" s="446"/>
      <c r="AP500" s="446"/>
      <c r="AQ500" s="446"/>
      <c r="AR500" s="446"/>
      <c r="AS500" s="446"/>
      <c r="AT500" s="446"/>
      <c r="AU500" s="446"/>
      <c r="AV500" s="446"/>
      <c r="AW500" s="446"/>
      <c r="AX500" s="446"/>
      <c r="AY500" s="446"/>
      <c r="AZ500" s="446"/>
      <c r="BA500" s="446"/>
      <c r="BB500" s="446"/>
      <c r="BC500" s="446"/>
      <c r="BD500" s="446"/>
      <c r="BE500" s="446"/>
      <c r="BF500" s="446"/>
      <c r="BG500" s="446"/>
      <c r="BH500" s="446"/>
      <c r="BI500" s="446"/>
      <c r="BJ500" s="446"/>
      <c r="BK500" s="446"/>
      <c r="BL500" s="446"/>
      <c r="BM500" s="446"/>
      <c r="BN500" s="446"/>
      <c r="BO500" s="446"/>
      <c r="BP500" s="446"/>
      <c r="BQ500" s="446"/>
      <c r="BR500" s="446"/>
      <c r="BS500" s="446"/>
      <c r="BT500" s="446"/>
      <c r="BU500" s="562"/>
      <c r="BV500" s="446"/>
      <c r="BW500" s="446"/>
      <c r="BX500" s="446"/>
      <c r="BY500" s="446"/>
      <c r="BZ500" s="446"/>
      <c r="CA500" s="446"/>
      <c r="CB500" s="446"/>
      <c r="CC500" s="446"/>
      <c r="CD500" s="446"/>
      <c r="CE500" s="446"/>
      <c r="CF500" s="446"/>
      <c r="CG500" s="446"/>
      <c r="CH500" s="446"/>
      <c r="CI500" s="446"/>
      <c r="CJ500" s="446"/>
      <c r="CK500" s="446"/>
      <c r="CL500" s="446"/>
      <c r="CM500" s="446"/>
      <c r="CN500" s="446"/>
      <c r="CO500" s="446"/>
      <c r="CP500" s="446"/>
      <c r="CQ500" s="446"/>
      <c r="CR500" s="446"/>
      <c r="CS500" s="446"/>
      <c r="CT500" s="446"/>
      <c r="CU500" s="446"/>
      <c r="CV500" s="446"/>
      <c r="CW500" s="233"/>
      <c r="CX500" s="446"/>
      <c r="CY500" s="446"/>
      <c r="CZ500" s="446"/>
      <c r="DA500" s="446"/>
      <c r="DB500" s="446"/>
      <c r="DC500" s="446"/>
      <c r="DD500" s="446"/>
      <c r="DE500" s="446"/>
      <c r="DF500" s="446"/>
      <c r="DG500" s="446"/>
      <c r="DH500" s="446"/>
      <c r="DI500" s="446"/>
      <c r="DJ500" s="446"/>
      <c r="DK500" s="446"/>
      <c r="DL500" s="446"/>
      <c r="DM500" s="446"/>
      <c r="DN500" s="446"/>
      <c r="DO500" s="446"/>
      <c r="DP500" s="446"/>
      <c r="DQ500" s="446"/>
      <c r="DR500" s="446"/>
      <c r="DS500" s="446"/>
      <c r="DT500" s="446"/>
      <c r="DU500" s="446"/>
      <c r="DV500" s="446"/>
      <c r="DW500" s="446"/>
      <c r="DX500" s="446"/>
      <c r="DY500" s="446"/>
      <c r="DZ500" s="283"/>
    </row>
    <row r="501" spans="4:130" s="223" customFormat="1" x14ac:dyDescent="0.2">
      <c r="D501" s="856"/>
      <c r="E501" s="856"/>
      <c r="F501" s="856"/>
      <c r="G501" s="856"/>
      <c r="H501" s="856"/>
      <c r="I501" s="856"/>
      <c r="J501" s="856"/>
      <c r="K501" s="856"/>
      <c r="L501" s="856"/>
      <c r="M501" s="856"/>
      <c r="N501" s="857"/>
      <c r="O501" s="856"/>
      <c r="P501" s="856"/>
      <c r="Q501" s="858"/>
      <c r="R501" s="858"/>
      <c r="S501" s="876"/>
      <c r="T501" s="856"/>
      <c r="U501" s="856"/>
      <c r="V501" s="856"/>
      <c r="W501" s="856"/>
      <c r="X501" s="856"/>
      <c r="Y501" s="355"/>
      <c r="AB501" s="446"/>
      <c r="AC501" s="446"/>
      <c r="AD501" s="562"/>
      <c r="AE501" s="446"/>
      <c r="AF501" s="446"/>
      <c r="AG501" s="446"/>
      <c r="AH501" s="446"/>
      <c r="AI501" s="446"/>
      <c r="AJ501" s="446"/>
      <c r="AK501" s="446"/>
      <c r="AL501" s="446"/>
      <c r="AM501" s="446"/>
      <c r="AN501" s="446"/>
      <c r="AO501" s="446"/>
      <c r="AP501" s="446"/>
      <c r="AQ501" s="446"/>
      <c r="AR501" s="446"/>
      <c r="AS501" s="446"/>
      <c r="AT501" s="446"/>
      <c r="AU501" s="446"/>
      <c r="AV501" s="446"/>
      <c r="AW501" s="446"/>
      <c r="AX501" s="446"/>
      <c r="AY501" s="446"/>
      <c r="AZ501" s="446"/>
      <c r="BA501" s="446"/>
      <c r="BB501" s="446"/>
      <c r="BC501" s="446"/>
      <c r="BD501" s="446"/>
      <c r="BE501" s="446"/>
      <c r="BF501" s="446"/>
      <c r="BG501" s="446"/>
      <c r="BH501" s="446"/>
      <c r="BI501" s="446"/>
      <c r="BJ501" s="446"/>
      <c r="BK501" s="446"/>
      <c r="BL501" s="446"/>
      <c r="BM501" s="446"/>
      <c r="BN501" s="446"/>
      <c r="BO501" s="446"/>
      <c r="BP501" s="446"/>
      <c r="BQ501" s="446"/>
      <c r="BR501" s="446"/>
      <c r="BS501" s="446"/>
      <c r="BT501" s="446"/>
      <c r="BU501" s="562"/>
      <c r="BV501" s="446"/>
      <c r="BW501" s="446"/>
      <c r="BX501" s="446"/>
      <c r="BY501" s="446"/>
      <c r="BZ501" s="446"/>
      <c r="CA501" s="446"/>
      <c r="CB501" s="446"/>
      <c r="CC501" s="446"/>
      <c r="CD501" s="446"/>
      <c r="CE501" s="446"/>
      <c r="CF501" s="446"/>
      <c r="CG501" s="446"/>
      <c r="CH501" s="446"/>
      <c r="CI501" s="446"/>
      <c r="CJ501" s="446"/>
      <c r="CK501" s="446"/>
      <c r="CL501" s="446"/>
      <c r="CM501" s="446"/>
      <c r="CN501" s="446"/>
      <c r="CO501" s="446"/>
      <c r="CP501" s="446"/>
      <c r="CQ501" s="446"/>
      <c r="CR501" s="446"/>
      <c r="CS501" s="446"/>
      <c r="CT501" s="446"/>
      <c r="CU501" s="446"/>
      <c r="CV501" s="446"/>
      <c r="CW501" s="233"/>
      <c r="CX501" s="446"/>
      <c r="CY501" s="446"/>
      <c r="CZ501" s="446"/>
      <c r="DA501" s="446"/>
      <c r="DB501" s="446"/>
      <c r="DC501" s="446"/>
      <c r="DD501" s="446"/>
      <c r="DE501" s="446"/>
      <c r="DF501" s="446"/>
      <c r="DG501" s="446"/>
      <c r="DH501" s="446"/>
      <c r="DI501" s="446"/>
      <c r="DJ501" s="446"/>
      <c r="DK501" s="446"/>
      <c r="DL501" s="446"/>
      <c r="DM501" s="446"/>
      <c r="DN501" s="446"/>
      <c r="DO501" s="446"/>
      <c r="DP501" s="446"/>
      <c r="DQ501" s="446"/>
      <c r="DR501" s="446"/>
      <c r="DS501" s="446"/>
      <c r="DT501" s="446"/>
      <c r="DU501" s="446"/>
      <c r="DV501" s="446"/>
      <c r="DW501" s="446"/>
      <c r="DX501" s="446"/>
      <c r="DY501" s="446"/>
      <c r="DZ501" s="283"/>
    </row>
    <row r="502" spans="4:130" s="223" customFormat="1" x14ac:dyDescent="0.2">
      <c r="D502" s="856"/>
      <c r="E502" s="856"/>
      <c r="F502" s="856"/>
      <c r="G502" s="856"/>
      <c r="H502" s="856"/>
      <c r="I502" s="856"/>
      <c r="J502" s="856"/>
      <c r="K502" s="856"/>
      <c r="L502" s="856"/>
      <c r="M502" s="856"/>
      <c r="N502" s="857"/>
      <c r="O502" s="856"/>
      <c r="P502" s="856"/>
      <c r="Q502" s="858"/>
      <c r="R502" s="858"/>
      <c r="S502" s="876"/>
      <c r="T502" s="856"/>
      <c r="U502" s="856"/>
      <c r="V502" s="856"/>
      <c r="W502" s="856"/>
      <c r="X502" s="856"/>
      <c r="Y502" s="355"/>
      <c r="AB502" s="446"/>
      <c r="AC502" s="446"/>
      <c r="AD502" s="562"/>
      <c r="AE502" s="446"/>
      <c r="AF502" s="446"/>
      <c r="AG502" s="446"/>
      <c r="AH502" s="446"/>
      <c r="AI502" s="446"/>
      <c r="AJ502" s="446"/>
      <c r="AK502" s="446"/>
      <c r="AL502" s="446"/>
      <c r="AM502" s="446"/>
      <c r="AN502" s="446"/>
      <c r="AO502" s="446"/>
      <c r="AP502" s="446"/>
      <c r="AQ502" s="446"/>
      <c r="AR502" s="446"/>
      <c r="AS502" s="446"/>
      <c r="AT502" s="446"/>
      <c r="AU502" s="446"/>
      <c r="AV502" s="446"/>
      <c r="AW502" s="446"/>
      <c r="AX502" s="446"/>
      <c r="AY502" s="446"/>
      <c r="AZ502" s="446"/>
      <c r="BA502" s="446"/>
      <c r="BB502" s="446"/>
      <c r="BC502" s="446"/>
      <c r="BD502" s="446"/>
      <c r="BE502" s="446"/>
      <c r="BF502" s="446"/>
      <c r="BG502" s="446"/>
      <c r="BH502" s="446"/>
      <c r="BI502" s="446"/>
      <c r="BJ502" s="446"/>
      <c r="BK502" s="446"/>
      <c r="BL502" s="446"/>
      <c r="BM502" s="446"/>
      <c r="BN502" s="446"/>
      <c r="BO502" s="446"/>
      <c r="BP502" s="446"/>
      <c r="BQ502" s="446"/>
      <c r="BR502" s="446"/>
      <c r="BS502" s="446"/>
      <c r="BT502" s="446"/>
      <c r="BU502" s="562"/>
      <c r="BV502" s="446"/>
      <c r="BW502" s="446"/>
      <c r="BX502" s="446"/>
      <c r="BY502" s="446"/>
      <c r="BZ502" s="446"/>
      <c r="CA502" s="446"/>
      <c r="CB502" s="446"/>
      <c r="CC502" s="446"/>
      <c r="CD502" s="446"/>
      <c r="CE502" s="446"/>
      <c r="CF502" s="446"/>
      <c r="CG502" s="446"/>
      <c r="CH502" s="446"/>
      <c r="CI502" s="446"/>
      <c r="CJ502" s="446"/>
      <c r="CK502" s="446"/>
      <c r="CL502" s="446"/>
      <c r="CM502" s="446"/>
      <c r="CN502" s="446"/>
      <c r="CO502" s="446"/>
      <c r="CP502" s="446"/>
      <c r="CQ502" s="446"/>
      <c r="CR502" s="446"/>
      <c r="CS502" s="446"/>
      <c r="CT502" s="446"/>
      <c r="CU502" s="446"/>
      <c r="CV502" s="446"/>
      <c r="CW502" s="233"/>
      <c r="CX502" s="446"/>
      <c r="CY502" s="446"/>
      <c r="CZ502" s="446"/>
      <c r="DA502" s="446"/>
      <c r="DB502" s="446"/>
      <c r="DC502" s="446"/>
      <c r="DD502" s="446"/>
      <c r="DE502" s="446"/>
      <c r="DF502" s="446"/>
      <c r="DG502" s="446"/>
      <c r="DH502" s="446"/>
      <c r="DI502" s="446"/>
      <c r="DJ502" s="446"/>
      <c r="DK502" s="446"/>
      <c r="DL502" s="446"/>
      <c r="DM502" s="446"/>
      <c r="DN502" s="446"/>
      <c r="DO502" s="446"/>
      <c r="DP502" s="446"/>
      <c r="DQ502" s="446"/>
      <c r="DR502" s="446"/>
      <c r="DS502" s="446"/>
      <c r="DT502" s="446"/>
      <c r="DU502" s="446"/>
      <c r="DV502" s="446"/>
      <c r="DW502" s="446"/>
      <c r="DX502" s="446"/>
      <c r="DY502" s="446"/>
      <c r="DZ502" s="283"/>
    </row>
    <row r="503" spans="4:130" s="223" customFormat="1" x14ac:dyDescent="0.2">
      <c r="D503" s="856"/>
      <c r="E503" s="856"/>
      <c r="F503" s="856"/>
      <c r="G503" s="856"/>
      <c r="H503" s="856"/>
      <c r="I503" s="856"/>
      <c r="J503" s="856"/>
      <c r="K503" s="856"/>
      <c r="L503" s="856"/>
      <c r="M503" s="856"/>
      <c r="N503" s="857"/>
      <c r="O503" s="856"/>
      <c r="P503" s="856"/>
      <c r="Q503" s="858"/>
      <c r="R503" s="858"/>
      <c r="S503" s="876"/>
      <c r="T503" s="856"/>
      <c r="U503" s="856"/>
      <c r="V503" s="856"/>
      <c r="W503" s="856"/>
      <c r="X503" s="856"/>
      <c r="Y503" s="355"/>
      <c r="AB503" s="446"/>
      <c r="AC503" s="446"/>
      <c r="AD503" s="562"/>
      <c r="AE503" s="446"/>
      <c r="AF503" s="446"/>
      <c r="AG503" s="446"/>
      <c r="AH503" s="446"/>
      <c r="AI503" s="446"/>
      <c r="AJ503" s="446"/>
      <c r="AK503" s="446"/>
      <c r="AL503" s="446"/>
      <c r="AM503" s="446"/>
      <c r="AN503" s="446"/>
      <c r="AO503" s="446"/>
      <c r="AP503" s="446"/>
      <c r="AQ503" s="446"/>
      <c r="AR503" s="446"/>
      <c r="AS503" s="446"/>
      <c r="AT503" s="446"/>
      <c r="AU503" s="446"/>
      <c r="AV503" s="446"/>
      <c r="AW503" s="446"/>
      <c r="AX503" s="446"/>
      <c r="AY503" s="446"/>
      <c r="AZ503" s="446"/>
      <c r="BA503" s="446"/>
      <c r="BB503" s="446"/>
      <c r="BC503" s="446"/>
      <c r="BD503" s="446"/>
      <c r="BE503" s="446"/>
      <c r="BF503" s="446"/>
      <c r="BG503" s="446"/>
      <c r="BH503" s="446"/>
      <c r="BI503" s="446"/>
      <c r="BJ503" s="446"/>
      <c r="BK503" s="446"/>
      <c r="BL503" s="446"/>
      <c r="BM503" s="446"/>
      <c r="BN503" s="446"/>
      <c r="BO503" s="446"/>
      <c r="BP503" s="446"/>
      <c r="BQ503" s="446"/>
      <c r="BR503" s="446"/>
      <c r="BS503" s="446"/>
      <c r="BT503" s="446"/>
      <c r="BU503" s="562"/>
      <c r="BV503" s="446"/>
      <c r="BW503" s="446"/>
      <c r="BX503" s="446"/>
      <c r="BY503" s="446"/>
      <c r="BZ503" s="446"/>
      <c r="CA503" s="446"/>
      <c r="CB503" s="446"/>
      <c r="CC503" s="446"/>
      <c r="CD503" s="446"/>
      <c r="CE503" s="446"/>
      <c r="CF503" s="446"/>
      <c r="CG503" s="446"/>
      <c r="CH503" s="446"/>
      <c r="CI503" s="446"/>
      <c r="CJ503" s="446"/>
      <c r="CK503" s="446"/>
      <c r="CL503" s="446"/>
      <c r="CM503" s="446"/>
      <c r="CN503" s="446"/>
      <c r="CO503" s="446"/>
      <c r="CP503" s="446"/>
      <c r="CQ503" s="446"/>
      <c r="CR503" s="446"/>
      <c r="CS503" s="446"/>
      <c r="CT503" s="446"/>
      <c r="CU503" s="446"/>
      <c r="CV503" s="446"/>
      <c r="CW503" s="233"/>
      <c r="CX503" s="446"/>
      <c r="CY503" s="446"/>
      <c r="CZ503" s="446"/>
      <c r="DA503" s="446"/>
      <c r="DB503" s="446"/>
      <c r="DC503" s="446"/>
      <c r="DD503" s="446"/>
      <c r="DE503" s="446"/>
      <c r="DF503" s="446"/>
      <c r="DG503" s="446"/>
      <c r="DH503" s="446"/>
      <c r="DI503" s="446"/>
      <c r="DJ503" s="446"/>
      <c r="DK503" s="446"/>
      <c r="DL503" s="446"/>
      <c r="DM503" s="446"/>
      <c r="DN503" s="446"/>
      <c r="DO503" s="446"/>
      <c r="DP503" s="446"/>
      <c r="DQ503" s="446"/>
      <c r="DR503" s="446"/>
      <c r="DS503" s="446"/>
      <c r="DT503" s="446"/>
      <c r="DU503" s="446"/>
      <c r="DV503" s="446"/>
      <c r="DW503" s="446"/>
      <c r="DX503" s="446"/>
      <c r="DY503" s="446"/>
      <c r="DZ503" s="283"/>
    </row>
    <row r="504" spans="4:130" s="223" customFormat="1" ht="13.7" customHeight="1" x14ac:dyDescent="0.2">
      <c r="D504" s="851"/>
      <c r="E504" s="851"/>
      <c r="F504" s="851"/>
      <c r="G504" s="851"/>
      <c r="H504" s="851"/>
      <c r="I504" s="851"/>
      <c r="J504" s="851"/>
      <c r="K504" s="851"/>
      <c r="L504" s="851"/>
      <c r="M504" s="851"/>
      <c r="N504" s="851"/>
      <c r="O504" s="851"/>
      <c r="P504" s="851"/>
      <c r="Q504" s="851"/>
      <c r="R504" s="851"/>
      <c r="S504" s="860"/>
      <c r="T504" s="851"/>
      <c r="U504" s="851"/>
      <c r="V504" s="851"/>
      <c r="W504" s="851"/>
      <c r="X504" s="851"/>
      <c r="Y504" s="851"/>
      <c r="Z504" s="851"/>
      <c r="AA504" s="851"/>
      <c r="AB504" s="851"/>
      <c r="AC504" s="851"/>
      <c r="AD504" s="851"/>
      <c r="AE504" s="446"/>
      <c r="AF504" s="446"/>
      <c r="AG504" s="446"/>
      <c r="AH504" s="446"/>
      <c r="AI504" s="446"/>
      <c r="AJ504" s="446"/>
      <c r="AK504" s="446"/>
      <c r="AL504" s="446"/>
      <c r="AM504" s="446"/>
      <c r="AN504" s="446"/>
      <c r="AO504" s="446"/>
      <c r="AP504" s="446"/>
      <c r="AQ504" s="446"/>
      <c r="AR504" s="446"/>
      <c r="AS504" s="446"/>
      <c r="AT504" s="446"/>
      <c r="AU504" s="446"/>
      <c r="AV504" s="446"/>
      <c r="AW504" s="446"/>
      <c r="AX504" s="446"/>
      <c r="AY504" s="446"/>
      <c r="AZ504" s="446"/>
      <c r="BA504" s="446"/>
      <c r="BB504" s="446"/>
      <c r="BC504" s="446"/>
      <c r="BD504" s="446"/>
      <c r="BE504" s="446"/>
      <c r="BF504" s="446"/>
      <c r="BG504" s="446"/>
      <c r="BH504" s="446"/>
      <c r="BI504" s="446"/>
      <c r="BJ504" s="446"/>
      <c r="BK504" s="446"/>
      <c r="BL504" s="446"/>
      <c r="BM504" s="446"/>
      <c r="BN504" s="446"/>
      <c r="BO504" s="446"/>
      <c r="BP504" s="446"/>
      <c r="BQ504" s="446"/>
      <c r="BR504" s="446"/>
      <c r="BS504" s="446"/>
      <c r="BT504" s="446"/>
      <c r="BU504" s="562"/>
      <c r="BV504" s="446"/>
      <c r="BW504" s="446"/>
      <c r="BX504" s="446"/>
      <c r="BY504" s="446"/>
      <c r="BZ504" s="446"/>
      <c r="CA504" s="446"/>
      <c r="CB504" s="446"/>
      <c r="CC504" s="446"/>
      <c r="CD504" s="446"/>
      <c r="CE504" s="446"/>
      <c r="CF504" s="446"/>
      <c r="CG504" s="446"/>
      <c r="CH504" s="446"/>
      <c r="CI504" s="446"/>
      <c r="CJ504" s="446"/>
      <c r="CK504" s="446"/>
      <c r="CL504" s="446"/>
      <c r="CM504" s="446"/>
      <c r="CN504" s="446"/>
      <c r="CO504" s="446"/>
      <c r="CP504" s="446"/>
      <c r="CQ504" s="446"/>
      <c r="CR504" s="446"/>
      <c r="CS504" s="446"/>
      <c r="CT504" s="446"/>
      <c r="CU504" s="446"/>
      <c r="CV504" s="446"/>
      <c r="CW504" s="233"/>
      <c r="CX504" s="446"/>
      <c r="CY504" s="446"/>
      <c r="CZ504" s="446"/>
      <c r="DA504" s="446"/>
      <c r="DB504" s="446"/>
      <c r="DC504" s="446"/>
      <c r="DD504" s="446"/>
      <c r="DE504" s="446"/>
      <c r="DF504" s="446"/>
      <c r="DG504" s="446"/>
      <c r="DH504" s="446"/>
      <c r="DI504" s="446"/>
      <c r="DJ504" s="446"/>
      <c r="DK504" s="446"/>
      <c r="DL504" s="446"/>
      <c r="DM504" s="446"/>
      <c r="DN504" s="446"/>
      <c r="DO504" s="446"/>
      <c r="DP504" s="446"/>
      <c r="DQ504" s="446"/>
      <c r="DR504" s="446"/>
      <c r="DS504" s="446"/>
      <c r="DT504" s="446"/>
      <c r="DU504" s="446"/>
      <c r="DV504" s="446"/>
      <c r="DW504" s="446"/>
      <c r="DX504" s="446"/>
      <c r="DY504" s="446"/>
      <c r="DZ504" s="283"/>
    </row>
    <row r="505" spans="4:130" s="223" customFormat="1" x14ac:dyDescent="0.2">
      <c r="D505" s="820"/>
      <c r="E505" s="861"/>
      <c r="F505" s="820"/>
      <c r="G505" s="820"/>
      <c r="H505" s="820"/>
      <c r="I505" s="820"/>
      <c r="J505" s="820"/>
      <c r="K505" s="820"/>
      <c r="L505" s="820"/>
      <c r="M505" s="820"/>
      <c r="N505" s="820"/>
      <c r="O505" s="820"/>
      <c r="P505" s="820"/>
      <c r="Q505" s="820"/>
      <c r="R505" s="820"/>
      <c r="S505" s="470"/>
      <c r="T505" s="820"/>
      <c r="U505" s="820"/>
      <c r="V505" s="820"/>
      <c r="W505" s="820"/>
      <c r="X505" s="820"/>
      <c r="Y505" s="820"/>
      <c r="Z505" s="820"/>
      <c r="AA505" s="820"/>
      <c r="AB505" s="820"/>
      <c r="AC505" s="820"/>
      <c r="AD505" s="820"/>
      <c r="AE505" s="446"/>
      <c r="AF505" s="446"/>
      <c r="AG505" s="446"/>
      <c r="AH505" s="446"/>
      <c r="AI505" s="446"/>
      <c r="AJ505" s="446"/>
      <c r="AK505" s="446"/>
      <c r="AL505" s="446"/>
      <c r="AM505" s="446"/>
      <c r="AN505" s="446"/>
      <c r="AO505" s="446"/>
      <c r="AP505" s="446"/>
      <c r="AQ505" s="446"/>
      <c r="AR505" s="446"/>
      <c r="AS505" s="446"/>
      <c r="AT505" s="446"/>
      <c r="AU505" s="446"/>
      <c r="AV505" s="446"/>
      <c r="AW505" s="446"/>
      <c r="AX505" s="446"/>
      <c r="AY505" s="446"/>
      <c r="AZ505" s="446"/>
      <c r="BA505" s="446"/>
      <c r="BB505" s="446"/>
      <c r="BC505" s="446"/>
      <c r="BD505" s="446"/>
      <c r="BE505" s="446"/>
      <c r="BF505" s="446"/>
      <c r="BG505" s="446"/>
      <c r="BH505" s="446"/>
      <c r="BI505" s="446"/>
      <c r="BJ505" s="446"/>
      <c r="BK505" s="446"/>
      <c r="BL505" s="446"/>
      <c r="BM505" s="446"/>
      <c r="BN505" s="446"/>
      <c r="BO505" s="446"/>
      <c r="BP505" s="446"/>
      <c r="BQ505" s="446"/>
      <c r="BR505" s="446"/>
      <c r="BS505" s="446"/>
      <c r="BT505" s="446"/>
      <c r="BU505" s="562"/>
      <c r="BV505" s="446"/>
      <c r="BW505" s="446"/>
      <c r="BX505" s="446"/>
      <c r="BY505" s="446"/>
      <c r="BZ505" s="446"/>
      <c r="CA505" s="446"/>
      <c r="CB505" s="446"/>
      <c r="CC505" s="446"/>
      <c r="CD505" s="446"/>
      <c r="CE505" s="446"/>
      <c r="CF505" s="446"/>
      <c r="CG505" s="446"/>
      <c r="CH505" s="446"/>
      <c r="CI505" s="446"/>
      <c r="CJ505" s="446"/>
      <c r="CK505" s="446"/>
      <c r="CL505" s="446"/>
      <c r="CM505" s="446"/>
      <c r="CN505" s="446"/>
      <c r="CO505" s="446"/>
      <c r="CP505" s="446"/>
      <c r="CQ505" s="446"/>
      <c r="CR505" s="446"/>
      <c r="CS505" s="446"/>
      <c r="CT505" s="446"/>
      <c r="CU505" s="446"/>
      <c r="CV505" s="446"/>
      <c r="CW505" s="233"/>
      <c r="CX505" s="446"/>
      <c r="CY505" s="446"/>
      <c r="CZ505" s="446"/>
      <c r="DA505" s="446"/>
      <c r="DB505" s="446"/>
      <c r="DC505" s="446"/>
      <c r="DD505" s="446"/>
      <c r="DE505" s="446"/>
      <c r="DF505" s="446"/>
      <c r="DG505" s="446"/>
      <c r="DH505" s="446"/>
      <c r="DI505" s="446"/>
      <c r="DJ505" s="446"/>
      <c r="DK505" s="446"/>
      <c r="DL505" s="446"/>
      <c r="DM505" s="446"/>
      <c r="DN505" s="446"/>
      <c r="DO505" s="446"/>
      <c r="DP505" s="446"/>
      <c r="DQ505" s="446"/>
      <c r="DR505" s="446"/>
      <c r="DS505" s="446"/>
      <c r="DT505" s="446"/>
      <c r="DU505" s="446"/>
      <c r="DV505" s="446"/>
      <c r="DW505" s="446"/>
      <c r="DX505" s="446"/>
      <c r="DY505" s="446"/>
      <c r="DZ505" s="283"/>
    </row>
    <row r="506" spans="4:130" s="223" customFormat="1" x14ac:dyDescent="0.2">
      <c r="D506" s="820"/>
      <c r="E506" s="820"/>
      <c r="F506" s="820"/>
      <c r="G506" s="820"/>
      <c r="H506" s="820"/>
      <c r="I506" s="820"/>
      <c r="J506" s="820"/>
      <c r="K506" s="820"/>
      <c r="L506" s="820"/>
      <c r="M506" s="820"/>
      <c r="N506" s="820"/>
      <c r="O506" s="820"/>
      <c r="P506" s="820"/>
      <c r="Q506" s="820"/>
      <c r="R506" s="820"/>
      <c r="S506" s="470"/>
      <c r="T506" s="820"/>
      <c r="U506" s="820"/>
      <c r="V506" s="820"/>
      <c r="W506" s="820"/>
      <c r="X506" s="820"/>
      <c r="Y506" s="820"/>
      <c r="Z506" s="820"/>
      <c r="AA506" s="820"/>
      <c r="AB506" s="820"/>
      <c r="AC506" s="820"/>
      <c r="AD506" s="820"/>
      <c r="AE506" s="446"/>
      <c r="AF506" s="446"/>
      <c r="AG506" s="446"/>
      <c r="AH506" s="446"/>
      <c r="AI506" s="446"/>
      <c r="AJ506" s="446"/>
      <c r="AK506" s="446"/>
      <c r="AL506" s="446"/>
      <c r="AM506" s="446"/>
      <c r="AN506" s="446"/>
      <c r="AO506" s="446"/>
      <c r="AP506" s="446"/>
      <c r="AQ506" s="446"/>
      <c r="AR506" s="446"/>
      <c r="AS506" s="446"/>
      <c r="AT506" s="446"/>
      <c r="AU506" s="446"/>
      <c r="AV506" s="446"/>
      <c r="AW506" s="446"/>
      <c r="AX506" s="446"/>
      <c r="AY506" s="446"/>
      <c r="AZ506" s="446"/>
      <c r="BA506" s="446"/>
      <c r="BB506" s="446"/>
      <c r="BC506" s="446"/>
      <c r="BD506" s="446"/>
      <c r="BE506" s="446"/>
      <c r="BF506" s="446"/>
      <c r="BG506" s="446"/>
      <c r="BH506" s="446"/>
      <c r="BI506" s="446"/>
      <c r="BJ506" s="446"/>
      <c r="BK506" s="446"/>
      <c r="BL506" s="446"/>
      <c r="BM506" s="446"/>
      <c r="BN506" s="446"/>
      <c r="BO506" s="446"/>
      <c r="BP506" s="446"/>
      <c r="BQ506" s="446"/>
      <c r="BR506" s="446"/>
      <c r="BS506" s="446"/>
      <c r="BT506" s="446"/>
      <c r="BU506" s="562"/>
      <c r="BV506" s="446"/>
      <c r="BW506" s="446"/>
      <c r="BX506" s="446"/>
      <c r="BY506" s="446"/>
      <c r="BZ506" s="446"/>
      <c r="CA506" s="446"/>
      <c r="CB506" s="446"/>
      <c r="CC506" s="446"/>
      <c r="CD506" s="446"/>
      <c r="CE506" s="446"/>
      <c r="CF506" s="446"/>
      <c r="CG506" s="446"/>
      <c r="CH506" s="446"/>
      <c r="CI506" s="446"/>
      <c r="CJ506" s="446"/>
      <c r="CK506" s="446"/>
      <c r="CL506" s="446"/>
      <c r="CM506" s="446"/>
      <c r="CN506" s="446"/>
      <c r="CO506" s="446"/>
      <c r="CP506" s="446"/>
      <c r="CQ506" s="446"/>
      <c r="CR506" s="446"/>
      <c r="CS506" s="446"/>
      <c r="CT506" s="446"/>
      <c r="CU506" s="446"/>
      <c r="CV506" s="446"/>
      <c r="CW506" s="233"/>
      <c r="CX506" s="446"/>
      <c r="CY506" s="446"/>
      <c r="CZ506" s="446"/>
      <c r="DA506" s="446"/>
      <c r="DB506" s="446"/>
      <c r="DC506" s="446"/>
      <c r="DD506" s="446"/>
      <c r="DE506" s="446"/>
      <c r="DF506" s="446"/>
      <c r="DG506" s="446"/>
      <c r="DH506" s="446"/>
      <c r="DI506" s="446"/>
      <c r="DJ506" s="446"/>
      <c r="DK506" s="446"/>
      <c r="DL506" s="446"/>
      <c r="DM506" s="446"/>
      <c r="DN506" s="446"/>
      <c r="DO506" s="446"/>
      <c r="DP506" s="446"/>
      <c r="DQ506" s="446"/>
      <c r="DR506" s="446"/>
      <c r="DS506" s="446"/>
      <c r="DT506" s="446"/>
      <c r="DU506" s="446"/>
      <c r="DV506" s="446"/>
      <c r="DW506" s="446"/>
      <c r="DX506" s="446"/>
      <c r="DY506" s="446"/>
      <c r="DZ506" s="283"/>
    </row>
    <row r="507" spans="4:130" s="223" customFormat="1" x14ac:dyDescent="0.2">
      <c r="D507" s="856"/>
      <c r="E507" s="856"/>
      <c r="F507" s="856"/>
      <c r="G507" s="856"/>
      <c r="H507" s="856"/>
      <c r="I507" s="862"/>
      <c r="J507" s="863"/>
      <c r="K507" s="862"/>
      <c r="L507" s="863"/>
      <c r="M507" s="862"/>
      <c r="N507" s="863"/>
      <c r="O507" s="862"/>
      <c r="P507" s="864"/>
      <c r="Q507" s="862"/>
      <c r="R507" s="862"/>
      <c r="S507" s="864"/>
      <c r="T507" s="862"/>
      <c r="U507" s="864"/>
      <c r="V507" s="862"/>
      <c r="W507" s="864"/>
      <c r="X507" s="862"/>
      <c r="Y507" s="864"/>
      <c r="Z507" s="862"/>
      <c r="AA507" s="864"/>
      <c r="AB507" s="862"/>
      <c r="AC507" s="864"/>
      <c r="AD507" s="862"/>
      <c r="AE507" s="866"/>
      <c r="AF507" s="862"/>
      <c r="AG507" s="866"/>
      <c r="AH507" s="446"/>
      <c r="AI507" s="446"/>
      <c r="AJ507" s="446"/>
      <c r="AK507" s="446"/>
      <c r="AL507" s="446"/>
      <c r="AM507" s="446"/>
      <c r="AN507" s="446"/>
      <c r="AO507" s="446"/>
      <c r="AP507" s="446"/>
      <c r="AQ507" s="446"/>
      <c r="AR507" s="446"/>
      <c r="AS507" s="446"/>
      <c r="AT507" s="446"/>
      <c r="AU507" s="446"/>
      <c r="AV507" s="446"/>
      <c r="AW507" s="446"/>
      <c r="AX507" s="446"/>
      <c r="AY507" s="446"/>
      <c r="AZ507" s="446"/>
      <c r="BA507" s="446"/>
      <c r="BB507" s="446"/>
      <c r="BC507" s="446"/>
      <c r="BD507" s="446"/>
      <c r="BE507" s="446"/>
      <c r="BF507" s="446"/>
      <c r="BG507" s="446"/>
      <c r="BH507" s="446"/>
      <c r="BI507" s="446"/>
      <c r="BJ507" s="446"/>
      <c r="BK507" s="446"/>
      <c r="BL507" s="446"/>
      <c r="BM507" s="446"/>
      <c r="BN507" s="446"/>
      <c r="BO507" s="446"/>
      <c r="BP507" s="446"/>
      <c r="BQ507" s="446"/>
      <c r="BR507" s="446"/>
      <c r="BS507" s="446"/>
      <c r="BT507" s="446"/>
      <c r="BU507" s="562"/>
      <c r="BV507" s="446"/>
      <c r="BW507" s="446"/>
      <c r="BX507" s="446"/>
      <c r="BY507" s="446"/>
      <c r="BZ507" s="446"/>
      <c r="CA507" s="446"/>
      <c r="CB507" s="446"/>
      <c r="CC507" s="446"/>
      <c r="CD507" s="446"/>
      <c r="CE507" s="446"/>
      <c r="CF507" s="446"/>
      <c r="CG507" s="446"/>
      <c r="CH507" s="446"/>
      <c r="CI507" s="446"/>
      <c r="CJ507" s="446"/>
      <c r="CK507" s="446"/>
      <c r="CL507" s="446"/>
      <c r="CM507" s="446"/>
      <c r="CN507" s="446"/>
      <c r="CO507" s="446"/>
      <c r="CP507" s="446"/>
      <c r="CQ507" s="446"/>
      <c r="CR507" s="446"/>
      <c r="CS507" s="446"/>
      <c r="CT507" s="446"/>
      <c r="CU507" s="446"/>
      <c r="CV507" s="446"/>
      <c r="CW507" s="233"/>
      <c r="CX507" s="446"/>
      <c r="CY507" s="446"/>
      <c r="CZ507" s="446"/>
      <c r="DA507" s="446"/>
      <c r="DB507" s="446"/>
      <c r="DC507" s="446"/>
      <c r="DD507" s="446"/>
      <c r="DE507" s="446"/>
      <c r="DF507" s="446"/>
      <c r="DG507" s="446"/>
      <c r="DH507" s="446"/>
      <c r="DI507" s="446"/>
      <c r="DJ507" s="446"/>
      <c r="DK507" s="446"/>
      <c r="DL507" s="446"/>
      <c r="DM507" s="446"/>
      <c r="DN507" s="446"/>
      <c r="DO507" s="446"/>
      <c r="DP507" s="446"/>
      <c r="DQ507" s="446"/>
      <c r="DR507" s="446"/>
      <c r="DS507" s="446"/>
      <c r="DT507" s="446"/>
      <c r="DU507" s="446"/>
      <c r="DV507" s="446"/>
      <c r="DW507" s="446"/>
      <c r="DX507" s="446"/>
      <c r="DY507" s="446"/>
      <c r="DZ507" s="283"/>
    </row>
    <row r="508" spans="4:130" s="223" customFormat="1" x14ac:dyDescent="0.2">
      <c r="D508" s="856"/>
      <c r="E508" s="856"/>
      <c r="F508" s="856"/>
      <c r="G508" s="856"/>
      <c r="H508" s="856"/>
      <c r="I508" s="867"/>
      <c r="J508" s="868"/>
      <c r="K508" s="867"/>
      <c r="L508" s="869"/>
      <c r="M508" s="867"/>
      <c r="N508" s="869"/>
      <c r="O508" s="867"/>
      <c r="P508" s="868"/>
      <c r="Q508" s="867"/>
      <c r="R508" s="867"/>
      <c r="S508" s="868"/>
      <c r="T508" s="867"/>
      <c r="U508" s="868"/>
      <c r="V508" s="867"/>
      <c r="W508" s="868"/>
      <c r="X508" s="867"/>
      <c r="Y508" s="868"/>
      <c r="Z508" s="867"/>
      <c r="AA508" s="868"/>
      <c r="AB508" s="867"/>
      <c r="AC508" s="868"/>
      <c r="AD508" s="867"/>
      <c r="AE508" s="868"/>
      <c r="AF508" s="867"/>
      <c r="AG508" s="868"/>
      <c r="AH508" s="446"/>
      <c r="AI508" s="446"/>
      <c r="AJ508" s="446"/>
      <c r="AK508" s="446"/>
      <c r="AL508" s="446"/>
      <c r="AM508" s="446"/>
      <c r="AN508" s="446"/>
      <c r="AO508" s="446"/>
      <c r="AP508" s="446"/>
      <c r="AQ508" s="446"/>
      <c r="AR508" s="446"/>
      <c r="AS508" s="446"/>
      <c r="AT508" s="446"/>
      <c r="AU508" s="446"/>
      <c r="AV508" s="446"/>
      <c r="AW508" s="446"/>
      <c r="AX508" s="446"/>
      <c r="AY508" s="446"/>
      <c r="AZ508" s="446"/>
      <c r="BA508" s="446"/>
      <c r="BB508" s="446"/>
      <c r="BC508" s="446"/>
      <c r="BD508" s="446"/>
      <c r="BE508" s="446"/>
      <c r="BF508" s="446"/>
      <c r="BG508" s="446"/>
      <c r="BH508" s="446"/>
      <c r="BI508" s="446"/>
      <c r="BJ508" s="446"/>
      <c r="BK508" s="446"/>
      <c r="BL508" s="446"/>
      <c r="BM508" s="446"/>
      <c r="BN508" s="446"/>
      <c r="BO508" s="446"/>
      <c r="BP508" s="446"/>
      <c r="BQ508" s="446"/>
      <c r="BR508" s="446"/>
      <c r="BS508" s="446"/>
      <c r="BT508" s="446"/>
      <c r="BU508" s="562"/>
      <c r="BV508" s="446"/>
      <c r="BW508" s="446"/>
      <c r="BX508" s="446"/>
      <c r="BY508" s="446"/>
      <c r="BZ508" s="446"/>
      <c r="CA508" s="446"/>
      <c r="CB508" s="446"/>
      <c r="CC508" s="446"/>
      <c r="CD508" s="446"/>
      <c r="CE508" s="446"/>
      <c r="CF508" s="446"/>
      <c r="CG508" s="446"/>
      <c r="CH508" s="446"/>
      <c r="CI508" s="446"/>
      <c r="CJ508" s="446"/>
      <c r="CK508" s="446"/>
      <c r="CL508" s="446"/>
      <c r="CM508" s="446"/>
      <c r="CN508" s="446"/>
      <c r="CO508" s="446"/>
      <c r="CP508" s="446"/>
      <c r="CQ508" s="446"/>
      <c r="CR508" s="446"/>
      <c r="CS508" s="446"/>
      <c r="CT508" s="446"/>
      <c r="CU508" s="446"/>
      <c r="CV508" s="446"/>
      <c r="CW508" s="233"/>
      <c r="CX508" s="446"/>
      <c r="CY508" s="446"/>
      <c r="CZ508" s="446"/>
      <c r="DA508" s="446"/>
      <c r="DB508" s="446"/>
      <c r="DC508" s="446"/>
      <c r="DD508" s="446"/>
      <c r="DE508" s="446"/>
      <c r="DF508" s="446"/>
      <c r="DG508" s="446"/>
      <c r="DH508" s="446"/>
      <c r="DI508" s="446"/>
      <c r="DJ508" s="446"/>
      <c r="DK508" s="446"/>
      <c r="DL508" s="446"/>
      <c r="DM508" s="446"/>
      <c r="DN508" s="446"/>
      <c r="DO508" s="446"/>
      <c r="DP508" s="446"/>
      <c r="DQ508" s="446"/>
      <c r="DR508" s="446"/>
      <c r="DS508" s="446"/>
      <c r="DT508" s="446"/>
      <c r="DU508" s="446"/>
      <c r="DV508" s="446"/>
      <c r="DW508" s="446"/>
      <c r="DX508" s="446"/>
      <c r="DY508" s="446"/>
      <c r="DZ508" s="283"/>
    </row>
    <row r="509" spans="4:130" s="223" customFormat="1" x14ac:dyDescent="0.2">
      <c r="D509" s="856"/>
      <c r="E509" s="856"/>
      <c r="F509" s="856"/>
      <c r="G509" s="856"/>
      <c r="H509" s="856"/>
      <c r="I509" s="867"/>
      <c r="J509" s="868"/>
      <c r="K509" s="867"/>
      <c r="L509" s="868"/>
      <c r="M509" s="867"/>
      <c r="N509" s="868"/>
      <c r="O509" s="867"/>
      <c r="P509" s="868"/>
      <c r="Q509" s="867"/>
      <c r="R509" s="867"/>
      <c r="S509" s="868"/>
      <c r="T509" s="867"/>
      <c r="U509" s="868"/>
      <c r="V509" s="867"/>
      <c r="W509" s="868"/>
      <c r="X509" s="867"/>
      <c r="Y509" s="868"/>
      <c r="Z509" s="867"/>
      <c r="AA509" s="868"/>
      <c r="AB509" s="867"/>
      <c r="AC509" s="868"/>
      <c r="AD509" s="867"/>
      <c r="AE509" s="868"/>
      <c r="AF509" s="867"/>
      <c r="AG509" s="868"/>
      <c r="AH509" s="446"/>
      <c r="AI509" s="446"/>
      <c r="AJ509" s="446"/>
      <c r="AK509" s="446"/>
      <c r="AL509" s="446"/>
      <c r="AM509" s="446"/>
      <c r="AN509" s="446"/>
      <c r="AO509" s="446"/>
      <c r="AP509" s="446"/>
      <c r="AQ509" s="446"/>
      <c r="AR509" s="446"/>
      <c r="AS509" s="446"/>
      <c r="AT509" s="446"/>
      <c r="AU509" s="446"/>
      <c r="AV509" s="446"/>
      <c r="AW509" s="446"/>
      <c r="AX509" s="446"/>
      <c r="AY509" s="446"/>
      <c r="AZ509" s="446"/>
      <c r="BA509" s="446"/>
      <c r="BB509" s="446"/>
      <c r="BC509" s="446"/>
      <c r="BD509" s="446"/>
      <c r="BE509" s="446"/>
      <c r="BF509" s="446"/>
      <c r="BG509" s="446"/>
      <c r="BH509" s="446"/>
      <c r="BI509" s="446"/>
      <c r="BJ509" s="446"/>
      <c r="BK509" s="446"/>
      <c r="BL509" s="446"/>
      <c r="BM509" s="446"/>
      <c r="BN509" s="446"/>
      <c r="BO509" s="446"/>
      <c r="BP509" s="446"/>
      <c r="BQ509" s="446"/>
      <c r="BR509" s="446"/>
      <c r="BS509" s="446"/>
      <c r="BT509" s="446"/>
      <c r="BU509" s="562"/>
      <c r="BV509" s="446"/>
      <c r="BW509" s="446"/>
      <c r="BX509" s="446"/>
      <c r="BY509" s="446"/>
      <c r="BZ509" s="446"/>
      <c r="CA509" s="446"/>
      <c r="CB509" s="446"/>
      <c r="CC509" s="446"/>
      <c r="CD509" s="446"/>
      <c r="CE509" s="446"/>
      <c r="CF509" s="446"/>
      <c r="CG509" s="446"/>
      <c r="CH509" s="446"/>
      <c r="CI509" s="446"/>
      <c r="CJ509" s="446"/>
      <c r="CK509" s="446"/>
      <c r="CL509" s="446"/>
      <c r="CM509" s="446"/>
      <c r="CN509" s="446"/>
      <c r="CO509" s="446"/>
      <c r="CP509" s="446"/>
      <c r="CQ509" s="446"/>
      <c r="CR509" s="446"/>
      <c r="CS509" s="446"/>
      <c r="CT509" s="446"/>
      <c r="CU509" s="446"/>
      <c r="CV509" s="446"/>
      <c r="CW509" s="233"/>
      <c r="CX509" s="446"/>
      <c r="CY509" s="446"/>
      <c r="CZ509" s="446"/>
      <c r="DA509" s="446"/>
      <c r="DB509" s="446"/>
      <c r="DC509" s="446"/>
      <c r="DD509" s="446"/>
      <c r="DE509" s="446"/>
      <c r="DF509" s="446"/>
      <c r="DG509" s="446"/>
      <c r="DH509" s="446"/>
      <c r="DI509" s="446"/>
      <c r="DJ509" s="446"/>
      <c r="DK509" s="446"/>
      <c r="DL509" s="446"/>
      <c r="DM509" s="446"/>
      <c r="DN509" s="446"/>
      <c r="DO509" s="446"/>
      <c r="DP509" s="446"/>
      <c r="DQ509" s="446"/>
      <c r="DR509" s="446"/>
      <c r="DS509" s="446"/>
      <c r="DT509" s="446"/>
      <c r="DU509" s="446"/>
      <c r="DV509" s="446"/>
      <c r="DW509" s="446"/>
      <c r="DX509" s="446"/>
      <c r="DY509" s="446"/>
      <c r="DZ509" s="283"/>
    </row>
    <row r="510" spans="4:130" s="223" customFormat="1" x14ac:dyDescent="0.2">
      <c r="D510" s="856"/>
      <c r="E510" s="856"/>
      <c r="F510" s="856"/>
      <c r="G510" s="856"/>
      <c r="H510" s="856"/>
      <c r="I510" s="870"/>
      <c r="J510" s="868"/>
      <c r="K510" s="870"/>
      <c r="L510" s="868"/>
      <c r="M510" s="870"/>
      <c r="N510" s="868"/>
      <c r="O510" s="870"/>
      <c r="P510" s="868"/>
      <c r="Q510" s="870"/>
      <c r="R510" s="870"/>
      <c r="S510" s="868"/>
      <c r="T510" s="870"/>
      <c r="U510" s="868"/>
      <c r="V510" s="870"/>
      <c r="W510" s="868"/>
      <c r="X510" s="870"/>
      <c r="Y510" s="868"/>
      <c r="Z510" s="870"/>
      <c r="AA510" s="868"/>
      <c r="AB510" s="870"/>
      <c r="AC510" s="868"/>
      <c r="AD510" s="870"/>
      <c r="AE510" s="868"/>
      <c r="AF510" s="870"/>
      <c r="AG510" s="868"/>
      <c r="AH510" s="446"/>
      <c r="AI510" s="446"/>
      <c r="AJ510" s="446"/>
      <c r="AK510" s="446"/>
      <c r="AL510" s="446"/>
      <c r="AM510" s="446"/>
      <c r="AN510" s="446"/>
      <c r="AO510" s="446"/>
      <c r="AP510" s="446"/>
      <c r="AQ510" s="446"/>
      <c r="AR510" s="446"/>
      <c r="AS510" s="446"/>
      <c r="AT510" s="446"/>
      <c r="AU510" s="446"/>
      <c r="AV510" s="446"/>
      <c r="AW510" s="446"/>
      <c r="AX510" s="446"/>
      <c r="AY510" s="446"/>
      <c r="AZ510" s="446"/>
      <c r="BA510" s="446"/>
      <c r="BB510" s="446"/>
      <c r="BC510" s="446"/>
      <c r="BD510" s="446"/>
      <c r="BE510" s="446"/>
      <c r="BF510" s="446"/>
      <c r="BG510" s="446"/>
      <c r="BH510" s="446"/>
      <c r="BI510" s="446"/>
      <c r="BJ510" s="446"/>
      <c r="BK510" s="446"/>
      <c r="BL510" s="446"/>
      <c r="BM510" s="446"/>
      <c r="BN510" s="446"/>
      <c r="BO510" s="446"/>
      <c r="BP510" s="446"/>
      <c r="BQ510" s="446"/>
      <c r="BR510" s="446"/>
      <c r="BS510" s="446"/>
      <c r="BT510" s="446"/>
      <c r="BU510" s="562"/>
      <c r="BV510" s="446"/>
      <c r="BW510" s="446"/>
      <c r="BX510" s="446"/>
      <c r="BY510" s="446"/>
      <c r="BZ510" s="446"/>
      <c r="CA510" s="446"/>
      <c r="CB510" s="446"/>
      <c r="CC510" s="446"/>
      <c r="CD510" s="446"/>
      <c r="CE510" s="446"/>
      <c r="CF510" s="446"/>
      <c r="CG510" s="446"/>
      <c r="CH510" s="446"/>
      <c r="CI510" s="446"/>
      <c r="CJ510" s="446"/>
      <c r="CK510" s="446"/>
      <c r="CL510" s="446"/>
      <c r="CM510" s="446"/>
      <c r="CN510" s="446"/>
      <c r="CO510" s="446"/>
      <c r="CP510" s="446"/>
      <c r="CQ510" s="446"/>
      <c r="CR510" s="446"/>
      <c r="CS510" s="446"/>
      <c r="CT510" s="446"/>
      <c r="CU510" s="446"/>
      <c r="CV510" s="446"/>
      <c r="CW510" s="233"/>
      <c r="CX510" s="446"/>
      <c r="CY510" s="446"/>
      <c r="CZ510" s="446"/>
      <c r="DA510" s="446"/>
      <c r="DB510" s="446"/>
      <c r="DC510" s="446"/>
      <c r="DD510" s="446"/>
      <c r="DE510" s="446"/>
      <c r="DF510" s="446"/>
      <c r="DG510" s="446"/>
      <c r="DH510" s="446"/>
      <c r="DI510" s="446"/>
      <c r="DJ510" s="446"/>
      <c r="DK510" s="446"/>
      <c r="DL510" s="446"/>
      <c r="DM510" s="446"/>
      <c r="DN510" s="446"/>
      <c r="DO510" s="446"/>
      <c r="DP510" s="446"/>
      <c r="DQ510" s="446"/>
      <c r="DR510" s="446"/>
      <c r="DS510" s="446"/>
      <c r="DT510" s="446"/>
      <c r="DU510" s="446"/>
      <c r="DV510" s="446"/>
      <c r="DW510" s="446"/>
      <c r="DX510" s="446"/>
      <c r="DY510" s="446"/>
      <c r="DZ510" s="283"/>
    </row>
    <row r="511" spans="4:130" s="223" customFormat="1" x14ac:dyDescent="0.2">
      <c r="D511" s="856"/>
      <c r="E511" s="856"/>
      <c r="F511" s="856"/>
      <c r="G511" s="856"/>
      <c r="H511" s="856"/>
      <c r="I511" s="867"/>
      <c r="J511" s="868"/>
      <c r="K511" s="867"/>
      <c r="L511" s="868"/>
      <c r="M511" s="867"/>
      <c r="N511" s="868"/>
      <c r="O511" s="867"/>
      <c r="P511" s="868"/>
      <c r="Q511" s="867"/>
      <c r="R511" s="867"/>
      <c r="S511" s="868"/>
      <c r="T511" s="867"/>
      <c r="U511" s="868"/>
      <c r="V511" s="867"/>
      <c r="W511" s="868"/>
      <c r="X511" s="867"/>
      <c r="Y511" s="868"/>
      <c r="Z511" s="867"/>
      <c r="AA511" s="868"/>
      <c r="AB511" s="867"/>
      <c r="AC511" s="868"/>
      <c r="AD511" s="867"/>
      <c r="AE511" s="868"/>
      <c r="AF511" s="867"/>
      <c r="AG511" s="868"/>
      <c r="AH511" s="446"/>
      <c r="AI511" s="446"/>
      <c r="AJ511" s="446"/>
      <c r="AK511" s="446"/>
      <c r="AL511" s="446"/>
      <c r="AM511" s="446"/>
      <c r="AN511" s="446"/>
      <c r="AO511" s="446"/>
      <c r="AP511" s="446"/>
      <c r="AQ511" s="446"/>
      <c r="AR511" s="446"/>
      <c r="AS511" s="446"/>
      <c r="AT511" s="446"/>
      <c r="AU511" s="446"/>
      <c r="AV511" s="446"/>
      <c r="AW511" s="446"/>
      <c r="AX511" s="446"/>
      <c r="AY511" s="446"/>
      <c r="AZ511" s="446"/>
      <c r="BA511" s="446"/>
      <c r="BB511" s="446"/>
      <c r="BC511" s="446"/>
      <c r="BD511" s="446"/>
      <c r="BE511" s="446"/>
      <c r="BF511" s="446"/>
      <c r="BG511" s="446"/>
      <c r="BH511" s="446"/>
      <c r="BI511" s="446"/>
      <c r="BJ511" s="446"/>
      <c r="BK511" s="446"/>
      <c r="BL511" s="446"/>
      <c r="BM511" s="446"/>
      <c r="BN511" s="446"/>
      <c r="BO511" s="446"/>
      <c r="BP511" s="446"/>
      <c r="BQ511" s="446"/>
      <c r="BR511" s="446"/>
      <c r="BS511" s="446"/>
      <c r="BT511" s="446"/>
      <c r="BU511" s="562"/>
      <c r="BV511" s="446"/>
      <c r="BW511" s="446"/>
      <c r="BX511" s="446"/>
      <c r="BY511" s="446"/>
      <c r="BZ511" s="446"/>
      <c r="CA511" s="446"/>
      <c r="CB511" s="446"/>
      <c r="CC511" s="446"/>
      <c r="CD511" s="446"/>
      <c r="CE511" s="446"/>
      <c r="CF511" s="446"/>
      <c r="CG511" s="446"/>
      <c r="CH511" s="446"/>
      <c r="CI511" s="446"/>
      <c r="CJ511" s="446"/>
      <c r="CK511" s="446"/>
      <c r="CL511" s="446"/>
      <c r="CM511" s="446"/>
      <c r="CN511" s="446"/>
      <c r="CO511" s="446"/>
      <c r="CP511" s="446"/>
      <c r="CQ511" s="446"/>
      <c r="CR511" s="446"/>
      <c r="CS511" s="446"/>
      <c r="CT511" s="446"/>
      <c r="CU511" s="446"/>
      <c r="CV511" s="446"/>
      <c r="CW511" s="233"/>
      <c r="CX511" s="446"/>
      <c r="CY511" s="446"/>
      <c r="CZ511" s="446"/>
      <c r="DA511" s="446"/>
      <c r="DB511" s="446"/>
      <c r="DC511" s="446"/>
      <c r="DD511" s="446"/>
      <c r="DE511" s="446"/>
      <c r="DF511" s="446"/>
      <c r="DG511" s="446"/>
      <c r="DH511" s="446"/>
      <c r="DI511" s="446"/>
      <c r="DJ511" s="446"/>
      <c r="DK511" s="446"/>
      <c r="DL511" s="446"/>
      <c r="DM511" s="446"/>
      <c r="DN511" s="446"/>
      <c r="DO511" s="446"/>
      <c r="DP511" s="446"/>
      <c r="DQ511" s="446"/>
      <c r="DR511" s="446"/>
      <c r="DS511" s="446"/>
      <c r="DT511" s="446"/>
      <c r="DU511" s="446"/>
      <c r="DV511" s="446"/>
      <c r="DW511" s="446"/>
      <c r="DX511" s="446"/>
      <c r="DY511" s="446"/>
      <c r="DZ511" s="283"/>
    </row>
    <row r="512" spans="4:130" s="223" customFormat="1" x14ac:dyDescent="0.2">
      <c r="D512" s="856"/>
      <c r="E512" s="820"/>
      <c r="F512" s="871"/>
      <c r="G512" s="872"/>
      <c r="H512" s="820"/>
      <c r="I512" s="820"/>
      <c r="J512" s="868"/>
      <c r="K512" s="820"/>
      <c r="L512" s="868"/>
      <c r="M512" s="820"/>
      <c r="N512" s="868"/>
      <c r="O512" s="820"/>
      <c r="P512" s="868"/>
      <c r="Q512" s="820"/>
      <c r="R512" s="820"/>
      <c r="S512" s="868"/>
      <c r="T512" s="820"/>
      <c r="U512" s="868"/>
      <c r="V512" s="820"/>
      <c r="W512" s="868"/>
      <c r="X512" s="820"/>
      <c r="Y512" s="868"/>
      <c r="Z512" s="820"/>
      <c r="AA512" s="868"/>
      <c r="AB512" s="820"/>
      <c r="AC512" s="868"/>
      <c r="AD512" s="861"/>
      <c r="AE512" s="868"/>
      <c r="AF512" s="861"/>
      <c r="AG512" s="868"/>
      <c r="AH512" s="446"/>
      <c r="AI512" s="446"/>
      <c r="AJ512" s="446"/>
      <c r="AK512" s="446"/>
      <c r="AL512" s="446"/>
      <c r="AM512" s="446"/>
      <c r="AN512" s="446"/>
      <c r="AO512" s="446"/>
      <c r="AP512" s="446"/>
      <c r="AQ512" s="446"/>
      <c r="AR512" s="446"/>
      <c r="AS512" s="446"/>
      <c r="AT512" s="446"/>
      <c r="AU512" s="446"/>
      <c r="AV512" s="446"/>
      <c r="AW512" s="446"/>
      <c r="AX512" s="446"/>
      <c r="AY512" s="446"/>
      <c r="AZ512" s="446"/>
      <c r="BA512" s="446"/>
      <c r="BB512" s="446"/>
      <c r="BC512" s="446"/>
      <c r="BD512" s="446"/>
      <c r="BE512" s="446"/>
      <c r="BF512" s="446"/>
      <c r="BG512" s="446"/>
      <c r="BH512" s="446"/>
      <c r="BI512" s="446"/>
      <c r="BJ512" s="446"/>
      <c r="BK512" s="446"/>
      <c r="BL512" s="446"/>
      <c r="BM512" s="446"/>
      <c r="BN512" s="446"/>
      <c r="BO512" s="446"/>
      <c r="BP512" s="446"/>
      <c r="BQ512" s="446"/>
      <c r="BR512" s="446"/>
      <c r="BS512" s="446"/>
      <c r="BT512" s="446"/>
      <c r="BU512" s="562"/>
      <c r="BV512" s="446"/>
      <c r="BW512" s="446"/>
      <c r="BX512" s="446"/>
      <c r="BY512" s="446"/>
      <c r="BZ512" s="446"/>
      <c r="CA512" s="446"/>
      <c r="CB512" s="446"/>
      <c r="CC512" s="446"/>
      <c r="CD512" s="446"/>
      <c r="CE512" s="446"/>
      <c r="CF512" s="446"/>
      <c r="CG512" s="446"/>
      <c r="CH512" s="446"/>
      <c r="CI512" s="446"/>
      <c r="CJ512" s="446"/>
      <c r="CK512" s="446"/>
      <c r="CL512" s="446"/>
      <c r="CM512" s="446"/>
      <c r="CN512" s="446"/>
      <c r="CO512" s="446"/>
      <c r="CP512" s="446"/>
      <c r="CQ512" s="446"/>
      <c r="CR512" s="446"/>
      <c r="CS512" s="446"/>
      <c r="CT512" s="446"/>
      <c r="CU512" s="446"/>
      <c r="CV512" s="446"/>
      <c r="CW512" s="233"/>
      <c r="CX512" s="446"/>
      <c r="CY512" s="446"/>
      <c r="CZ512" s="446"/>
      <c r="DA512" s="446"/>
      <c r="DB512" s="446"/>
      <c r="DC512" s="446"/>
      <c r="DD512" s="446"/>
      <c r="DE512" s="446"/>
      <c r="DF512" s="446"/>
      <c r="DG512" s="446"/>
      <c r="DH512" s="446"/>
      <c r="DI512" s="446"/>
      <c r="DJ512" s="446"/>
      <c r="DK512" s="446"/>
      <c r="DL512" s="446"/>
      <c r="DM512" s="446"/>
      <c r="DN512" s="446"/>
      <c r="DO512" s="446"/>
      <c r="DP512" s="446"/>
      <c r="DQ512" s="446"/>
      <c r="DR512" s="446"/>
      <c r="DS512" s="446"/>
      <c r="DT512" s="446"/>
      <c r="DU512" s="446"/>
      <c r="DV512" s="446"/>
      <c r="DW512" s="446"/>
      <c r="DX512" s="446"/>
      <c r="DY512" s="446"/>
      <c r="DZ512" s="283"/>
    </row>
    <row r="513" spans="2:130" s="223" customFormat="1" x14ac:dyDescent="0.2">
      <c r="D513" s="856"/>
      <c r="E513" s="283"/>
      <c r="F513" s="871"/>
      <c r="G513" s="856"/>
      <c r="H513" s="820"/>
      <c r="I513" s="820"/>
      <c r="J513" s="868"/>
      <c r="K513" s="820"/>
      <c r="L513" s="868"/>
      <c r="M513" s="820"/>
      <c r="N513" s="868"/>
      <c r="O513" s="820"/>
      <c r="P513" s="868"/>
      <c r="Q513" s="820"/>
      <c r="R513" s="820"/>
      <c r="S513" s="868"/>
      <c r="T513" s="820"/>
      <c r="U513" s="868"/>
      <c r="V513" s="820"/>
      <c r="W513" s="868"/>
      <c r="X513" s="820"/>
      <c r="Y513" s="868"/>
      <c r="Z513" s="820"/>
      <c r="AA513" s="868"/>
      <c r="AB513" s="820"/>
      <c r="AC513" s="868"/>
      <c r="AD513" s="820"/>
      <c r="AE513" s="868"/>
      <c r="AF513" s="820"/>
      <c r="AG513" s="868"/>
      <c r="AH513" s="446"/>
      <c r="AI513" s="446"/>
      <c r="AJ513" s="446"/>
      <c r="AK513" s="446"/>
      <c r="AL513" s="446"/>
      <c r="AM513" s="446"/>
      <c r="AN513" s="446"/>
      <c r="AO513" s="446"/>
      <c r="AP513" s="446"/>
      <c r="AQ513" s="446"/>
      <c r="AR513" s="446"/>
      <c r="AS513" s="446"/>
      <c r="AT513" s="446"/>
      <c r="AU513" s="446"/>
      <c r="AV513" s="446"/>
      <c r="AW513" s="446"/>
      <c r="AX513" s="446"/>
      <c r="AY513" s="446"/>
      <c r="AZ513" s="446"/>
      <c r="BA513" s="446"/>
      <c r="BB513" s="446"/>
      <c r="BC513" s="446"/>
      <c r="BD513" s="446"/>
      <c r="BE513" s="446"/>
      <c r="BF513" s="446"/>
      <c r="BG513" s="446"/>
      <c r="BH513" s="446"/>
      <c r="BI513" s="446"/>
      <c r="BJ513" s="446"/>
      <c r="BK513" s="446"/>
      <c r="BL513" s="446"/>
      <c r="BM513" s="446"/>
      <c r="BN513" s="446"/>
      <c r="BO513" s="446"/>
      <c r="BP513" s="446"/>
      <c r="BQ513" s="446"/>
      <c r="BR513" s="446"/>
      <c r="BS513" s="446"/>
      <c r="BT513" s="446"/>
      <c r="BU513" s="562"/>
      <c r="BV513" s="446"/>
      <c r="BW513" s="446"/>
      <c r="BX513" s="446"/>
      <c r="BY513" s="446"/>
      <c r="BZ513" s="446"/>
      <c r="CA513" s="446"/>
      <c r="CB513" s="446"/>
      <c r="CC513" s="446"/>
      <c r="CD513" s="446"/>
      <c r="CE513" s="446"/>
      <c r="CF513" s="446"/>
      <c r="CG513" s="446"/>
      <c r="CH513" s="446"/>
      <c r="CI513" s="446"/>
      <c r="CJ513" s="446"/>
      <c r="CK513" s="446"/>
      <c r="CL513" s="446"/>
      <c r="CM513" s="446"/>
      <c r="CN513" s="446"/>
      <c r="CO513" s="446"/>
      <c r="CP513" s="446"/>
      <c r="CQ513" s="446"/>
      <c r="CR513" s="446"/>
      <c r="CS513" s="446"/>
      <c r="CT513" s="446"/>
      <c r="CU513" s="446"/>
      <c r="CV513" s="446"/>
      <c r="CW513" s="233"/>
      <c r="CX513" s="446"/>
      <c r="CY513" s="446"/>
      <c r="CZ513" s="446"/>
      <c r="DA513" s="446"/>
      <c r="DB513" s="446"/>
      <c r="DC513" s="446"/>
      <c r="DD513" s="446"/>
      <c r="DE513" s="446"/>
      <c r="DF513" s="446"/>
      <c r="DG513" s="446"/>
      <c r="DH513" s="446"/>
      <c r="DI513" s="446"/>
      <c r="DJ513" s="446"/>
      <c r="DK513" s="446"/>
      <c r="DL513" s="446"/>
      <c r="DM513" s="446"/>
      <c r="DN513" s="446"/>
      <c r="DO513" s="446"/>
      <c r="DP513" s="446"/>
      <c r="DQ513" s="446"/>
      <c r="DR513" s="446"/>
      <c r="DS513" s="446"/>
      <c r="DT513" s="446"/>
      <c r="DU513" s="446"/>
      <c r="DV513" s="446"/>
      <c r="DW513" s="446"/>
      <c r="DX513" s="446"/>
      <c r="DY513" s="446"/>
      <c r="DZ513" s="283"/>
    </row>
    <row r="514" spans="2:130" s="223" customFormat="1" x14ac:dyDescent="0.2">
      <c r="D514" s="856"/>
      <c r="E514" s="283"/>
      <c r="F514" s="871"/>
      <c r="G514" s="872"/>
      <c r="H514" s="820"/>
      <c r="I514" s="820"/>
      <c r="J514" s="868"/>
      <c r="K514" s="820"/>
      <c r="L514" s="868"/>
      <c r="M514" s="820"/>
      <c r="N514" s="868"/>
      <c r="O514" s="820"/>
      <c r="P514" s="868"/>
      <c r="Q514" s="820"/>
      <c r="R514" s="820"/>
      <c r="S514" s="868"/>
      <c r="T514" s="820"/>
      <c r="U514" s="868"/>
      <c r="V514" s="820"/>
      <c r="W514" s="868"/>
      <c r="X514" s="820"/>
      <c r="Y514" s="868"/>
      <c r="Z514" s="820"/>
      <c r="AA514" s="868"/>
      <c r="AB514" s="820"/>
      <c r="AC514" s="868"/>
      <c r="AD514" s="820"/>
      <c r="AE514" s="868"/>
      <c r="AF514" s="820"/>
      <c r="AG514" s="868"/>
      <c r="AH514" s="446"/>
      <c r="AI514" s="446"/>
      <c r="AJ514" s="446"/>
      <c r="AK514" s="446"/>
      <c r="AL514" s="446"/>
      <c r="AM514" s="446"/>
      <c r="AN514" s="446"/>
      <c r="AO514" s="446"/>
      <c r="AP514" s="446"/>
      <c r="AQ514" s="446"/>
      <c r="AR514" s="446"/>
      <c r="AS514" s="446"/>
      <c r="AT514" s="446"/>
      <c r="AU514" s="446"/>
      <c r="AV514" s="446"/>
      <c r="AW514" s="446"/>
      <c r="AX514" s="446"/>
      <c r="AY514" s="446"/>
      <c r="AZ514" s="446"/>
      <c r="BA514" s="446"/>
      <c r="BB514" s="446"/>
      <c r="BC514" s="446"/>
      <c r="BD514" s="446"/>
      <c r="BE514" s="446"/>
      <c r="BF514" s="446"/>
      <c r="BG514" s="446"/>
      <c r="BH514" s="446"/>
      <c r="BI514" s="446"/>
      <c r="BJ514" s="446"/>
      <c r="BK514" s="446"/>
      <c r="BL514" s="446"/>
      <c r="BM514" s="446"/>
      <c r="BN514" s="446"/>
      <c r="BO514" s="446"/>
      <c r="BP514" s="446"/>
      <c r="BQ514" s="446"/>
      <c r="BR514" s="446"/>
      <c r="BS514" s="446"/>
      <c r="BT514" s="446"/>
      <c r="BU514" s="562"/>
      <c r="BV514" s="446"/>
      <c r="BW514" s="446"/>
      <c r="BX514" s="446"/>
      <c r="BY514" s="446"/>
      <c r="BZ514" s="446"/>
      <c r="CA514" s="446"/>
      <c r="CB514" s="446"/>
      <c r="CC514" s="446"/>
      <c r="CD514" s="446"/>
      <c r="CE514" s="446"/>
      <c r="CF514" s="446"/>
      <c r="CG514" s="446"/>
      <c r="CH514" s="446"/>
      <c r="CI514" s="446"/>
      <c r="CJ514" s="446"/>
      <c r="CK514" s="446"/>
      <c r="CL514" s="446"/>
      <c r="CM514" s="446"/>
      <c r="CN514" s="446"/>
      <c r="CO514" s="446"/>
      <c r="CP514" s="446"/>
      <c r="CQ514" s="446"/>
      <c r="CR514" s="446"/>
      <c r="CS514" s="446"/>
      <c r="CT514" s="446"/>
      <c r="CU514" s="446"/>
      <c r="CV514" s="446"/>
      <c r="CW514" s="233"/>
      <c r="CX514" s="446"/>
      <c r="CY514" s="446"/>
      <c r="CZ514" s="446"/>
      <c r="DA514" s="446"/>
      <c r="DB514" s="446"/>
      <c r="DC514" s="446"/>
      <c r="DD514" s="446"/>
      <c r="DE514" s="446"/>
      <c r="DF514" s="446"/>
      <c r="DG514" s="446"/>
      <c r="DH514" s="446"/>
      <c r="DI514" s="446"/>
      <c r="DJ514" s="446"/>
      <c r="DK514" s="446"/>
      <c r="DL514" s="446"/>
      <c r="DM514" s="446"/>
      <c r="DN514" s="446"/>
      <c r="DO514" s="446"/>
      <c r="DP514" s="446"/>
      <c r="DQ514" s="446"/>
      <c r="DR514" s="446"/>
      <c r="DS514" s="446"/>
      <c r="DT514" s="446"/>
      <c r="DU514" s="446"/>
      <c r="DV514" s="446"/>
      <c r="DW514" s="446"/>
      <c r="DX514" s="446"/>
      <c r="DY514" s="446"/>
      <c r="DZ514" s="283"/>
    </row>
    <row r="515" spans="2:130" s="223" customFormat="1" x14ac:dyDescent="0.2">
      <c r="B515" s="1650"/>
      <c r="C515" s="1650"/>
      <c r="D515" s="856"/>
      <c r="E515" s="283"/>
      <c r="F515" s="871"/>
      <c r="G515" s="856"/>
      <c r="H515" s="820"/>
      <c r="I515" s="820"/>
      <c r="J515" s="868"/>
      <c r="K515" s="820"/>
      <c r="L515" s="868"/>
      <c r="M515" s="820"/>
      <c r="N515" s="868"/>
      <c r="O515" s="820"/>
      <c r="P515" s="868"/>
      <c r="Q515" s="820"/>
      <c r="R515" s="820"/>
      <c r="S515" s="868"/>
      <c r="T515" s="820"/>
      <c r="U515" s="868"/>
      <c r="V515" s="820"/>
      <c r="W515" s="868"/>
      <c r="X515" s="820"/>
      <c r="Y515" s="868"/>
      <c r="Z515" s="820"/>
      <c r="AA515" s="868"/>
      <c r="AB515" s="820"/>
      <c r="AC515" s="868"/>
      <c r="AD515" s="867"/>
      <c r="AE515" s="868"/>
      <c r="AF515" s="820"/>
      <c r="AG515" s="868"/>
      <c r="AH515" s="446"/>
      <c r="AI515" s="446"/>
      <c r="AJ515" s="446"/>
      <c r="AK515" s="446"/>
      <c r="AL515" s="446"/>
      <c r="AM515" s="446"/>
      <c r="AN515" s="446"/>
      <c r="AO515" s="446"/>
      <c r="AP515" s="446"/>
      <c r="AQ515" s="446"/>
      <c r="AR515" s="446"/>
      <c r="AS515" s="446"/>
      <c r="AT515" s="446"/>
      <c r="AU515" s="446"/>
      <c r="AV515" s="446"/>
      <c r="AW515" s="446"/>
      <c r="AX515" s="446"/>
      <c r="AY515" s="446"/>
      <c r="AZ515" s="446"/>
      <c r="BA515" s="446"/>
      <c r="BB515" s="446"/>
      <c r="BC515" s="446"/>
      <c r="BD515" s="446"/>
      <c r="BE515" s="446"/>
      <c r="BF515" s="446"/>
      <c r="BG515" s="446"/>
      <c r="BH515" s="446"/>
      <c r="BI515" s="446"/>
      <c r="BJ515" s="446"/>
      <c r="BK515" s="446"/>
      <c r="BL515" s="446"/>
      <c r="BM515" s="446"/>
      <c r="BN515" s="446"/>
      <c r="BO515" s="446"/>
      <c r="BP515" s="446"/>
      <c r="BQ515" s="446"/>
      <c r="BR515" s="446"/>
      <c r="BS515" s="446"/>
      <c r="BT515" s="446"/>
      <c r="BU515" s="562"/>
      <c r="BV515" s="446"/>
      <c r="BW515" s="446"/>
      <c r="BX515" s="446"/>
      <c r="BY515" s="446"/>
      <c r="BZ515" s="446"/>
      <c r="CA515" s="446"/>
      <c r="CB515" s="446"/>
      <c r="CC515" s="446"/>
      <c r="CD515" s="446"/>
      <c r="CE515" s="446"/>
      <c r="CF515" s="446"/>
      <c r="CG515" s="446"/>
      <c r="CH515" s="446"/>
      <c r="CI515" s="446"/>
      <c r="CJ515" s="446"/>
      <c r="CK515" s="446"/>
      <c r="CL515" s="446"/>
      <c r="CM515" s="446"/>
      <c r="CN515" s="446"/>
      <c r="CO515" s="446"/>
      <c r="CP515" s="446"/>
      <c r="CQ515" s="446"/>
      <c r="CR515" s="446"/>
      <c r="CS515" s="446"/>
      <c r="CT515" s="446"/>
      <c r="CU515" s="446"/>
      <c r="CV515" s="446"/>
      <c r="CW515" s="984"/>
      <c r="CX515" s="446"/>
      <c r="CY515" s="446"/>
      <c r="CZ515" s="446"/>
      <c r="DA515" s="446"/>
      <c r="DB515" s="446"/>
      <c r="DC515" s="446"/>
      <c r="DD515" s="446"/>
      <c r="DE515" s="446"/>
      <c r="DF515" s="446"/>
      <c r="DG515" s="446"/>
      <c r="DH515" s="446"/>
      <c r="DI515" s="446"/>
      <c r="DJ515" s="446"/>
      <c r="DK515" s="446"/>
      <c r="DL515" s="446"/>
      <c r="DM515" s="446"/>
      <c r="DN515" s="446"/>
      <c r="DO515" s="446"/>
      <c r="DP515" s="446"/>
      <c r="DQ515" s="446"/>
      <c r="DR515" s="446"/>
      <c r="DS515" s="446"/>
      <c r="DT515" s="446"/>
      <c r="DU515" s="446"/>
      <c r="DV515" s="446"/>
      <c r="DW515" s="446"/>
      <c r="DX515" s="446"/>
      <c r="DY515" s="446"/>
      <c r="DZ515" s="283"/>
    </row>
    <row r="516" spans="2:130" s="223" customFormat="1" ht="42.75" customHeight="1" x14ac:dyDescent="0.2">
      <c r="B516" s="873"/>
      <c r="C516" s="851"/>
      <c r="D516" s="851"/>
      <c r="E516" s="820"/>
      <c r="F516" s="820"/>
      <c r="G516" s="862"/>
      <c r="H516" s="862"/>
      <c r="I516" s="862"/>
      <c r="J516" s="862"/>
      <c r="K516" s="862"/>
      <c r="L516" s="862"/>
      <c r="M516" s="862"/>
      <c r="N516" s="862"/>
      <c r="O516" s="862"/>
      <c r="P516" s="862"/>
      <c r="Q516" s="874"/>
      <c r="R516" s="862"/>
      <c r="S516" s="862"/>
      <c r="T516" s="862"/>
      <c r="U516" s="862"/>
      <c r="V516" s="862"/>
      <c r="W516" s="862"/>
      <c r="X516" s="862"/>
      <c r="Y516" s="862"/>
      <c r="Z516" s="862"/>
      <c r="AA516" s="862"/>
      <c r="AB516" s="862"/>
      <c r="AC516" s="862"/>
      <c r="AD516" s="862"/>
      <c r="AE516" s="862"/>
      <c r="AF516" s="862"/>
      <c r="AG516" s="862"/>
      <c r="AH516" s="446"/>
      <c r="AI516" s="446"/>
      <c r="AJ516" s="446"/>
      <c r="AK516" s="446"/>
      <c r="AL516" s="446"/>
      <c r="AM516" s="446"/>
      <c r="AN516" s="446"/>
      <c r="AO516" s="446"/>
      <c r="AP516" s="446"/>
      <c r="AQ516" s="446"/>
      <c r="AR516" s="446"/>
      <c r="AS516" s="446"/>
      <c r="AT516" s="446"/>
      <c r="AU516" s="446"/>
      <c r="AV516" s="446"/>
      <c r="AW516" s="446"/>
      <c r="AX516" s="446"/>
      <c r="AY516" s="446"/>
      <c r="AZ516" s="446"/>
      <c r="BA516" s="446"/>
      <c r="BB516" s="446"/>
      <c r="BC516" s="446"/>
      <c r="BD516" s="446"/>
      <c r="BE516" s="446"/>
      <c r="BF516" s="446"/>
      <c r="BG516" s="446"/>
      <c r="BH516" s="446"/>
      <c r="BI516" s="446"/>
      <c r="BJ516" s="446"/>
      <c r="BK516" s="446"/>
      <c r="BL516" s="446"/>
      <c r="BM516" s="446"/>
      <c r="BN516" s="446"/>
      <c r="BO516" s="446"/>
      <c r="BP516" s="446"/>
      <c r="BQ516" s="446"/>
      <c r="BR516" s="446"/>
      <c r="BS516" s="446"/>
      <c r="BT516" s="446"/>
      <c r="BU516" s="562"/>
      <c r="BV516" s="446"/>
      <c r="BW516" s="446"/>
      <c r="BX516" s="446"/>
      <c r="BY516" s="446"/>
      <c r="BZ516" s="446"/>
      <c r="CA516" s="446"/>
      <c r="CB516" s="446"/>
      <c r="CC516" s="446"/>
      <c r="CD516" s="446"/>
      <c r="CE516" s="446"/>
      <c r="CF516" s="446"/>
      <c r="CG516" s="446"/>
      <c r="CH516" s="446"/>
      <c r="CI516" s="446"/>
      <c r="CJ516" s="446"/>
      <c r="CK516" s="446"/>
      <c r="CL516" s="446"/>
      <c r="CM516" s="446"/>
      <c r="CN516" s="446"/>
      <c r="CO516" s="446"/>
      <c r="CP516" s="446"/>
      <c r="CQ516" s="446"/>
      <c r="CR516" s="446"/>
      <c r="CS516" s="446"/>
      <c r="CT516" s="446"/>
      <c r="CU516" s="446"/>
      <c r="CV516" s="446"/>
      <c r="CW516" s="851"/>
      <c r="CX516" s="446"/>
      <c r="CY516" s="446"/>
      <c r="CZ516" s="446"/>
      <c r="DA516" s="446"/>
      <c r="DB516" s="446"/>
      <c r="DC516" s="446"/>
      <c r="DD516" s="446"/>
      <c r="DE516" s="446"/>
      <c r="DF516" s="446"/>
      <c r="DG516" s="446"/>
      <c r="DH516" s="446"/>
      <c r="DI516" s="446"/>
      <c r="DJ516" s="446"/>
      <c r="DK516" s="446"/>
      <c r="DL516" s="446"/>
      <c r="DM516" s="446"/>
      <c r="DN516" s="446"/>
      <c r="DO516" s="446"/>
      <c r="DP516" s="446"/>
      <c r="DQ516" s="446"/>
      <c r="DR516" s="446"/>
      <c r="DS516" s="446"/>
      <c r="DT516" s="446"/>
      <c r="DU516" s="446"/>
      <c r="DV516" s="446"/>
      <c r="DW516" s="446"/>
      <c r="DX516" s="446"/>
      <c r="DY516" s="446"/>
      <c r="DZ516" s="283"/>
    </row>
    <row r="517" spans="2:130" s="223" customFormat="1" x14ac:dyDescent="0.2">
      <c r="B517" s="851"/>
      <c r="C517" s="851"/>
      <c r="D517" s="851"/>
      <c r="E517" s="861"/>
      <c r="F517" s="820"/>
      <c r="G517" s="862"/>
      <c r="H517" s="862"/>
      <c r="I517" s="862"/>
      <c r="J517" s="862"/>
      <c r="K517" s="862"/>
      <c r="L517" s="862"/>
      <c r="M517" s="862"/>
      <c r="N517" s="862"/>
      <c r="O517" s="862"/>
      <c r="P517" s="862"/>
      <c r="Q517" s="862"/>
      <c r="R517" s="862"/>
      <c r="S517" s="862"/>
      <c r="T517" s="862"/>
      <c r="U517" s="862"/>
      <c r="V517" s="862"/>
      <c r="W517" s="862"/>
      <c r="X517" s="862"/>
      <c r="Y517" s="862"/>
      <c r="Z517" s="862"/>
      <c r="AA517" s="862"/>
      <c r="AB517" s="862"/>
      <c r="AC517" s="862"/>
      <c r="AD517" s="862"/>
      <c r="AE517" s="862"/>
      <c r="AF517" s="862"/>
      <c r="AG517" s="862"/>
      <c r="AH517" s="446"/>
      <c r="AI517" s="446"/>
      <c r="AJ517" s="446"/>
      <c r="AK517" s="446"/>
      <c r="AL517" s="446"/>
      <c r="AM517" s="446"/>
      <c r="AN517" s="446"/>
      <c r="AO517" s="446"/>
      <c r="AP517" s="446"/>
      <c r="AQ517" s="446"/>
      <c r="AR517" s="446"/>
      <c r="AS517" s="446"/>
      <c r="AT517" s="446"/>
      <c r="AU517" s="446"/>
      <c r="AV517" s="446"/>
      <c r="AW517" s="446"/>
      <c r="AX517" s="446"/>
      <c r="AY517" s="446"/>
      <c r="AZ517" s="446"/>
      <c r="BA517" s="446"/>
      <c r="BB517" s="446"/>
      <c r="BC517" s="446"/>
      <c r="BD517" s="446"/>
      <c r="BE517" s="446"/>
      <c r="BF517" s="446"/>
      <c r="BG517" s="446"/>
      <c r="BH517" s="446"/>
      <c r="BI517" s="446"/>
      <c r="BJ517" s="446"/>
      <c r="BK517" s="446"/>
      <c r="BL517" s="446"/>
      <c r="BM517" s="446"/>
      <c r="BN517" s="446"/>
      <c r="BO517" s="446"/>
      <c r="BP517" s="446"/>
      <c r="BQ517" s="446"/>
      <c r="BR517" s="446"/>
      <c r="BS517" s="446"/>
      <c r="BT517" s="446"/>
      <c r="BU517" s="562"/>
      <c r="BV517" s="446"/>
      <c r="BW517" s="446"/>
      <c r="BX517" s="446"/>
      <c r="BY517" s="446"/>
      <c r="BZ517" s="446"/>
      <c r="CA517" s="446"/>
      <c r="CB517" s="446"/>
      <c r="CC517" s="446"/>
      <c r="CD517" s="446"/>
      <c r="CE517" s="446"/>
      <c r="CF517" s="446"/>
      <c r="CG517" s="446"/>
      <c r="CH517" s="446"/>
      <c r="CI517" s="446"/>
      <c r="CJ517" s="446"/>
      <c r="CK517" s="446"/>
      <c r="CL517" s="446"/>
      <c r="CM517" s="446"/>
      <c r="CN517" s="446"/>
      <c r="CO517" s="446"/>
      <c r="CP517" s="446"/>
      <c r="CQ517" s="446"/>
      <c r="CR517" s="446"/>
      <c r="CS517" s="446"/>
      <c r="CT517" s="446"/>
      <c r="CU517" s="446"/>
      <c r="CV517" s="446"/>
      <c r="CW517" s="851"/>
      <c r="CX517" s="446"/>
      <c r="CY517" s="446"/>
      <c r="CZ517" s="446"/>
      <c r="DA517" s="446"/>
      <c r="DB517" s="446"/>
      <c r="DC517" s="446"/>
      <c r="DD517" s="446"/>
      <c r="DE517" s="446"/>
      <c r="DF517" s="446"/>
      <c r="DG517" s="446"/>
      <c r="DH517" s="446"/>
      <c r="DI517" s="446"/>
      <c r="DJ517" s="446"/>
      <c r="DK517" s="446"/>
      <c r="DL517" s="446"/>
      <c r="DM517" s="446"/>
      <c r="DN517" s="446"/>
      <c r="DO517" s="446"/>
      <c r="DP517" s="446"/>
      <c r="DQ517" s="446"/>
      <c r="DR517" s="446"/>
      <c r="DS517" s="446"/>
      <c r="DT517" s="446"/>
      <c r="DU517" s="446"/>
      <c r="DV517" s="446"/>
      <c r="DW517" s="446"/>
      <c r="DX517" s="446"/>
      <c r="DY517" s="446"/>
      <c r="DZ517" s="283"/>
    </row>
    <row r="518" spans="2:130" s="223" customFormat="1" x14ac:dyDescent="0.2">
      <c r="B518" s="851"/>
      <c r="C518" s="851"/>
      <c r="D518" s="851"/>
      <c r="E518" s="820"/>
      <c r="F518" s="820"/>
      <c r="G518" s="853"/>
      <c r="H518" s="853"/>
      <c r="I518" s="853"/>
      <c r="J518" s="853"/>
      <c r="K518" s="853"/>
      <c r="L518" s="853"/>
      <c r="M518" s="853"/>
      <c r="N518" s="853"/>
      <c r="O518" s="853"/>
      <c r="P518" s="853"/>
      <c r="Q518" s="853"/>
      <c r="R518" s="853"/>
      <c r="S518" s="853"/>
      <c r="T518" s="853"/>
      <c r="U518" s="853"/>
      <c r="V518" s="853"/>
      <c r="W518" s="853"/>
      <c r="X518" s="853"/>
      <c r="Y518" s="853"/>
      <c r="Z518" s="853"/>
      <c r="AA518" s="853"/>
      <c r="AB518" s="853"/>
      <c r="AC518" s="853"/>
      <c r="AD518" s="853"/>
      <c r="AE518" s="853"/>
      <c r="AF518" s="853"/>
      <c r="AG518" s="853"/>
      <c r="AH518" s="446"/>
      <c r="AI518" s="446"/>
      <c r="AJ518" s="446"/>
      <c r="AK518" s="446"/>
      <c r="AL518" s="446"/>
      <c r="AM518" s="446"/>
      <c r="AN518" s="446"/>
      <c r="AO518" s="446"/>
      <c r="AP518" s="446"/>
      <c r="AQ518" s="446"/>
      <c r="AR518" s="446"/>
      <c r="AS518" s="446"/>
      <c r="AT518" s="446"/>
      <c r="AU518" s="446"/>
      <c r="AV518" s="446"/>
      <c r="AW518" s="446"/>
      <c r="AX518" s="446"/>
      <c r="AY518" s="446"/>
      <c r="AZ518" s="446"/>
      <c r="BA518" s="446"/>
      <c r="BB518" s="446"/>
      <c r="BC518" s="446"/>
      <c r="BD518" s="446"/>
      <c r="BE518" s="446"/>
      <c r="BF518" s="446"/>
      <c r="BG518" s="446"/>
      <c r="BH518" s="446"/>
      <c r="BI518" s="446"/>
      <c r="BJ518" s="446"/>
      <c r="BK518" s="446"/>
      <c r="BL518" s="446"/>
      <c r="BM518" s="446"/>
      <c r="BN518" s="446"/>
      <c r="BO518" s="446"/>
      <c r="BP518" s="446"/>
      <c r="BQ518" s="446"/>
      <c r="BR518" s="446"/>
      <c r="BS518" s="446"/>
      <c r="BT518" s="446"/>
      <c r="BU518" s="562"/>
      <c r="BV518" s="446"/>
      <c r="BW518" s="446"/>
      <c r="BX518" s="446"/>
      <c r="BY518" s="446"/>
      <c r="BZ518" s="446"/>
      <c r="CA518" s="446"/>
      <c r="CB518" s="446"/>
      <c r="CC518" s="446"/>
      <c r="CD518" s="446"/>
      <c r="CE518" s="446"/>
      <c r="CF518" s="446"/>
      <c r="CG518" s="446"/>
      <c r="CH518" s="446"/>
      <c r="CI518" s="446"/>
      <c r="CJ518" s="446"/>
      <c r="CK518" s="446"/>
      <c r="CL518" s="446"/>
      <c r="CM518" s="446"/>
      <c r="CN518" s="446"/>
      <c r="CO518" s="446"/>
      <c r="CP518" s="446"/>
      <c r="CQ518" s="446"/>
      <c r="CR518" s="446"/>
      <c r="CS518" s="446"/>
      <c r="CT518" s="446"/>
      <c r="CU518" s="446"/>
      <c r="CV518" s="446"/>
      <c r="CW518" s="851"/>
      <c r="CX518" s="446"/>
      <c r="CY518" s="446"/>
      <c r="CZ518" s="446"/>
      <c r="DA518" s="446"/>
      <c r="DB518" s="446"/>
      <c r="DC518" s="446"/>
      <c r="DD518" s="446"/>
      <c r="DE518" s="446"/>
      <c r="DF518" s="446"/>
      <c r="DG518" s="446"/>
      <c r="DH518" s="446"/>
      <c r="DI518" s="446"/>
      <c r="DJ518" s="446"/>
      <c r="DK518" s="446"/>
      <c r="DL518" s="446"/>
      <c r="DM518" s="446"/>
      <c r="DN518" s="446"/>
      <c r="DO518" s="446"/>
      <c r="DP518" s="446"/>
      <c r="DQ518" s="446"/>
      <c r="DR518" s="446"/>
      <c r="DS518" s="446"/>
      <c r="DT518" s="446"/>
      <c r="DU518" s="446"/>
      <c r="DV518" s="446"/>
      <c r="DW518" s="446"/>
      <c r="DX518" s="446"/>
      <c r="DY518" s="446"/>
      <c r="DZ518" s="283"/>
    </row>
    <row r="519" spans="2:130" s="223" customFormat="1" x14ac:dyDescent="0.2">
      <c r="B519" s="851"/>
      <c r="C519" s="851"/>
      <c r="D519" s="851"/>
      <c r="E519" s="820"/>
      <c r="F519" s="820"/>
      <c r="G519" s="853"/>
      <c r="H519" s="853"/>
      <c r="I519" s="853"/>
      <c r="J519" s="853"/>
      <c r="K519" s="853"/>
      <c r="L519" s="853"/>
      <c r="M519" s="853"/>
      <c r="N519" s="853"/>
      <c r="O519" s="853"/>
      <c r="P519" s="853"/>
      <c r="Q519" s="853"/>
      <c r="R519" s="853"/>
      <c r="S519" s="853"/>
      <c r="T519" s="853"/>
      <c r="U519" s="853"/>
      <c r="V519" s="853"/>
      <c r="W519" s="853"/>
      <c r="X519" s="853"/>
      <c r="Y519" s="853"/>
      <c r="Z519" s="853"/>
      <c r="AA519" s="853"/>
      <c r="AB519" s="853"/>
      <c r="AC519" s="853"/>
      <c r="AD519" s="853"/>
      <c r="AE519" s="853"/>
      <c r="AF519" s="853"/>
      <c r="AG519" s="853"/>
      <c r="AH519" s="446"/>
      <c r="AI519" s="446"/>
      <c r="AJ519" s="446"/>
      <c r="AK519" s="446"/>
      <c r="AL519" s="446"/>
      <c r="AM519" s="446"/>
      <c r="AN519" s="446"/>
      <c r="AO519" s="446"/>
      <c r="AP519" s="446"/>
      <c r="AQ519" s="446"/>
      <c r="AR519" s="446"/>
      <c r="AS519" s="446"/>
      <c r="AT519" s="446"/>
      <c r="AU519" s="446"/>
      <c r="AV519" s="446"/>
      <c r="AW519" s="446"/>
      <c r="AX519" s="446"/>
      <c r="AY519" s="446"/>
      <c r="AZ519" s="446"/>
      <c r="BA519" s="446"/>
      <c r="BB519" s="446"/>
      <c r="BC519" s="446"/>
      <c r="BD519" s="446"/>
      <c r="BE519" s="446"/>
      <c r="BF519" s="446"/>
      <c r="BG519" s="446"/>
      <c r="BH519" s="446"/>
      <c r="BI519" s="446"/>
      <c r="BJ519" s="446"/>
      <c r="BK519" s="446"/>
      <c r="BL519" s="446"/>
      <c r="BM519" s="446"/>
      <c r="BN519" s="446"/>
      <c r="BO519" s="446"/>
      <c r="BP519" s="446"/>
      <c r="BQ519" s="446"/>
      <c r="BR519" s="446"/>
      <c r="BS519" s="446"/>
      <c r="BT519" s="446"/>
      <c r="BU519" s="562"/>
      <c r="BV519" s="446"/>
      <c r="BW519" s="446"/>
      <c r="BX519" s="446"/>
      <c r="BY519" s="446"/>
      <c r="BZ519" s="446"/>
      <c r="CA519" s="446"/>
      <c r="CB519" s="446"/>
      <c r="CC519" s="446"/>
      <c r="CD519" s="446"/>
      <c r="CE519" s="446"/>
      <c r="CF519" s="446"/>
      <c r="CG519" s="446"/>
      <c r="CH519" s="446"/>
      <c r="CI519" s="446"/>
      <c r="CJ519" s="446"/>
      <c r="CK519" s="446"/>
      <c r="CL519" s="446"/>
      <c r="CM519" s="446"/>
      <c r="CN519" s="446"/>
      <c r="CO519" s="446"/>
      <c r="CP519" s="446"/>
      <c r="CQ519" s="446"/>
      <c r="CR519" s="446"/>
      <c r="CS519" s="446"/>
      <c r="CT519" s="446"/>
      <c r="CU519" s="446"/>
      <c r="CV519" s="446"/>
      <c r="CW519" s="851"/>
      <c r="CX519" s="446"/>
      <c r="CY519" s="446"/>
      <c r="CZ519" s="446"/>
      <c r="DA519" s="446"/>
      <c r="DB519" s="446"/>
      <c r="DC519" s="446"/>
      <c r="DD519" s="446"/>
      <c r="DE519" s="446"/>
      <c r="DF519" s="446"/>
      <c r="DG519" s="446"/>
      <c r="DH519" s="446"/>
      <c r="DI519" s="446"/>
      <c r="DJ519" s="446"/>
      <c r="DK519" s="446"/>
      <c r="DL519" s="446"/>
      <c r="DM519" s="446"/>
      <c r="DN519" s="446"/>
      <c r="DO519" s="446"/>
      <c r="DP519" s="446"/>
      <c r="DQ519" s="446"/>
      <c r="DR519" s="446"/>
      <c r="DS519" s="446"/>
      <c r="DT519" s="446"/>
      <c r="DU519" s="446"/>
      <c r="DV519" s="446"/>
      <c r="DW519" s="446"/>
      <c r="DX519" s="446"/>
      <c r="DY519" s="446"/>
      <c r="DZ519" s="283"/>
    </row>
    <row r="520" spans="2:130" s="223" customFormat="1" x14ac:dyDescent="0.2">
      <c r="B520" s="851"/>
      <c r="C520" s="851"/>
      <c r="D520" s="851"/>
      <c r="E520" s="820"/>
      <c r="F520" s="820"/>
      <c r="G520" s="853"/>
      <c r="H520" s="853"/>
      <c r="I520" s="853"/>
      <c r="J520" s="853"/>
      <c r="K520" s="853"/>
      <c r="L520" s="853"/>
      <c r="M520" s="853"/>
      <c r="N520" s="853"/>
      <c r="O520" s="853"/>
      <c r="P520" s="853"/>
      <c r="Q520" s="853"/>
      <c r="R520" s="853"/>
      <c r="S520" s="853"/>
      <c r="T520" s="853"/>
      <c r="U520" s="853"/>
      <c r="V520" s="853"/>
      <c r="W520" s="853"/>
      <c r="X520" s="853"/>
      <c r="Y520" s="853"/>
      <c r="Z520" s="853"/>
      <c r="AA520" s="853"/>
      <c r="AB520" s="853"/>
      <c r="AC520" s="853"/>
      <c r="AD520" s="853"/>
      <c r="AE520" s="853"/>
      <c r="AF520" s="853"/>
      <c r="AG520" s="853"/>
      <c r="AH520" s="446"/>
      <c r="AI520" s="446"/>
      <c r="AJ520" s="446"/>
      <c r="AK520" s="446"/>
      <c r="AL520" s="446"/>
      <c r="AM520" s="446"/>
      <c r="AN520" s="446"/>
      <c r="AO520" s="446"/>
      <c r="AP520" s="446"/>
      <c r="AQ520" s="446"/>
      <c r="AR520" s="446"/>
      <c r="AS520" s="446"/>
      <c r="AT520" s="446"/>
      <c r="AU520" s="446"/>
      <c r="AV520" s="446"/>
      <c r="AW520" s="446"/>
      <c r="AX520" s="446"/>
      <c r="AY520" s="446"/>
      <c r="AZ520" s="446"/>
      <c r="BA520" s="446"/>
      <c r="BB520" s="446"/>
      <c r="BC520" s="446"/>
      <c r="BD520" s="446"/>
      <c r="BE520" s="446"/>
      <c r="BF520" s="446"/>
      <c r="BG520" s="446"/>
      <c r="BH520" s="446"/>
      <c r="BI520" s="446"/>
      <c r="BJ520" s="446"/>
      <c r="BK520" s="446"/>
      <c r="BL520" s="446"/>
      <c r="BM520" s="446"/>
      <c r="BN520" s="446"/>
      <c r="BO520" s="446"/>
      <c r="BP520" s="446"/>
      <c r="BQ520" s="446"/>
      <c r="BR520" s="446"/>
      <c r="BS520" s="446"/>
      <c r="BT520" s="446"/>
      <c r="BU520" s="562"/>
      <c r="BV520" s="446"/>
      <c r="BW520" s="446"/>
      <c r="BX520" s="446"/>
      <c r="BY520" s="446"/>
      <c r="BZ520" s="446"/>
      <c r="CA520" s="446"/>
      <c r="CB520" s="446"/>
      <c r="CC520" s="446"/>
      <c r="CD520" s="446"/>
      <c r="CE520" s="446"/>
      <c r="CF520" s="446"/>
      <c r="CG520" s="446"/>
      <c r="CH520" s="446"/>
      <c r="CI520" s="446"/>
      <c r="CJ520" s="446"/>
      <c r="CK520" s="446"/>
      <c r="CL520" s="446"/>
      <c r="CM520" s="446"/>
      <c r="CN520" s="446"/>
      <c r="CO520" s="446"/>
      <c r="CP520" s="446"/>
      <c r="CQ520" s="446"/>
      <c r="CR520" s="446"/>
      <c r="CS520" s="446"/>
      <c r="CT520" s="446"/>
      <c r="CU520" s="446"/>
      <c r="CV520" s="446"/>
      <c r="CW520" s="851"/>
      <c r="CX520" s="446"/>
      <c r="CY520" s="446"/>
      <c r="CZ520" s="446"/>
      <c r="DA520" s="446"/>
      <c r="DB520" s="446"/>
      <c r="DC520" s="446"/>
      <c r="DD520" s="446"/>
      <c r="DE520" s="446"/>
      <c r="DF520" s="446"/>
      <c r="DG520" s="446"/>
      <c r="DH520" s="446"/>
      <c r="DI520" s="446"/>
      <c r="DJ520" s="446"/>
      <c r="DK520" s="446"/>
      <c r="DL520" s="446"/>
      <c r="DM520" s="446"/>
      <c r="DN520" s="446"/>
      <c r="DO520" s="446"/>
      <c r="DP520" s="446"/>
      <c r="DQ520" s="446"/>
      <c r="DR520" s="446"/>
      <c r="DS520" s="446"/>
      <c r="DT520" s="446"/>
      <c r="DU520" s="446"/>
      <c r="DV520" s="446"/>
      <c r="DW520" s="446"/>
      <c r="DX520" s="446"/>
      <c r="DY520" s="446"/>
      <c r="DZ520" s="283"/>
    </row>
    <row r="521" spans="2:130" s="223" customFormat="1" x14ac:dyDescent="0.2">
      <c r="B521" s="851"/>
      <c r="C521" s="851"/>
      <c r="D521" s="851"/>
      <c r="E521" s="820"/>
      <c r="F521" s="820"/>
      <c r="G521" s="853"/>
      <c r="H521" s="853"/>
      <c r="I521" s="853"/>
      <c r="J521" s="853"/>
      <c r="K521" s="853"/>
      <c r="L521" s="853"/>
      <c r="M521" s="853"/>
      <c r="N521" s="853"/>
      <c r="O521" s="853"/>
      <c r="P521" s="853"/>
      <c r="Q521" s="853"/>
      <c r="R521" s="853"/>
      <c r="S521" s="853"/>
      <c r="T521" s="853"/>
      <c r="U521" s="853"/>
      <c r="V521" s="853"/>
      <c r="W521" s="853"/>
      <c r="X521" s="853"/>
      <c r="Y521" s="853"/>
      <c r="Z521" s="853"/>
      <c r="AA521" s="853"/>
      <c r="AB521" s="853"/>
      <c r="AC521" s="853"/>
      <c r="AD521" s="853"/>
      <c r="AE521" s="853"/>
      <c r="AF521" s="853"/>
      <c r="AG521" s="853"/>
      <c r="AH521" s="446"/>
      <c r="AI521" s="446"/>
      <c r="AJ521" s="446"/>
      <c r="AK521" s="446"/>
      <c r="AL521" s="446"/>
      <c r="AM521" s="446"/>
      <c r="AN521" s="446"/>
      <c r="AO521" s="446"/>
      <c r="AP521" s="446"/>
      <c r="AQ521" s="446"/>
      <c r="AR521" s="446"/>
      <c r="AS521" s="446"/>
      <c r="AT521" s="446"/>
      <c r="AU521" s="446"/>
      <c r="AV521" s="446"/>
      <c r="AW521" s="446"/>
      <c r="AX521" s="446"/>
      <c r="AY521" s="446"/>
      <c r="AZ521" s="446"/>
      <c r="BA521" s="446"/>
      <c r="BB521" s="446"/>
      <c r="BC521" s="446"/>
      <c r="BD521" s="446"/>
      <c r="BE521" s="446"/>
      <c r="BF521" s="446"/>
      <c r="BG521" s="446"/>
      <c r="BH521" s="446"/>
      <c r="BI521" s="446"/>
      <c r="BJ521" s="446"/>
      <c r="BK521" s="446"/>
      <c r="BL521" s="446"/>
      <c r="BM521" s="446"/>
      <c r="BN521" s="446"/>
      <c r="BO521" s="446"/>
      <c r="BP521" s="446"/>
      <c r="BQ521" s="446"/>
      <c r="BR521" s="446"/>
      <c r="BS521" s="446"/>
      <c r="BT521" s="446"/>
      <c r="BU521" s="562"/>
      <c r="BV521" s="446"/>
      <c r="BW521" s="446"/>
      <c r="BX521" s="446"/>
      <c r="BY521" s="446"/>
      <c r="BZ521" s="446"/>
      <c r="CA521" s="446"/>
      <c r="CB521" s="446"/>
      <c r="CC521" s="446"/>
      <c r="CD521" s="446"/>
      <c r="CE521" s="446"/>
      <c r="CF521" s="446"/>
      <c r="CG521" s="446"/>
      <c r="CH521" s="446"/>
      <c r="CI521" s="446"/>
      <c r="CJ521" s="446"/>
      <c r="CK521" s="446"/>
      <c r="CL521" s="446"/>
      <c r="CM521" s="446"/>
      <c r="CN521" s="446"/>
      <c r="CO521" s="446"/>
      <c r="CP521" s="446"/>
      <c r="CQ521" s="446"/>
      <c r="CR521" s="446"/>
      <c r="CS521" s="446"/>
      <c r="CT521" s="446"/>
      <c r="CU521" s="446"/>
      <c r="CV521" s="446"/>
      <c r="CW521" s="851"/>
      <c r="CX521" s="446"/>
      <c r="CY521" s="446"/>
      <c r="CZ521" s="446"/>
      <c r="DA521" s="446"/>
      <c r="DB521" s="446"/>
      <c r="DC521" s="446"/>
      <c r="DD521" s="446"/>
      <c r="DE521" s="446"/>
      <c r="DF521" s="446"/>
      <c r="DG521" s="446"/>
      <c r="DH521" s="446"/>
      <c r="DI521" s="446"/>
      <c r="DJ521" s="446"/>
      <c r="DK521" s="446"/>
      <c r="DL521" s="446"/>
      <c r="DM521" s="446"/>
      <c r="DN521" s="446"/>
      <c r="DO521" s="446"/>
      <c r="DP521" s="446"/>
      <c r="DQ521" s="446"/>
      <c r="DR521" s="446"/>
      <c r="DS521" s="446"/>
      <c r="DT521" s="446"/>
      <c r="DU521" s="446"/>
      <c r="DV521" s="446"/>
      <c r="DW521" s="446"/>
      <c r="DX521" s="446"/>
      <c r="DY521" s="446"/>
      <c r="DZ521" s="283"/>
    </row>
    <row r="522" spans="2:130" s="223" customFormat="1" x14ac:dyDescent="0.2">
      <c r="B522" s="851"/>
      <c r="C522" s="851"/>
      <c r="D522" s="851"/>
      <c r="E522" s="820"/>
      <c r="F522" s="820"/>
      <c r="G522" s="853"/>
      <c r="H522" s="853"/>
      <c r="I522" s="853"/>
      <c r="J522" s="853"/>
      <c r="K522" s="853"/>
      <c r="L522" s="853"/>
      <c r="M522" s="853"/>
      <c r="N522" s="853"/>
      <c r="O522" s="853"/>
      <c r="P522" s="853"/>
      <c r="Q522" s="853"/>
      <c r="R522" s="853"/>
      <c r="S522" s="853"/>
      <c r="T522" s="853"/>
      <c r="U522" s="853"/>
      <c r="V522" s="853"/>
      <c r="W522" s="853"/>
      <c r="X522" s="853"/>
      <c r="Y522" s="853"/>
      <c r="Z522" s="853"/>
      <c r="AA522" s="853"/>
      <c r="AB522" s="853"/>
      <c r="AC522" s="853"/>
      <c r="AD522" s="853"/>
      <c r="AE522" s="853"/>
      <c r="AF522" s="853"/>
      <c r="AG522" s="853"/>
      <c r="AH522" s="446"/>
      <c r="AI522" s="446"/>
      <c r="AJ522" s="446"/>
      <c r="AK522" s="446"/>
      <c r="AL522" s="446"/>
      <c r="AM522" s="446"/>
      <c r="AN522" s="446"/>
      <c r="AO522" s="446"/>
      <c r="AP522" s="446"/>
      <c r="AQ522" s="446"/>
      <c r="AR522" s="446"/>
      <c r="AS522" s="446"/>
      <c r="AT522" s="446"/>
      <c r="AU522" s="446"/>
      <c r="AV522" s="446"/>
      <c r="AW522" s="446"/>
      <c r="AX522" s="446"/>
      <c r="AY522" s="446"/>
      <c r="AZ522" s="446"/>
      <c r="BA522" s="446"/>
      <c r="BB522" s="446"/>
      <c r="BC522" s="446"/>
      <c r="BD522" s="446"/>
      <c r="BE522" s="446"/>
      <c r="BF522" s="446"/>
      <c r="BG522" s="446"/>
      <c r="BH522" s="446"/>
      <c r="BI522" s="446"/>
      <c r="BJ522" s="446"/>
      <c r="BK522" s="446"/>
      <c r="BL522" s="446"/>
      <c r="BM522" s="446"/>
      <c r="BN522" s="446"/>
      <c r="BO522" s="446"/>
      <c r="BP522" s="446"/>
      <c r="BQ522" s="446"/>
      <c r="BR522" s="446"/>
      <c r="BS522" s="446"/>
      <c r="BT522" s="446"/>
      <c r="BU522" s="562"/>
      <c r="BV522" s="446"/>
      <c r="BW522" s="446"/>
      <c r="BX522" s="446"/>
      <c r="BY522" s="446"/>
      <c r="BZ522" s="446"/>
      <c r="CA522" s="446"/>
      <c r="CB522" s="446"/>
      <c r="CC522" s="446"/>
      <c r="CD522" s="446"/>
      <c r="CE522" s="446"/>
      <c r="CF522" s="446"/>
      <c r="CG522" s="446"/>
      <c r="CH522" s="446"/>
      <c r="CI522" s="446"/>
      <c r="CJ522" s="446"/>
      <c r="CK522" s="446"/>
      <c r="CL522" s="446"/>
      <c r="CM522" s="446"/>
      <c r="CN522" s="446"/>
      <c r="CO522" s="446"/>
      <c r="CP522" s="446"/>
      <c r="CQ522" s="446"/>
      <c r="CR522" s="446"/>
      <c r="CS522" s="446"/>
      <c r="CT522" s="446"/>
      <c r="CU522" s="446"/>
      <c r="CV522" s="446"/>
      <c r="CW522" s="851"/>
      <c r="CX522" s="446"/>
      <c r="CY522" s="446"/>
      <c r="CZ522" s="446"/>
      <c r="DA522" s="446"/>
      <c r="DB522" s="446"/>
      <c r="DC522" s="446"/>
      <c r="DD522" s="446"/>
      <c r="DE522" s="446"/>
      <c r="DF522" s="446"/>
      <c r="DG522" s="446"/>
      <c r="DH522" s="446"/>
      <c r="DI522" s="446"/>
      <c r="DJ522" s="446"/>
      <c r="DK522" s="446"/>
      <c r="DL522" s="446"/>
      <c r="DM522" s="446"/>
      <c r="DN522" s="446"/>
      <c r="DO522" s="446"/>
      <c r="DP522" s="446"/>
      <c r="DQ522" s="446"/>
      <c r="DR522" s="446"/>
      <c r="DS522" s="446"/>
      <c r="DT522" s="446"/>
      <c r="DU522" s="446"/>
      <c r="DV522" s="446"/>
      <c r="DW522" s="446"/>
      <c r="DX522" s="446"/>
      <c r="DY522" s="446"/>
      <c r="DZ522" s="283"/>
    </row>
    <row r="523" spans="2:130" s="223" customFormat="1" x14ac:dyDescent="0.2">
      <c r="B523" s="851"/>
      <c r="C523" s="851"/>
      <c r="D523" s="851"/>
      <c r="E523" s="820"/>
      <c r="F523" s="820"/>
      <c r="G523" s="853"/>
      <c r="H523" s="853"/>
      <c r="I523" s="853"/>
      <c r="J523" s="853"/>
      <c r="K523" s="853"/>
      <c r="L523" s="853"/>
      <c r="M523" s="853"/>
      <c r="N523" s="853"/>
      <c r="O523" s="853"/>
      <c r="P523" s="853"/>
      <c r="Q523" s="853"/>
      <c r="R523" s="853"/>
      <c r="S523" s="853"/>
      <c r="T523" s="853"/>
      <c r="U523" s="853"/>
      <c r="V523" s="853"/>
      <c r="W523" s="853"/>
      <c r="X523" s="853"/>
      <c r="Y523" s="853"/>
      <c r="Z523" s="853"/>
      <c r="AA523" s="853"/>
      <c r="AB523" s="853"/>
      <c r="AC523" s="853"/>
      <c r="AD523" s="853"/>
      <c r="AE523" s="853"/>
      <c r="AF523" s="853"/>
      <c r="AG523" s="853"/>
      <c r="AH523" s="446"/>
      <c r="AI523" s="446"/>
      <c r="AJ523" s="446"/>
      <c r="AK523" s="446"/>
      <c r="AL523" s="446"/>
      <c r="AM523" s="446"/>
      <c r="AN523" s="446"/>
      <c r="AO523" s="446"/>
      <c r="AP523" s="446"/>
      <c r="AQ523" s="446"/>
      <c r="AR523" s="446"/>
      <c r="AS523" s="446"/>
      <c r="AT523" s="446"/>
      <c r="AU523" s="446"/>
      <c r="AV523" s="446"/>
      <c r="AW523" s="446"/>
      <c r="AX523" s="446"/>
      <c r="AY523" s="446"/>
      <c r="AZ523" s="446"/>
      <c r="BA523" s="446"/>
      <c r="BB523" s="446"/>
      <c r="BC523" s="446"/>
      <c r="BD523" s="446"/>
      <c r="BE523" s="446"/>
      <c r="BF523" s="446"/>
      <c r="BG523" s="446"/>
      <c r="BH523" s="446"/>
      <c r="BI523" s="446"/>
      <c r="BJ523" s="446"/>
      <c r="BK523" s="446"/>
      <c r="BL523" s="446"/>
      <c r="BM523" s="446"/>
      <c r="BN523" s="446"/>
      <c r="BO523" s="446"/>
      <c r="BP523" s="446"/>
      <c r="BQ523" s="446"/>
      <c r="BR523" s="446"/>
      <c r="BS523" s="446"/>
      <c r="BT523" s="446"/>
      <c r="BU523" s="562"/>
      <c r="BV523" s="446"/>
      <c r="BW523" s="446"/>
      <c r="BX523" s="446"/>
      <c r="BY523" s="446"/>
      <c r="BZ523" s="446"/>
      <c r="CA523" s="446"/>
      <c r="CB523" s="446"/>
      <c r="CC523" s="446"/>
      <c r="CD523" s="446"/>
      <c r="CE523" s="446"/>
      <c r="CF523" s="446"/>
      <c r="CG523" s="446"/>
      <c r="CH523" s="446"/>
      <c r="CI523" s="446"/>
      <c r="CJ523" s="446"/>
      <c r="CK523" s="446"/>
      <c r="CL523" s="446"/>
      <c r="CM523" s="446"/>
      <c r="CN523" s="446"/>
      <c r="CO523" s="446"/>
      <c r="CP523" s="446"/>
      <c r="CQ523" s="446"/>
      <c r="CR523" s="446"/>
      <c r="CS523" s="446"/>
      <c r="CT523" s="446"/>
      <c r="CU523" s="446"/>
      <c r="CV523" s="446"/>
      <c r="CW523" s="851"/>
      <c r="CX523" s="446"/>
      <c r="CY523" s="446"/>
      <c r="CZ523" s="446"/>
      <c r="DA523" s="446"/>
      <c r="DB523" s="446"/>
      <c r="DC523" s="446"/>
      <c r="DD523" s="446"/>
      <c r="DE523" s="446"/>
      <c r="DF523" s="446"/>
      <c r="DG523" s="446"/>
      <c r="DH523" s="446"/>
      <c r="DI523" s="446"/>
      <c r="DJ523" s="446"/>
      <c r="DK523" s="446"/>
      <c r="DL523" s="446"/>
      <c r="DM523" s="446"/>
      <c r="DN523" s="446"/>
      <c r="DO523" s="446"/>
      <c r="DP523" s="446"/>
      <c r="DQ523" s="446"/>
      <c r="DR523" s="446"/>
      <c r="DS523" s="446"/>
      <c r="DT523" s="446"/>
      <c r="DU523" s="446"/>
      <c r="DV523" s="446"/>
      <c r="DW523" s="446"/>
      <c r="DX523" s="446"/>
      <c r="DY523" s="446"/>
      <c r="DZ523" s="283"/>
    </row>
    <row r="524" spans="2:130" s="223" customFormat="1" x14ac:dyDescent="0.2">
      <c r="B524" s="851"/>
      <c r="C524" s="851"/>
      <c r="D524" s="851"/>
      <c r="E524" s="820"/>
      <c r="F524" s="820"/>
      <c r="G524" s="853"/>
      <c r="H524" s="853"/>
      <c r="I524" s="853"/>
      <c r="J524" s="853"/>
      <c r="K524" s="853"/>
      <c r="L524" s="853"/>
      <c r="M524" s="853"/>
      <c r="N524" s="853"/>
      <c r="O524" s="853"/>
      <c r="P524" s="853"/>
      <c r="Q524" s="853"/>
      <c r="R524" s="853"/>
      <c r="S524" s="853"/>
      <c r="T524" s="853"/>
      <c r="U524" s="853"/>
      <c r="V524" s="853"/>
      <c r="W524" s="853"/>
      <c r="X524" s="853"/>
      <c r="Y524" s="853"/>
      <c r="Z524" s="853"/>
      <c r="AA524" s="853"/>
      <c r="AB524" s="853"/>
      <c r="AC524" s="853"/>
      <c r="AD524" s="853"/>
      <c r="AE524" s="853"/>
      <c r="AF524" s="853"/>
      <c r="AG524" s="853"/>
      <c r="AH524" s="446"/>
      <c r="AI524" s="446"/>
      <c r="AJ524" s="446"/>
      <c r="AK524" s="446"/>
      <c r="AL524" s="446"/>
      <c r="AM524" s="446"/>
      <c r="AN524" s="446"/>
      <c r="AO524" s="446"/>
      <c r="AP524" s="446"/>
      <c r="AQ524" s="446"/>
      <c r="AR524" s="446"/>
      <c r="AS524" s="446"/>
      <c r="AT524" s="446"/>
      <c r="AU524" s="446"/>
      <c r="AV524" s="446"/>
      <c r="AW524" s="446"/>
      <c r="AX524" s="446"/>
      <c r="AY524" s="446"/>
      <c r="AZ524" s="446"/>
      <c r="BA524" s="446"/>
      <c r="BB524" s="446"/>
      <c r="BC524" s="446"/>
      <c r="BD524" s="446"/>
      <c r="BE524" s="446"/>
      <c r="BF524" s="446"/>
      <c r="BG524" s="446"/>
      <c r="BH524" s="446"/>
      <c r="BI524" s="446"/>
      <c r="BJ524" s="446"/>
      <c r="BK524" s="446"/>
      <c r="BL524" s="446"/>
      <c r="BM524" s="446"/>
      <c r="BN524" s="446"/>
      <c r="BO524" s="446"/>
      <c r="BP524" s="446"/>
      <c r="BQ524" s="446"/>
      <c r="BR524" s="446"/>
      <c r="BS524" s="446"/>
      <c r="BT524" s="446"/>
      <c r="BU524" s="562"/>
      <c r="BV524" s="446"/>
      <c r="BW524" s="446"/>
      <c r="BX524" s="446"/>
      <c r="BY524" s="446"/>
      <c r="BZ524" s="446"/>
      <c r="CA524" s="446"/>
      <c r="CB524" s="446"/>
      <c r="CC524" s="446"/>
      <c r="CD524" s="446"/>
      <c r="CE524" s="446"/>
      <c r="CF524" s="446"/>
      <c r="CG524" s="446"/>
      <c r="CH524" s="446"/>
      <c r="CI524" s="446"/>
      <c r="CJ524" s="446"/>
      <c r="CK524" s="446"/>
      <c r="CL524" s="446"/>
      <c r="CM524" s="446"/>
      <c r="CN524" s="446"/>
      <c r="CO524" s="446"/>
      <c r="CP524" s="446"/>
      <c r="CQ524" s="446"/>
      <c r="CR524" s="446"/>
      <c r="CS524" s="446"/>
      <c r="CT524" s="446"/>
      <c r="CU524" s="446"/>
      <c r="CV524" s="446"/>
      <c r="CW524" s="851"/>
      <c r="CX524" s="446"/>
      <c r="CY524" s="446"/>
      <c r="CZ524" s="446"/>
      <c r="DA524" s="446"/>
      <c r="DB524" s="446"/>
      <c r="DC524" s="446"/>
      <c r="DD524" s="446"/>
      <c r="DE524" s="446"/>
      <c r="DF524" s="446"/>
      <c r="DG524" s="446"/>
      <c r="DH524" s="446"/>
      <c r="DI524" s="446"/>
      <c r="DJ524" s="446"/>
      <c r="DK524" s="446"/>
      <c r="DL524" s="446"/>
      <c r="DM524" s="446"/>
      <c r="DN524" s="446"/>
      <c r="DO524" s="446"/>
      <c r="DP524" s="446"/>
      <c r="DQ524" s="446"/>
      <c r="DR524" s="446"/>
      <c r="DS524" s="446"/>
      <c r="DT524" s="446"/>
      <c r="DU524" s="446"/>
      <c r="DV524" s="446"/>
      <c r="DW524" s="446"/>
      <c r="DX524" s="446"/>
      <c r="DY524" s="446"/>
      <c r="DZ524" s="283"/>
    </row>
    <row r="525" spans="2:130" s="223" customFormat="1" x14ac:dyDescent="0.2">
      <c r="B525" s="851"/>
      <c r="C525" s="851"/>
      <c r="D525" s="851"/>
      <c r="E525" s="820"/>
      <c r="F525" s="820"/>
      <c r="G525" s="853"/>
      <c r="H525" s="853"/>
      <c r="I525" s="853"/>
      <c r="J525" s="853"/>
      <c r="K525" s="853"/>
      <c r="L525" s="853"/>
      <c r="M525" s="853"/>
      <c r="N525" s="853"/>
      <c r="O525" s="853"/>
      <c r="P525" s="853"/>
      <c r="Q525" s="853"/>
      <c r="R525" s="853"/>
      <c r="S525" s="853"/>
      <c r="T525" s="853"/>
      <c r="U525" s="853"/>
      <c r="V525" s="853"/>
      <c r="W525" s="853"/>
      <c r="X525" s="853"/>
      <c r="Y525" s="853"/>
      <c r="Z525" s="853"/>
      <c r="AA525" s="853"/>
      <c r="AB525" s="853"/>
      <c r="AC525" s="853"/>
      <c r="AD525" s="853"/>
      <c r="AE525" s="853"/>
      <c r="AF525" s="853"/>
      <c r="AG525" s="853"/>
      <c r="AH525" s="446"/>
      <c r="AI525" s="446"/>
      <c r="AJ525" s="446"/>
      <c r="AK525" s="446"/>
      <c r="AL525" s="446"/>
      <c r="AM525" s="446"/>
      <c r="AN525" s="446"/>
      <c r="AO525" s="446"/>
      <c r="AP525" s="446"/>
      <c r="AQ525" s="446"/>
      <c r="AR525" s="446"/>
      <c r="AS525" s="446"/>
      <c r="AT525" s="446"/>
      <c r="AU525" s="446"/>
      <c r="AV525" s="446"/>
      <c r="AW525" s="446"/>
      <c r="AX525" s="446"/>
      <c r="AY525" s="446"/>
      <c r="AZ525" s="446"/>
      <c r="BA525" s="446"/>
      <c r="BB525" s="446"/>
      <c r="BC525" s="446"/>
      <c r="BD525" s="446"/>
      <c r="BE525" s="446"/>
      <c r="BF525" s="446"/>
      <c r="BG525" s="446"/>
      <c r="BH525" s="446"/>
      <c r="BI525" s="446"/>
      <c r="BJ525" s="446"/>
      <c r="BK525" s="446"/>
      <c r="BL525" s="446"/>
      <c r="BM525" s="446"/>
      <c r="BN525" s="446"/>
      <c r="BO525" s="446"/>
      <c r="BP525" s="446"/>
      <c r="BQ525" s="446"/>
      <c r="BR525" s="446"/>
      <c r="BS525" s="446"/>
      <c r="BT525" s="446"/>
      <c r="BU525" s="562"/>
      <c r="BV525" s="446"/>
      <c r="BW525" s="446"/>
      <c r="BX525" s="446"/>
      <c r="BY525" s="446"/>
      <c r="BZ525" s="446"/>
      <c r="CA525" s="446"/>
      <c r="CB525" s="446"/>
      <c r="CC525" s="446"/>
      <c r="CD525" s="446"/>
      <c r="CE525" s="446"/>
      <c r="CF525" s="446"/>
      <c r="CG525" s="446"/>
      <c r="CH525" s="446"/>
      <c r="CI525" s="446"/>
      <c r="CJ525" s="446"/>
      <c r="CK525" s="446"/>
      <c r="CL525" s="446"/>
      <c r="CM525" s="446"/>
      <c r="CN525" s="446"/>
      <c r="CO525" s="446"/>
      <c r="CP525" s="446"/>
      <c r="CQ525" s="446"/>
      <c r="CR525" s="446"/>
      <c r="CS525" s="446"/>
      <c r="CT525" s="446"/>
      <c r="CU525" s="446"/>
      <c r="CV525" s="446"/>
      <c r="CW525" s="851"/>
      <c r="CX525" s="446"/>
      <c r="CY525" s="446"/>
      <c r="CZ525" s="446"/>
      <c r="DA525" s="446"/>
      <c r="DB525" s="446"/>
      <c r="DC525" s="446"/>
      <c r="DD525" s="446"/>
      <c r="DE525" s="446"/>
      <c r="DF525" s="446"/>
      <c r="DG525" s="446"/>
      <c r="DH525" s="446"/>
      <c r="DI525" s="446"/>
      <c r="DJ525" s="446"/>
      <c r="DK525" s="446"/>
      <c r="DL525" s="446"/>
      <c r="DM525" s="446"/>
      <c r="DN525" s="446"/>
      <c r="DO525" s="446"/>
      <c r="DP525" s="446"/>
      <c r="DQ525" s="446"/>
      <c r="DR525" s="446"/>
      <c r="DS525" s="446"/>
      <c r="DT525" s="446"/>
      <c r="DU525" s="446"/>
      <c r="DV525" s="446"/>
      <c r="DW525" s="446"/>
      <c r="DX525" s="446"/>
      <c r="DY525" s="446"/>
      <c r="DZ525" s="283"/>
    </row>
    <row r="526" spans="2:130" s="223" customFormat="1" x14ac:dyDescent="0.2">
      <c r="B526" s="851"/>
      <c r="C526" s="851"/>
      <c r="D526" s="851"/>
      <c r="E526" s="820"/>
      <c r="F526" s="820"/>
      <c r="G526" s="853"/>
      <c r="H526" s="853"/>
      <c r="I526" s="853"/>
      <c r="J526" s="853"/>
      <c r="K526" s="853"/>
      <c r="L526" s="853"/>
      <c r="M526" s="853"/>
      <c r="N526" s="853"/>
      <c r="O526" s="853"/>
      <c r="P526" s="853"/>
      <c r="Q526" s="853"/>
      <c r="R526" s="853"/>
      <c r="S526" s="853"/>
      <c r="T526" s="853"/>
      <c r="U526" s="853"/>
      <c r="V526" s="853"/>
      <c r="W526" s="853"/>
      <c r="X526" s="853"/>
      <c r="Y526" s="853"/>
      <c r="Z526" s="853"/>
      <c r="AA526" s="853"/>
      <c r="AB526" s="853"/>
      <c r="AC526" s="853"/>
      <c r="AD526" s="853"/>
      <c r="AE526" s="853"/>
      <c r="AF526" s="853"/>
      <c r="AG526" s="853"/>
      <c r="AH526" s="446"/>
      <c r="AI526" s="446"/>
      <c r="AJ526" s="446"/>
      <c r="AK526" s="446"/>
      <c r="AL526" s="446"/>
      <c r="AM526" s="446"/>
      <c r="AN526" s="446"/>
      <c r="AO526" s="446"/>
      <c r="AP526" s="446"/>
      <c r="AQ526" s="446"/>
      <c r="AR526" s="446"/>
      <c r="AS526" s="446"/>
      <c r="AT526" s="446"/>
      <c r="AU526" s="446"/>
      <c r="AV526" s="446"/>
      <c r="AW526" s="446"/>
      <c r="AX526" s="446"/>
      <c r="AY526" s="446"/>
      <c r="AZ526" s="446"/>
      <c r="BA526" s="446"/>
      <c r="BB526" s="446"/>
      <c r="BC526" s="446"/>
      <c r="BD526" s="446"/>
      <c r="BE526" s="446"/>
      <c r="BF526" s="446"/>
      <c r="BG526" s="446"/>
      <c r="BH526" s="446"/>
      <c r="BI526" s="446"/>
      <c r="BJ526" s="446"/>
      <c r="BK526" s="446"/>
      <c r="BL526" s="446"/>
      <c r="BM526" s="446"/>
      <c r="BN526" s="446"/>
      <c r="BO526" s="446"/>
      <c r="BP526" s="446"/>
      <c r="BQ526" s="446"/>
      <c r="BR526" s="446"/>
      <c r="BS526" s="446"/>
      <c r="BT526" s="446"/>
      <c r="BU526" s="562"/>
      <c r="BV526" s="446"/>
      <c r="BW526" s="446"/>
      <c r="BX526" s="446"/>
      <c r="BY526" s="446"/>
      <c r="BZ526" s="446"/>
      <c r="CA526" s="446"/>
      <c r="CB526" s="446"/>
      <c r="CC526" s="446"/>
      <c r="CD526" s="446"/>
      <c r="CE526" s="446"/>
      <c r="CF526" s="446"/>
      <c r="CG526" s="446"/>
      <c r="CH526" s="446"/>
      <c r="CI526" s="446"/>
      <c r="CJ526" s="446"/>
      <c r="CK526" s="446"/>
      <c r="CL526" s="446"/>
      <c r="CM526" s="446"/>
      <c r="CN526" s="446"/>
      <c r="CO526" s="446"/>
      <c r="CP526" s="446"/>
      <c r="CQ526" s="446"/>
      <c r="CR526" s="446"/>
      <c r="CS526" s="446"/>
      <c r="CT526" s="446"/>
      <c r="CU526" s="446"/>
      <c r="CV526" s="446"/>
      <c r="CW526" s="851"/>
      <c r="CX526" s="446"/>
      <c r="CY526" s="446"/>
      <c r="CZ526" s="446"/>
      <c r="DA526" s="446"/>
      <c r="DB526" s="446"/>
      <c r="DC526" s="446"/>
      <c r="DD526" s="446"/>
      <c r="DE526" s="446"/>
      <c r="DF526" s="446"/>
      <c r="DG526" s="446"/>
      <c r="DH526" s="446"/>
      <c r="DI526" s="446"/>
      <c r="DJ526" s="446"/>
      <c r="DK526" s="446"/>
      <c r="DL526" s="446"/>
      <c r="DM526" s="446"/>
      <c r="DN526" s="446"/>
      <c r="DO526" s="446"/>
      <c r="DP526" s="446"/>
      <c r="DQ526" s="446"/>
      <c r="DR526" s="446"/>
      <c r="DS526" s="446"/>
      <c r="DT526" s="446"/>
      <c r="DU526" s="446"/>
      <c r="DV526" s="446"/>
      <c r="DW526" s="446"/>
      <c r="DX526" s="446"/>
      <c r="DY526" s="446"/>
      <c r="DZ526" s="283"/>
    </row>
    <row r="527" spans="2:130" s="223" customFormat="1" x14ac:dyDescent="0.2">
      <c r="B527" s="851"/>
      <c r="C527" s="851"/>
      <c r="D527" s="851"/>
      <c r="E527" s="820"/>
      <c r="F527" s="820"/>
      <c r="G527" s="853"/>
      <c r="H527" s="853"/>
      <c r="I527" s="853"/>
      <c r="J527" s="853"/>
      <c r="K527" s="853"/>
      <c r="L527" s="853"/>
      <c r="M527" s="853"/>
      <c r="N527" s="853"/>
      <c r="O527" s="853"/>
      <c r="P527" s="853"/>
      <c r="Q527" s="853"/>
      <c r="R527" s="853"/>
      <c r="S527" s="853"/>
      <c r="T527" s="853"/>
      <c r="U527" s="853"/>
      <c r="V527" s="853"/>
      <c r="W527" s="853"/>
      <c r="X527" s="853"/>
      <c r="Y527" s="853"/>
      <c r="Z527" s="853"/>
      <c r="AA527" s="853"/>
      <c r="AB527" s="853"/>
      <c r="AC527" s="853"/>
      <c r="AD527" s="853"/>
      <c r="AE527" s="853"/>
      <c r="AF527" s="853"/>
      <c r="AG527" s="853"/>
      <c r="AH527" s="446"/>
      <c r="AI527" s="446"/>
      <c r="AJ527" s="446"/>
      <c r="AK527" s="446"/>
      <c r="AL527" s="446"/>
      <c r="AM527" s="446"/>
      <c r="AN527" s="446"/>
      <c r="AO527" s="446"/>
      <c r="AP527" s="446"/>
      <c r="AQ527" s="446"/>
      <c r="AR527" s="446"/>
      <c r="AS527" s="446"/>
      <c r="AT527" s="446"/>
      <c r="AU527" s="446"/>
      <c r="AV527" s="446"/>
      <c r="AW527" s="446"/>
      <c r="AX527" s="446"/>
      <c r="AY527" s="446"/>
      <c r="AZ527" s="446"/>
      <c r="BA527" s="446"/>
      <c r="BB527" s="446"/>
      <c r="BC527" s="446"/>
      <c r="BD527" s="446"/>
      <c r="BE527" s="446"/>
      <c r="BF527" s="446"/>
      <c r="BG527" s="446"/>
      <c r="BH527" s="446"/>
      <c r="BI527" s="446"/>
      <c r="BJ527" s="446"/>
      <c r="BK527" s="446"/>
      <c r="BL527" s="446"/>
      <c r="BM527" s="446"/>
      <c r="BN527" s="446"/>
      <c r="BO527" s="446"/>
      <c r="BP527" s="446"/>
      <c r="BQ527" s="446"/>
      <c r="BR527" s="446"/>
      <c r="BS527" s="446"/>
      <c r="BT527" s="446"/>
      <c r="BU527" s="562"/>
      <c r="BV527" s="446"/>
      <c r="BW527" s="446"/>
      <c r="BX527" s="446"/>
      <c r="BY527" s="446"/>
      <c r="BZ527" s="446"/>
      <c r="CA527" s="446"/>
      <c r="CB527" s="446"/>
      <c r="CC527" s="446"/>
      <c r="CD527" s="446"/>
      <c r="CE527" s="446"/>
      <c r="CF527" s="446"/>
      <c r="CG527" s="446"/>
      <c r="CH527" s="446"/>
      <c r="CI527" s="446"/>
      <c r="CJ527" s="446"/>
      <c r="CK527" s="446"/>
      <c r="CL527" s="446"/>
      <c r="CM527" s="446"/>
      <c r="CN527" s="446"/>
      <c r="CO527" s="446"/>
      <c r="CP527" s="446"/>
      <c r="CQ527" s="446"/>
      <c r="CR527" s="446"/>
      <c r="CS527" s="446"/>
      <c r="CT527" s="446"/>
      <c r="CU527" s="446"/>
      <c r="CV527" s="446"/>
      <c r="CW527" s="851"/>
      <c r="CX527" s="446"/>
      <c r="CY527" s="446"/>
      <c r="CZ527" s="446"/>
      <c r="DA527" s="446"/>
      <c r="DB527" s="446"/>
      <c r="DC527" s="446"/>
      <c r="DD527" s="446"/>
      <c r="DE527" s="446"/>
      <c r="DF527" s="446"/>
      <c r="DG527" s="446"/>
      <c r="DH527" s="446"/>
      <c r="DI527" s="446"/>
      <c r="DJ527" s="446"/>
      <c r="DK527" s="446"/>
      <c r="DL527" s="446"/>
      <c r="DM527" s="446"/>
      <c r="DN527" s="446"/>
      <c r="DO527" s="446"/>
      <c r="DP527" s="446"/>
      <c r="DQ527" s="446"/>
      <c r="DR527" s="446"/>
      <c r="DS527" s="446"/>
      <c r="DT527" s="446"/>
      <c r="DU527" s="446"/>
      <c r="DV527" s="446"/>
      <c r="DW527" s="446"/>
      <c r="DX527" s="446"/>
      <c r="DY527" s="446"/>
      <c r="DZ527" s="283"/>
    </row>
    <row r="528" spans="2:130" s="223" customFormat="1" x14ac:dyDescent="0.2">
      <c r="B528" s="851"/>
      <c r="C528" s="851"/>
      <c r="D528" s="851"/>
      <c r="E528" s="820"/>
      <c r="F528" s="820"/>
      <c r="G528" s="853"/>
      <c r="H528" s="853"/>
      <c r="I528" s="853"/>
      <c r="J528" s="853"/>
      <c r="K528" s="853"/>
      <c r="L528" s="853"/>
      <c r="M528" s="853"/>
      <c r="N528" s="853"/>
      <c r="O528" s="853"/>
      <c r="P528" s="853"/>
      <c r="Q528" s="853"/>
      <c r="R528" s="853"/>
      <c r="S528" s="853"/>
      <c r="T528" s="853"/>
      <c r="U528" s="853"/>
      <c r="V528" s="853"/>
      <c r="W528" s="853"/>
      <c r="X528" s="853"/>
      <c r="Y528" s="853"/>
      <c r="Z528" s="853"/>
      <c r="AA528" s="853"/>
      <c r="AB528" s="853"/>
      <c r="AC528" s="853"/>
      <c r="AD528" s="853"/>
      <c r="AE528" s="853"/>
      <c r="AF528" s="853"/>
      <c r="AG528" s="853"/>
      <c r="AH528" s="446"/>
      <c r="AI528" s="446"/>
      <c r="AJ528" s="446"/>
      <c r="AK528" s="446"/>
      <c r="AL528" s="446"/>
      <c r="AM528" s="446"/>
      <c r="AN528" s="446"/>
      <c r="AO528" s="446"/>
      <c r="AP528" s="446"/>
      <c r="AQ528" s="446"/>
      <c r="AR528" s="446"/>
      <c r="AS528" s="446"/>
      <c r="AT528" s="446"/>
      <c r="AU528" s="446"/>
      <c r="AV528" s="446"/>
      <c r="AW528" s="446"/>
      <c r="AX528" s="446"/>
      <c r="AY528" s="446"/>
      <c r="AZ528" s="446"/>
      <c r="BA528" s="446"/>
      <c r="BB528" s="446"/>
      <c r="BC528" s="446"/>
      <c r="BD528" s="446"/>
      <c r="BE528" s="446"/>
      <c r="BF528" s="446"/>
      <c r="BG528" s="446"/>
      <c r="BH528" s="446"/>
      <c r="BI528" s="446"/>
      <c r="BJ528" s="446"/>
      <c r="BK528" s="446"/>
      <c r="BL528" s="446"/>
      <c r="BM528" s="446"/>
      <c r="BN528" s="446"/>
      <c r="BO528" s="446"/>
      <c r="BP528" s="446"/>
      <c r="BQ528" s="446"/>
      <c r="BR528" s="446"/>
      <c r="BS528" s="446"/>
      <c r="BT528" s="446"/>
      <c r="BU528" s="562"/>
      <c r="BV528" s="446"/>
      <c r="BW528" s="446"/>
      <c r="BX528" s="446"/>
      <c r="BY528" s="446"/>
      <c r="BZ528" s="446"/>
      <c r="CA528" s="446"/>
      <c r="CB528" s="446"/>
      <c r="CC528" s="446"/>
      <c r="CD528" s="446"/>
      <c r="CE528" s="446"/>
      <c r="CF528" s="446"/>
      <c r="CG528" s="446"/>
      <c r="CH528" s="446"/>
      <c r="CI528" s="446"/>
      <c r="CJ528" s="446"/>
      <c r="CK528" s="446"/>
      <c r="CL528" s="446"/>
      <c r="CM528" s="446"/>
      <c r="CN528" s="446"/>
      <c r="CO528" s="446"/>
      <c r="CP528" s="446"/>
      <c r="CQ528" s="446"/>
      <c r="CR528" s="446"/>
      <c r="CS528" s="446"/>
      <c r="CT528" s="446"/>
      <c r="CU528" s="446"/>
      <c r="CV528" s="446"/>
      <c r="CW528" s="851"/>
      <c r="CX528" s="446"/>
      <c r="CY528" s="446"/>
      <c r="CZ528" s="446"/>
      <c r="DA528" s="446"/>
      <c r="DB528" s="446"/>
      <c r="DC528" s="446"/>
      <c r="DD528" s="446"/>
      <c r="DE528" s="446"/>
      <c r="DF528" s="446"/>
      <c r="DG528" s="446"/>
      <c r="DH528" s="446"/>
      <c r="DI528" s="446"/>
      <c r="DJ528" s="446"/>
      <c r="DK528" s="446"/>
      <c r="DL528" s="446"/>
      <c r="DM528" s="446"/>
      <c r="DN528" s="446"/>
      <c r="DO528" s="446"/>
      <c r="DP528" s="446"/>
      <c r="DQ528" s="446"/>
      <c r="DR528" s="446"/>
      <c r="DS528" s="446"/>
      <c r="DT528" s="446"/>
      <c r="DU528" s="446"/>
      <c r="DV528" s="446"/>
      <c r="DW528" s="446"/>
      <c r="DX528" s="446"/>
      <c r="DY528" s="446"/>
      <c r="DZ528" s="283"/>
    </row>
    <row r="529" spans="2:130" s="223" customFormat="1" x14ac:dyDescent="0.2">
      <c r="B529" s="851"/>
      <c r="C529" s="851"/>
      <c r="D529" s="851"/>
      <c r="E529" s="820"/>
      <c r="F529" s="820"/>
      <c r="G529" s="853"/>
      <c r="H529" s="853"/>
      <c r="I529" s="853"/>
      <c r="J529" s="853"/>
      <c r="K529" s="853"/>
      <c r="L529" s="853"/>
      <c r="M529" s="853"/>
      <c r="N529" s="853"/>
      <c r="O529" s="853"/>
      <c r="P529" s="853"/>
      <c r="Q529" s="853"/>
      <c r="R529" s="853"/>
      <c r="S529" s="853"/>
      <c r="T529" s="853"/>
      <c r="U529" s="853"/>
      <c r="V529" s="853"/>
      <c r="W529" s="853"/>
      <c r="X529" s="853"/>
      <c r="Y529" s="853"/>
      <c r="Z529" s="853"/>
      <c r="AA529" s="853"/>
      <c r="AB529" s="853"/>
      <c r="AC529" s="853"/>
      <c r="AD529" s="853"/>
      <c r="AE529" s="853"/>
      <c r="AF529" s="853"/>
      <c r="AG529" s="853"/>
      <c r="AH529" s="446"/>
      <c r="AI529" s="446"/>
      <c r="AJ529" s="446"/>
      <c r="AK529" s="446"/>
      <c r="AL529" s="446"/>
      <c r="AM529" s="446"/>
      <c r="AN529" s="446"/>
      <c r="AO529" s="446"/>
      <c r="AP529" s="446"/>
      <c r="AQ529" s="446"/>
      <c r="AR529" s="446"/>
      <c r="AS529" s="446"/>
      <c r="AT529" s="446"/>
      <c r="AU529" s="446"/>
      <c r="AV529" s="446"/>
      <c r="AW529" s="446"/>
      <c r="AX529" s="446"/>
      <c r="AY529" s="446"/>
      <c r="AZ529" s="446"/>
      <c r="BA529" s="446"/>
      <c r="BB529" s="446"/>
      <c r="BC529" s="446"/>
      <c r="BD529" s="446"/>
      <c r="BE529" s="446"/>
      <c r="BF529" s="446"/>
      <c r="BG529" s="446"/>
      <c r="BH529" s="446"/>
      <c r="BI529" s="446"/>
      <c r="BJ529" s="446"/>
      <c r="BK529" s="446"/>
      <c r="BL529" s="446"/>
      <c r="BM529" s="446"/>
      <c r="BN529" s="446"/>
      <c r="BO529" s="446"/>
      <c r="BP529" s="446"/>
      <c r="BQ529" s="446"/>
      <c r="BR529" s="446"/>
      <c r="BS529" s="446"/>
      <c r="BT529" s="446"/>
      <c r="BU529" s="562"/>
      <c r="BV529" s="446"/>
      <c r="BW529" s="446"/>
      <c r="BX529" s="446"/>
      <c r="BY529" s="446"/>
      <c r="BZ529" s="446"/>
      <c r="CA529" s="446"/>
      <c r="CB529" s="446"/>
      <c r="CC529" s="446"/>
      <c r="CD529" s="446"/>
      <c r="CE529" s="446"/>
      <c r="CF529" s="446"/>
      <c r="CG529" s="446"/>
      <c r="CH529" s="446"/>
      <c r="CI529" s="446"/>
      <c r="CJ529" s="446"/>
      <c r="CK529" s="446"/>
      <c r="CL529" s="446"/>
      <c r="CM529" s="446"/>
      <c r="CN529" s="446"/>
      <c r="CO529" s="446"/>
      <c r="CP529" s="446"/>
      <c r="CQ529" s="446"/>
      <c r="CR529" s="446"/>
      <c r="CS529" s="446"/>
      <c r="CT529" s="446"/>
      <c r="CU529" s="446"/>
      <c r="CV529" s="446"/>
      <c r="CW529" s="851"/>
      <c r="CX529" s="446"/>
      <c r="CY529" s="446"/>
      <c r="CZ529" s="446"/>
      <c r="DA529" s="446"/>
      <c r="DB529" s="446"/>
      <c r="DC529" s="446"/>
      <c r="DD529" s="446"/>
      <c r="DE529" s="446"/>
      <c r="DF529" s="446"/>
      <c r="DG529" s="446"/>
      <c r="DH529" s="446"/>
      <c r="DI529" s="446"/>
      <c r="DJ529" s="446"/>
      <c r="DK529" s="446"/>
      <c r="DL529" s="446"/>
      <c r="DM529" s="446"/>
      <c r="DN529" s="446"/>
      <c r="DO529" s="446"/>
      <c r="DP529" s="446"/>
      <c r="DQ529" s="446"/>
      <c r="DR529" s="446"/>
      <c r="DS529" s="446"/>
      <c r="DT529" s="446"/>
      <c r="DU529" s="446"/>
      <c r="DV529" s="446"/>
      <c r="DW529" s="446"/>
      <c r="DX529" s="446"/>
      <c r="DY529" s="446"/>
      <c r="DZ529" s="283"/>
    </row>
    <row r="530" spans="2:130" s="223" customFormat="1" x14ac:dyDescent="0.2">
      <c r="B530" s="851"/>
      <c r="C530" s="851"/>
      <c r="D530" s="851"/>
      <c r="E530" s="820"/>
      <c r="F530" s="820"/>
      <c r="G530" s="853"/>
      <c r="H530" s="853"/>
      <c r="I530" s="853"/>
      <c r="J530" s="853"/>
      <c r="K530" s="853"/>
      <c r="L530" s="853"/>
      <c r="M530" s="853"/>
      <c r="N530" s="853"/>
      <c r="O530" s="853"/>
      <c r="P530" s="853"/>
      <c r="Q530" s="853"/>
      <c r="R530" s="853"/>
      <c r="S530" s="853"/>
      <c r="T530" s="853"/>
      <c r="U530" s="853"/>
      <c r="V530" s="853"/>
      <c r="W530" s="853"/>
      <c r="X530" s="853"/>
      <c r="Y530" s="853"/>
      <c r="Z530" s="853"/>
      <c r="AA530" s="853"/>
      <c r="AB530" s="853"/>
      <c r="AC530" s="853"/>
      <c r="AD530" s="853"/>
      <c r="AE530" s="853"/>
      <c r="AF530" s="853"/>
      <c r="AG530" s="853"/>
      <c r="AH530" s="446"/>
      <c r="AI530" s="446"/>
      <c r="AJ530" s="446"/>
      <c r="AK530" s="446"/>
      <c r="AL530" s="446"/>
      <c r="AM530" s="446"/>
      <c r="AN530" s="446"/>
      <c r="AO530" s="446"/>
      <c r="AP530" s="446"/>
      <c r="AQ530" s="446"/>
      <c r="AR530" s="446"/>
      <c r="AS530" s="446"/>
      <c r="AT530" s="446"/>
      <c r="AU530" s="446"/>
      <c r="AV530" s="446"/>
      <c r="AW530" s="446"/>
      <c r="AX530" s="446"/>
      <c r="AY530" s="446"/>
      <c r="AZ530" s="446"/>
      <c r="BA530" s="446"/>
      <c r="BB530" s="446"/>
      <c r="BC530" s="446"/>
      <c r="BD530" s="446"/>
      <c r="BE530" s="446"/>
      <c r="BF530" s="446"/>
      <c r="BG530" s="446"/>
      <c r="BH530" s="446"/>
      <c r="BI530" s="446"/>
      <c r="BJ530" s="446"/>
      <c r="BK530" s="446"/>
      <c r="BL530" s="446"/>
      <c r="BM530" s="446"/>
      <c r="BN530" s="446"/>
      <c r="BO530" s="446"/>
      <c r="BP530" s="446"/>
      <c r="BQ530" s="446"/>
      <c r="BR530" s="446"/>
      <c r="BS530" s="446"/>
      <c r="BT530" s="446"/>
      <c r="BU530" s="562"/>
      <c r="BV530" s="446"/>
      <c r="BW530" s="446"/>
      <c r="BX530" s="446"/>
      <c r="BY530" s="446"/>
      <c r="BZ530" s="446"/>
      <c r="CA530" s="446"/>
      <c r="CB530" s="446"/>
      <c r="CC530" s="446"/>
      <c r="CD530" s="446"/>
      <c r="CE530" s="446"/>
      <c r="CF530" s="446"/>
      <c r="CG530" s="446"/>
      <c r="CH530" s="446"/>
      <c r="CI530" s="446"/>
      <c r="CJ530" s="446"/>
      <c r="CK530" s="446"/>
      <c r="CL530" s="446"/>
      <c r="CM530" s="446"/>
      <c r="CN530" s="446"/>
      <c r="CO530" s="446"/>
      <c r="CP530" s="446"/>
      <c r="CQ530" s="446"/>
      <c r="CR530" s="446"/>
      <c r="CS530" s="446"/>
      <c r="CT530" s="446"/>
      <c r="CU530" s="446"/>
      <c r="CV530" s="446"/>
      <c r="CW530" s="851"/>
      <c r="CX530" s="446"/>
      <c r="CY530" s="446"/>
      <c r="CZ530" s="446"/>
      <c r="DA530" s="446"/>
      <c r="DB530" s="446"/>
      <c r="DC530" s="446"/>
      <c r="DD530" s="446"/>
      <c r="DE530" s="446"/>
      <c r="DF530" s="446"/>
      <c r="DG530" s="446"/>
      <c r="DH530" s="446"/>
      <c r="DI530" s="446"/>
      <c r="DJ530" s="446"/>
      <c r="DK530" s="446"/>
      <c r="DL530" s="446"/>
      <c r="DM530" s="446"/>
      <c r="DN530" s="446"/>
      <c r="DO530" s="446"/>
      <c r="DP530" s="446"/>
      <c r="DQ530" s="446"/>
      <c r="DR530" s="446"/>
      <c r="DS530" s="446"/>
      <c r="DT530" s="446"/>
      <c r="DU530" s="446"/>
      <c r="DV530" s="446"/>
      <c r="DW530" s="446"/>
      <c r="DX530" s="446"/>
      <c r="DY530" s="446"/>
      <c r="DZ530" s="283"/>
    </row>
    <row r="531" spans="2:130" s="223" customFormat="1" x14ac:dyDescent="0.2">
      <c r="B531" s="851"/>
      <c r="C531" s="851"/>
      <c r="D531" s="851"/>
      <c r="E531" s="820"/>
      <c r="F531" s="820"/>
      <c r="G531" s="853"/>
      <c r="H531" s="853"/>
      <c r="I531" s="853"/>
      <c r="J531" s="853"/>
      <c r="K531" s="853"/>
      <c r="L531" s="853"/>
      <c r="M531" s="853"/>
      <c r="N531" s="853"/>
      <c r="O531" s="853"/>
      <c r="P531" s="853"/>
      <c r="Q531" s="853"/>
      <c r="R531" s="853"/>
      <c r="S531" s="853"/>
      <c r="T531" s="853"/>
      <c r="U531" s="853"/>
      <c r="V531" s="853"/>
      <c r="W531" s="853"/>
      <c r="X531" s="853"/>
      <c r="Y531" s="853"/>
      <c r="Z531" s="853"/>
      <c r="AA531" s="853"/>
      <c r="AB531" s="853"/>
      <c r="AC531" s="853"/>
      <c r="AD531" s="853"/>
      <c r="AE531" s="853"/>
      <c r="AF531" s="853"/>
      <c r="AG531" s="853"/>
      <c r="AH531" s="446"/>
      <c r="AI531" s="446"/>
      <c r="AJ531" s="446"/>
      <c r="AK531" s="446"/>
      <c r="AL531" s="446"/>
      <c r="AM531" s="446"/>
      <c r="AN531" s="446"/>
      <c r="AO531" s="446"/>
      <c r="AP531" s="446"/>
      <c r="AQ531" s="446"/>
      <c r="AR531" s="446"/>
      <c r="AS531" s="446"/>
      <c r="AT531" s="446"/>
      <c r="AU531" s="446"/>
      <c r="AV531" s="446"/>
      <c r="AW531" s="446"/>
      <c r="AX531" s="446"/>
      <c r="AY531" s="446"/>
      <c r="AZ531" s="446"/>
      <c r="BA531" s="446"/>
      <c r="BB531" s="446"/>
      <c r="BC531" s="446"/>
      <c r="BD531" s="446"/>
      <c r="BE531" s="446"/>
      <c r="BF531" s="446"/>
      <c r="BG531" s="446"/>
      <c r="BH531" s="446"/>
      <c r="BI531" s="446"/>
      <c r="BJ531" s="446"/>
      <c r="BK531" s="446"/>
      <c r="BL531" s="446"/>
      <c r="BM531" s="446"/>
      <c r="BN531" s="446"/>
      <c r="BO531" s="446"/>
      <c r="BP531" s="446"/>
      <c r="BQ531" s="446"/>
      <c r="BR531" s="446"/>
      <c r="BS531" s="446"/>
      <c r="BT531" s="446"/>
      <c r="BU531" s="562"/>
      <c r="BV531" s="446"/>
      <c r="BW531" s="446"/>
      <c r="BX531" s="446"/>
      <c r="BY531" s="446"/>
      <c r="BZ531" s="446"/>
      <c r="CA531" s="446"/>
      <c r="CB531" s="446"/>
      <c r="CC531" s="446"/>
      <c r="CD531" s="446"/>
      <c r="CE531" s="446"/>
      <c r="CF531" s="446"/>
      <c r="CG531" s="446"/>
      <c r="CH531" s="446"/>
      <c r="CI531" s="446"/>
      <c r="CJ531" s="446"/>
      <c r="CK531" s="446"/>
      <c r="CL531" s="446"/>
      <c r="CM531" s="446"/>
      <c r="CN531" s="446"/>
      <c r="CO531" s="446"/>
      <c r="CP531" s="446"/>
      <c r="CQ531" s="446"/>
      <c r="CR531" s="446"/>
      <c r="CS531" s="446"/>
      <c r="CT531" s="446"/>
      <c r="CU531" s="446"/>
      <c r="CV531" s="446"/>
      <c r="CW531" s="851"/>
      <c r="CX531" s="446"/>
      <c r="CY531" s="446"/>
      <c r="CZ531" s="446"/>
      <c r="DA531" s="446"/>
      <c r="DB531" s="446"/>
      <c r="DC531" s="446"/>
      <c r="DD531" s="446"/>
      <c r="DE531" s="446"/>
      <c r="DF531" s="446"/>
      <c r="DG531" s="446"/>
      <c r="DH531" s="446"/>
      <c r="DI531" s="446"/>
      <c r="DJ531" s="446"/>
      <c r="DK531" s="446"/>
      <c r="DL531" s="446"/>
      <c r="DM531" s="446"/>
      <c r="DN531" s="446"/>
      <c r="DO531" s="446"/>
      <c r="DP531" s="446"/>
      <c r="DQ531" s="446"/>
      <c r="DR531" s="446"/>
      <c r="DS531" s="446"/>
      <c r="DT531" s="446"/>
      <c r="DU531" s="446"/>
      <c r="DV531" s="446"/>
      <c r="DW531" s="446"/>
      <c r="DX531" s="446"/>
      <c r="DY531" s="446"/>
      <c r="DZ531" s="283"/>
    </row>
    <row r="532" spans="2:130" s="223" customFormat="1" x14ac:dyDescent="0.2">
      <c r="B532" s="851"/>
      <c r="C532" s="851"/>
      <c r="D532" s="851"/>
      <c r="E532" s="820"/>
      <c r="F532" s="820"/>
      <c r="G532" s="853"/>
      <c r="H532" s="853"/>
      <c r="I532" s="853"/>
      <c r="J532" s="853"/>
      <c r="K532" s="853"/>
      <c r="L532" s="853"/>
      <c r="M532" s="853"/>
      <c r="N532" s="853"/>
      <c r="O532" s="853"/>
      <c r="P532" s="853"/>
      <c r="Q532" s="853"/>
      <c r="R532" s="853"/>
      <c r="S532" s="853"/>
      <c r="T532" s="853"/>
      <c r="U532" s="853"/>
      <c r="V532" s="853"/>
      <c r="W532" s="853"/>
      <c r="X532" s="853"/>
      <c r="Y532" s="853"/>
      <c r="Z532" s="853"/>
      <c r="AA532" s="853"/>
      <c r="AB532" s="853"/>
      <c r="AC532" s="853"/>
      <c r="AD532" s="853"/>
      <c r="AE532" s="853"/>
      <c r="AF532" s="853"/>
      <c r="AG532" s="853"/>
      <c r="AH532" s="446"/>
      <c r="AI532" s="446"/>
      <c r="AJ532" s="446"/>
      <c r="AK532" s="446"/>
      <c r="AL532" s="446"/>
      <c r="AM532" s="446"/>
      <c r="AN532" s="446"/>
      <c r="AO532" s="446"/>
      <c r="AP532" s="446"/>
      <c r="AQ532" s="446"/>
      <c r="AR532" s="446"/>
      <c r="AS532" s="446"/>
      <c r="AT532" s="446"/>
      <c r="AU532" s="446"/>
      <c r="AV532" s="446"/>
      <c r="AW532" s="446"/>
      <c r="AX532" s="446"/>
      <c r="AY532" s="446"/>
      <c r="AZ532" s="446"/>
      <c r="BA532" s="446"/>
      <c r="BB532" s="446"/>
      <c r="BC532" s="446"/>
      <c r="BD532" s="446"/>
      <c r="BE532" s="446"/>
      <c r="BF532" s="446"/>
      <c r="BG532" s="446"/>
      <c r="BH532" s="446"/>
      <c r="BI532" s="446"/>
      <c r="BJ532" s="446"/>
      <c r="BK532" s="446"/>
      <c r="BL532" s="446"/>
      <c r="BM532" s="446"/>
      <c r="BN532" s="446"/>
      <c r="BO532" s="446"/>
      <c r="BP532" s="446"/>
      <c r="BQ532" s="446"/>
      <c r="BR532" s="446"/>
      <c r="BS532" s="446"/>
      <c r="BT532" s="446"/>
      <c r="BU532" s="562"/>
      <c r="BV532" s="446"/>
      <c r="BW532" s="446"/>
      <c r="BX532" s="446"/>
      <c r="BY532" s="446"/>
      <c r="BZ532" s="446"/>
      <c r="CA532" s="446"/>
      <c r="CB532" s="446"/>
      <c r="CC532" s="446"/>
      <c r="CD532" s="446"/>
      <c r="CE532" s="446"/>
      <c r="CF532" s="446"/>
      <c r="CG532" s="446"/>
      <c r="CH532" s="446"/>
      <c r="CI532" s="446"/>
      <c r="CJ532" s="446"/>
      <c r="CK532" s="446"/>
      <c r="CL532" s="446"/>
      <c r="CM532" s="446"/>
      <c r="CN532" s="446"/>
      <c r="CO532" s="446"/>
      <c r="CP532" s="446"/>
      <c r="CQ532" s="446"/>
      <c r="CR532" s="446"/>
      <c r="CS532" s="446"/>
      <c r="CT532" s="446"/>
      <c r="CU532" s="446"/>
      <c r="CV532" s="446"/>
      <c r="CW532" s="851"/>
      <c r="CX532" s="446"/>
      <c r="CY532" s="446"/>
      <c r="CZ532" s="446"/>
      <c r="DA532" s="446"/>
      <c r="DB532" s="446"/>
      <c r="DC532" s="446"/>
      <c r="DD532" s="446"/>
      <c r="DE532" s="446"/>
      <c r="DF532" s="446"/>
      <c r="DG532" s="446"/>
      <c r="DH532" s="446"/>
      <c r="DI532" s="446"/>
      <c r="DJ532" s="446"/>
      <c r="DK532" s="446"/>
      <c r="DL532" s="446"/>
      <c r="DM532" s="446"/>
      <c r="DN532" s="446"/>
      <c r="DO532" s="446"/>
      <c r="DP532" s="446"/>
      <c r="DQ532" s="446"/>
      <c r="DR532" s="446"/>
      <c r="DS532" s="446"/>
      <c r="DT532" s="446"/>
      <c r="DU532" s="446"/>
      <c r="DV532" s="446"/>
      <c r="DW532" s="446"/>
      <c r="DX532" s="446"/>
      <c r="DY532" s="446"/>
      <c r="DZ532" s="283"/>
    </row>
    <row r="533" spans="2:130" s="223" customFormat="1" x14ac:dyDescent="0.2">
      <c r="B533" s="851"/>
      <c r="C533" s="851"/>
      <c r="D533" s="851"/>
      <c r="E533" s="820"/>
      <c r="F533" s="820"/>
      <c r="G533" s="853"/>
      <c r="H533" s="853"/>
      <c r="I533" s="853"/>
      <c r="J533" s="853"/>
      <c r="K533" s="853"/>
      <c r="L533" s="853"/>
      <c r="M533" s="853"/>
      <c r="N533" s="853"/>
      <c r="O533" s="853"/>
      <c r="P533" s="853"/>
      <c r="Q533" s="853"/>
      <c r="R533" s="853"/>
      <c r="S533" s="853"/>
      <c r="T533" s="853"/>
      <c r="U533" s="853"/>
      <c r="V533" s="853"/>
      <c r="W533" s="853"/>
      <c r="X533" s="853"/>
      <c r="Y533" s="853"/>
      <c r="Z533" s="853"/>
      <c r="AA533" s="853"/>
      <c r="AB533" s="853"/>
      <c r="AC533" s="853"/>
      <c r="AD533" s="853"/>
      <c r="AE533" s="853"/>
      <c r="AF533" s="853"/>
      <c r="AG533" s="853"/>
      <c r="AH533" s="446"/>
      <c r="AI533" s="446"/>
      <c r="AJ533" s="446"/>
      <c r="AK533" s="446"/>
      <c r="AL533" s="446"/>
      <c r="AM533" s="446"/>
      <c r="AN533" s="446"/>
      <c r="AO533" s="446"/>
      <c r="AP533" s="446"/>
      <c r="AQ533" s="446"/>
      <c r="AR533" s="446"/>
      <c r="AS533" s="446"/>
      <c r="AT533" s="446"/>
      <c r="AU533" s="446"/>
      <c r="AV533" s="446"/>
      <c r="AW533" s="446"/>
      <c r="AX533" s="446"/>
      <c r="AY533" s="446"/>
      <c r="AZ533" s="446"/>
      <c r="BA533" s="446"/>
      <c r="BB533" s="446"/>
      <c r="BC533" s="446"/>
      <c r="BD533" s="446"/>
      <c r="BE533" s="446"/>
      <c r="BF533" s="446"/>
      <c r="BG533" s="446"/>
      <c r="BH533" s="446"/>
      <c r="BI533" s="446"/>
      <c r="BJ533" s="446"/>
      <c r="BK533" s="446"/>
      <c r="BL533" s="446"/>
      <c r="BM533" s="446"/>
      <c r="BN533" s="446"/>
      <c r="BO533" s="446"/>
      <c r="BP533" s="446"/>
      <c r="BQ533" s="446"/>
      <c r="BR533" s="446"/>
      <c r="BS533" s="446"/>
      <c r="BT533" s="446"/>
      <c r="BU533" s="562"/>
      <c r="BV533" s="446"/>
      <c r="BW533" s="446"/>
      <c r="BX533" s="446"/>
      <c r="BY533" s="446"/>
      <c r="BZ533" s="446"/>
      <c r="CA533" s="446"/>
      <c r="CB533" s="446"/>
      <c r="CC533" s="446"/>
      <c r="CD533" s="446"/>
      <c r="CE533" s="446"/>
      <c r="CF533" s="446"/>
      <c r="CG533" s="446"/>
      <c r="CH533" s="446"/>
      <c r="CI533" s="446"/>
      <c r="CJ533" s="446"/>
      <c r="CK533" s="446"/>
      <c r="CL533" s="446"/>
      <c r="CM533" s="446"/>
      <c r="CN533" s="446"/>
      <c r="CO533" s="446"/>
      <c r="CP533" s="446"/>
      <c r="CQ533" s="446"/>
      <c r="CR533" s="446"/>
      <c r="CS533" s="446"/>
      <c r="CT533" s="446"/>
      <c r="CU533" s="446"/>
      <c r="CV533" s="446"/>
      <c r="CW533" s="851"/>
      <c r="CX533" s="446"/>
      <c r="CY533" s="446"/>
      <c r="CZ533" s="446"/>
      <c r="DA533" s="446"/>
      <c r="DB533" s="446"/>
      <c r="DC533" s="446"/>
      <c r="DD533" s="446"/>
      <c r="DE533" s="446"/>
      <c r="DF533" s="446"/>
      <c r="DG533" s="446"/>
      <c r="DH533" s="446"/>
      <c r="DI533" s="446"/>
      <c r="DJ533" s="446"/>
      <c r="DK533" s="446"/>
      <c r="DL533" s="446"/>
      <c r="DM533" s="446"/>
      <c r="DN533" s="446"/>
      <c r="DO533" s="446"/>
      <c r="DP533" s="446"/>
      <c r="DQ533" s="446"/>
      <c r="DR533" s="446"/>
      <c r="DS533" s="446"/>
      <c r="DT533" s="446"/>
      <c r="DU533" s="446"/>
      <c r="DV533" s="446"/>
      <c r="DW533" s="446"/>
      <c r="DX533" s="446"/>
      <c r="DY533" s="446"/>
      <c r="DZ533" s="283"/>
    </row>
    <row r="534" spans="2:130" s="223" customFormat="1" x14ac:dyDescent="0.2">
      <c r="B534" s="851"/>
      <c r="C534" s="851"/>
      <c r="D534" s="851"/>
      <c r="E534" s="820"/>
      <c r="F534" s="820"/>
      <c r="G534" s="853"/>
      <c r="H534" s="853"/>
      <c r="I534" s="853"/>
      <c r="J534" s="853"/>
      <c r="K534" s="853"/>
      <c r="L534" s="853"/>
      <c r="M534" s="853"/>
      <c r="N534" s="853"/>
      <c r="O534" s="853"/>
      <c r="P534" s="853"/>
      <c r="Q534" s="853"/>
      <c r="R534" s="853"/>
      <c r="S534" s="853"/>
      <c r="T534" s="853"/>
      <c r="U534" s="853"/>
      <c r="V534" s="853"/>
      <c r="W534" s="853"/>
      <c r="X534" s="853"/>
      <c r="Y534" s="853"/>
      <c r="Z534" s="853"/>
      <c r="AA534" s="853"/>
      <c r="AB534" s="853"/>
      <c r="AC534" s="853"/>
      <c r="AD534" s="853"/>
      <c r="AE534" s="853"/>
      <c r="AF534" s="853"/>
      <c r="AG534" s="853"/>
      <c r="AH534" s="446"/>
      <c r="AI534" s="446"/>
      <c r="AJ534" s="446"/>
      <c r="AK534" s="446"/>
      <c r="AL534" s="446"/>
      <c r="AM534" s="446"/>
      <c r="AN534" s="446"/>
      <c r="AO534" s="446"/>
      <c r="AP534" s="446"/>
      <c r="AQ534" s="446"/>
      <c r="AR534" s="446"/>
      <c r="AS534" s="446"/>
      <c r="AT534" s="446"/>
      <c r="AU534" s="446"/>
      <c r="AV534" s="446"/>
      <c r="AW534" s="446"/>
      <c r="AX534" s="446"/>
      <c r="AY534" s="446"/>
      <c r="AZ534" s="446"/>
      <c r="BA534" s="446"/>
      <c r="BB534" s="446"/>
      <c r="BC534" s="446"/>
      <c r="BD534" s="446"/>
      <c r="BE534" s="446"/>
      <c r="BF534" s="446"/>
      <c r="BG534" s="446"/>
      <c r="BH534" s="446"/>
      <c r="BI534" s="446"/>
      <c r="BJ534" s="446"/>
      <c r="BK534" s="446"/>
      <c r="BL534" s="446"/>
      <c r="BM534" s="446"/>
      <c r="BN534" s="446"/>
      <c r="BO534" s="446"/>
      <c r="BP534" s="446"/>
      <c r="BQ534" s="446"/>
      <c r="BR534" s="446"/>
      <c r="BS534" s="446"/>
      <c r="BT534" s="446"/>
      <c r="BU534" s="562"/>
      <c r="BV534" s="446"/>
      <c r="BW534" s="446"/>
      <c r="BX534" s="446"/>
      <c r="BY534" s="446"/>
      <c r="BZ534" s="446"/>
      <c r="CA534" s="446"/>
      <c r="CB534" s="446"/>
      <c r="CC534" s="446"/>
      <c r="CD534" s="446"/>
      <c r="CE534" s="446"/>
      <c r="CF534" s="446"/>
      <c r="CG534" s="446"/>
      <c r="CH534" s="446"/>
      <c r="CI534" s="446"/>
      <c r="CJ534" s="446"/>
      <c r="CK534" s="446"/>
      <c r="CL534" s="446"/>
      <c r="CM534" s="446"/>
      <c r="CN534" s="446"/>
      <c r="CO534" s="446"/>
      <c r="CP534" s="446"/>
      <c r="CQ534" s="446"/>
      <c r="CR534" s="446"/>
      <c r="CS534" s="446"/>
      <c r="CT534" s="446"/>
      <c r="CU534" s="446"/>
      <c r="CV534" s="446"/>
      <c r="CW534" s="851"/>
      <c r="CX534" s="446"/>
      <c r="CY534" s="446"/>
      <c r="CZ534" s="446"/>
      <c r="DA534" s="446"/>
      <c r="DB534" s="446"/>
      <c r="DC534" s="446"/>
      <c r="DD534" s="446"/>
      <c r="DE534" s="446"/>
      <c r="DF534" s="446"/>
      <c r="DG534" s="446"/>
      <c r="DH534" s="446"/>
      <c r="DI534" s="446"/>
      <c r="DJ534" s="446"/>
      <c r="DK534" s="446"/>
      <c r="DL534" s="446"/>
      <c r="DM534" s="446"/>
      <c r="DN534" s="446"/>
      <c r="DO534" s="446"/>
      <c r="DP534" s="446"/>
      <c r="DQ534" s="446"/>
      <c r="DR534" s="446"/>
      <c r="DS534" s="446"/>
      <c r="DT534" s="446"/>
      <c r="DU534" s="446"/>
      <c r="DV534" s="446"/>
      <c r="DW534" s="446"/>
      <c r="DX534" s="446"/>
      <c r="DY534" s="446"/>
      <c r="DZ534" s="283"/>
    </row>
    <row r="535" spans="2:130" s="223" customFormat="1" x14ac:dyDescent="0.2">
      <c r="B535" s="851"/>
      <c r="C535" s="851"/>
      <c r="D535" s="851"/>
      <c r="E535" s="820"/>
      <c r="F535" s="820"/>
      <c r="G535" s="853"/>
      <c r="H535" s="853"/>
      <c r="I535" s="853"/>
      <c r="J535" s="853"/>
      <c r="K535" s="853"/>
      <c r="L535" s="853"/>
      <c r="M535" s="853"/>
      <c r="N535" s="853"/>
      <c r="O535" s="853"/>
      <c r="P535" s="853"/>
      <c r="Q535" s="853"/>
      <c r="R535" s="853"/>
      <c r="S535" s="853"/>
      <c r="T535" s="853"/>
      <c r="U535" s="853"/>
      <c r="V535" s="853"/>
      <c r="W535" s="853"/>
      <c r="X535" s="853"/>
      <c r="Y535" s="853"/>
      <c r="Z535" s="853"/>
      <c r="AA535" s="853"/>
      <c r="AB535" s="853"/>
      <c r="AC535" s="853"/>
      <c r="AD535" s="853"/>
      <c r="AE535" s="853"/>
      <c r="AF535" s="853"/>
      <c r="AG535" s="853"/>
      <c r="AH535" s="446"/>
      <c r="AI535" s="446"/>
      <c r="AJ535" s="446"/>
      <c r="AK535" s="446"/>
      <c r="AL535" s="446"/>
      <c r="AM535" s="446"/>
      <c r="AN535" s="446"/>
      <c r="AO535" s="446"/>
      <c r="AP535" s="446"/>
      <c r="AQ535" s="446"/>
      <c r="AR535" s="446"/>
      <c r="AS535" s="446"/>
      <c r="AT535" s="446"/>
      <c r="AU535" s="446"/>
      <c r="AV535" s="446"/>
      <c r="AW535" s="446"/>
      <c r="AX535" s="446"/>
      <c r="AY535" s="446"/>
      <c r="AZ535" s="446"/>
      <c r="BA535" s="446"/>
      <c r="BB535" s="446"/>
      <c r="BC535" s="446"/>
      <c r="BD535" s="446"/>
      <c r="BE535" s="446"/>
      <c r="BF535" s="446"/>
      <c r="BG535" s="446"/>
      <c r="BH535" s="446"/>
      <c r="BI535" s="446"/>
      <c r="BJ535" s="446"/>
      <c r="BK535" s="446"/>
      <c r="BL535" s="446"/>
      <c r="BM535" s="446"/>
      <c r="BN535" s="446"/>
      <c r="BO535" s="446"/>
      <c r="BP535" s="446"/>
      <c r="BQ535" s="446"/>
      <c r="BR535" s="446"/>
      <c r="BS535" s="446"/>
      <c r="BT535" s="446"/>
      <c r="BU535" s="562"/>
      <c r="BV535" s="446"/>
      <c r="BW535" s="446"/>
      <c r="BX535" s="446"/>
      <c r="BY535" s="446"/>
      <c r="BZ535" s="446"/>
      <c r="CA535" s="446"/>
      <c r="CB535" s="446"/>
      <c r="CC535" s="446"/>
      <c r="CD535" s="446"/>
      <c r="CE535" s="446"/>
      <c r="CF535" s="446"/>
      <c r="CG535" s="446"/>
      <c r="CH535" s="446"/>
      <c r="CI535" s="446"/>
      <c r="CJ535" s="446"/>
      <c r="CK535" s="446"/>
      <c r="CL535" s="446"/>
      <c r="CM535" s="446"/>
      <c r="CN535" s="446"/>
      <c r="CO535" s="446"/>
      <c r="CP535" s="446"/>
      <c r="CQ535" s="446"/>
      <c r="CR535" s="446"/>
      <c r="CS535" s="446"/>
      <c r="CT535" s="446"/>
      <c r="CU535" s="446"/>
      <c r="CV535" s="446"/>
      <c r="CW535" s="851"/>
      <c r="CX535" s="446"/>
      <c r="CY535" s="446"/>
      <c r="CZ535" s="446"/>
      <c r="DA535" s="446"/>
      <c r="DB535" s="446"/>
      <c r="DC535" s="446"/>
      <c r="DD535" s="446"/>
      <c r="DE535" s="446"/>
      <c r="DF535" s="446"/>
      <c r="DG535" s="446"/>
      <c r="DH535" s="446"/>
      <c r="DI535" s="446"/>
      <c r="DJ535" s="446"/>
      <c r="DK535" s="446"/>
      <c r="DL535" s="446"/>
      <c r="DM535" s="446"/>
      <c r="DN535" s="446"/>
      <c r="DO535" s="446"/>
      <c r="DP535" s="446"/>
      <c r="DQ535" s="446"/>
      <c r="DR535" s="446"/>
      <c r="DS535" s="446"/>
      <c r="DT535" s="446"/>
      <c r="DU535" s="446"/>
      <c r="DV535" s="446"/>
      <c r="DW535" s="446"/>
      <c r="DX535" s="446"/>
      <c r="DY535" s="446"/>
      <c r="DZ535" s="283"/>
    </row>
    <row r="536" spans="2:130" s="223" customFormat="1" x14ac:dyDescent="0.2">
      <c r="B536" s="851"/>
      <c r="C536" s="851"/>
      <c r="D536" s="851"/>
      <c r="E536" s="820"/>
      <c r="F536" s="820"/>
      <c r="G536" s="853"/>
      <c r="H536" s="853"/>
      <c r="I536" s="853"/>
      <c r="J536" s="853"/>
      <c r="K536" s="853"/>
      <c r="L536" s="853"/>
      <c r="M536" s="853"/>
      <c r="N536" s="853"/>
      <c r="O536" s="853"/>
      <c r="P536" s="853"/>
      <c r="Q536" s="853"/>
      <c r="R536" s="853"/>
      <c r="S536" s="853"/>
      <c r="T536" s="853"/>
      <c r="U536" s="853"/>
      <c r="V536" s="853"/>
      <c r="W536" s="853"/>
      <c r="X536" s="853"/>
      <c r="Y536" s="853"/>
      <c r="Z536" s="853"/>
      <c r="AA536" s="853"/>
      <c r="AB536" s="853"/>
      <c r="AC536" s="853"/>
      <c r="AD536" s="853"/>
      <c r="AE536" s="853"/>
      <c r="AF536" s="853"/>
      <c r="AG536" s="853"/>
      <c r="AH536" s="446"/>
      <c r="AI536" s="446"/>
      <c r="AJ536" s="446"/>
      <c r="AK536" s="446"/>
      <c r="AL536" s="446"/>
      <c r="AM536" s="446"/>
      <c r="AN536" s="446"/>
      <c r="AO536" s="446"/>
      <c r="AP536" s="446"/>
      <c r="AQ536" s="446"/>
      <c r="AR536" s="446"/>
      <c r="AS536" s="446"/>
      <c r="AT536" s="446"/>
      <c r="AU536" s="446"/>
      <c r="AV536" s="446"/>
      <c r="AW536" s="446"/>
      <c r="AX536" s="446"/>
      <c r="AY536" s="446"/>
      <c r="AZ536" s="446"/>
      <c r="BA536" s="446"/>
      <c r="BB536" s="446"/>
      <c r="BC536" s="446"/>
      <c r="BD536" s="446"/>
      <c r="BE536" s="446"/>
      <c r="BF536" s="446"/>
      <c r="BG536" s="446"/>
      <c r="BH536" s="446"/>
      <c r="BI536" s="446"/>
      <c r="BJ536" s="446"/>
      <c r="BK536" s="446"/>
      <c r="BL536" s="446"/>
      <c r="BM536" s="446"/>
      <c r="BN536" s="446"/>
      <c r="BO536" s="446"/>
      <c r="BP536" s="446"/>
      <c r="BQ536" s="446"/>
      <c r="BR536" s="446"/>
      <c r="BS536" s="446"/>
      <c r="BT536" s="446"/>
      <c r="BU536" s="562"/>
      <c r="BV536" s="446"/>
      <c r="BW536" s="446"/>
      <c r="BX536" s="446"/>
      <c r="BY536" s="446"/>
      <c r="BZ536" s="446"/>
      <c r="CA536" s="446"/>
      <c r="CB536" s="446"/>
      <c r="CC536" s="446"/>
      <c r="CD536" s="446"/>
      <c r="CE536" s="446"/>
      <c r="CF536" s="446"/>
      <c r="CG536" s="446"/>
      <c r="CH536" s="446"/>
      <c r="CI536" s="446"/>
      <c r="CJ536" s="446"/>
      <c r="CK536" s="446"/>
      <c r="CL536" s="446"/>
      <c r="CM536" s="446"/>
      <c r="CN536" s="446"/>
      <c r="CO536" s="446"/>
      <c r="CP536" s="446"/>
      <c r="CQ536" s="446"/>
      <c r="CR536" s="446"/>
      <c r="CS536" s="446"/>
      <c r="CT536" s="446"/>
      <c r="CU536" s="446"/>
      <c r="CV536" s="446"/>
      <c r="CW536" s="851"/>
      <c r="CX536" s="446"/>
      <c r="CY536" s="446"/>
      <c r="CZ536" s="446"/>
      <c r="DA536" s="446"/>
      <c r="DB536" s="446"/>
      <c r="DC536" s="446"/>
      <c r="DD536" s="446"/>
      <c r="DE536" s="446"/>
      <c r="DF536" s="446"/>
      <c r="DG536" s="446"/>
      <c r="DH536" s="446"/>
      <c r="DI536" s="446"/>
      <c r="DJ536" s="446"/>
      <c r="DK536" s="446"/>
      <c r="DL536" s="446"/>
      <c r="DM536" s="446"/>
      <c r="DN536" s="446"/>
      <c r="DO536" s="446"/>
      <c r="DP536" s="446"/>
      <c r="DQ536" s="446"/>
      <c r="DR536" s="446"/>
      <c r="DS536" s="446"/>
      <c r="DT536" s="446"/>
      <c r="DU536" s="446"/>
      <c r="DV536" s="446"/>
      <c r="DW536" s="446"/>
      <c r="DX536" s="446"/>
      <c r="DY536" s="446"/>
      <c r="DZ536" s="283"/>
    </row>
    <row r="537" spans="2:130" s="223" customFormat="1" x14ac:dyDescent="0.2">
      <c r="B537" s="851"/>
      <c r="C537" s="851"/>
      <c r="D537" s="851"/>
      <c r="E537" s="820"/>
      <c r="F537" s="820"/>
      <c r="G537" s="853"/>
      <c r="H537" s="853"/>
      <c r="I537" s="853"/>
      <c r="J537" s="853"/>
      <c r="K537" s="853"/>
      <c r="L537" s="853"/>
      <c r="M537" s="853"/>
      <c r="N537" s="853"/>
      <c r="O537" s="853"/>
      <c r="P537" s="853"/>
      <c r="Q537" s="853"/>
      <c r="R537" s="853"/>
      <c r="S537" s="853"/>
      <c r="T537" s="853"/>
      <c r="U537" s="853"/>
      <c r="V537" s="853"/>
      <c r="W537" s="853"/>
      <c r="X537" s="853"/>
      <c r="Y537" s="853"/>
      <c r="Z537" s="853"/>
      <c r="AA537" s="853"/>
      <c r="AB537" s="853"/>
      <c r="AC537" s="853"/>
      <c r="AD537" s="853"/>
      <c r="AE537" s="853"/>
      <c r="AF537" s="853"/>
      <c r="AG537" s="853"/>
      <c r="AH537" s="446"/>
      <c r="AI537" s="446"/>
      <c r="AJ537" s="446"/>
      <c r="AK537" s="446"/>
      <c r="AL537" s="446"/>
      <c r="AM537" s="446"/>
      <c r="AN537" s="446"/>
      <c r="AO537" s="446"/>
      <c r="AP537" s="446"/>
      <c r="AQ537" s="446"/>
      <c r="AR537" s="446"/>
      <c r="AS537" s="446"/>
      <c r="AT537" s="446"/>
      <c r="AU537" s="446"/>
      <c r="AV537" s="446"/>
      <c r="AW537" s="446"/>
      <c r="AX537" s="446"/>
      <c r="AY537" s="446"/>
      <c r="AZ537" s="446"/>
      <c r="BA537" s="446"/>
      <c r="BB537" s="446"/>
      <c r="BC537" s="446"/>
      <c r="BD537" s="446"/>
      <c r="BE537" s="446"/>
      <c r="BF537" s="446"/>
      <c r="BG537" s="446"/>
      <c r="BH537" s="446"/>
      <c r="BI537" s="446"/>
      <c r="BJ537" s="446"/>
      <c r="BK537" s="446"/>
      <c r="BL537" s="446"/>
      <c r="BM537" s="446"/>
      <c r="BN537" s="446"/>
      <c r="BO537" s="446"/>
      <c r="BP537" s="446"/>
      <c r="BQ537" s="446"/>
      <c r="BR537" s="446"/>
      <c r="BS537" s="446"/>
      <c r="BT537" s="446"/>
      <c r="BU537" s="562"/>
      <c r="BV537" s="446"/>
      <c r="BW537" s="446"/>
      <c r="BX537" s="446"/>
      <c r="BY537" s="446"/>
      <c r="BZ537" s="446"/>
      <c r="CA537" s="446"/>
      <c r="CB537" s="446"/>
      <c r="CC537" s="446"/>
      <c r="CD537" s="446"/>
      <c r="CE537" s="446"/>
      <c r="CF537" s="446"/>
      <c r="CG537" s="446"/>
      <c r="CH537" s="446"/>
      <c r="CI537" s="446"/>
      <c r="CJ537" s="446"/>
      <c r="CK537" s="446"/>
      <c r="CL537" s="446"/>
      <c r="CM537" s="446"/>
      <c r="CN537" s="446"/>
      <c r="CO537" s="446"/>
      <c r="CP537" s="446"/>
      <c r="CQ537" s="446"/>
      <c r="CR537" s="446"/>
      <c r="CS537" s="446"/>
      <c r="CT537" s="446"/>
      <c r="CU537" s="446"/>
      <c r="CV537" s="446"/>
      <c r="CW537" s="851"/>
      <c r="CX537" s="446"/>
      <c r="CY537" s="446"/>
      <c r="CZ537" s="446"/>
      <c r="DA537" s="446"/>
      <c r="DB537" s="446"/>
      <c r="DC537" s="446"/>
      <c r="DD537" s="446"/>
      <c r="DE537" s="446"/>
      <c r="DF537" s="446"/>
      <c r="DG537" s="446"/>
      <c r="DH537" s="446"/>
      <c r="DI537" s="446"/>
      <c r="DJ537" s="446"/>
      <c r="DK537" s="446"/>
      <c r="DL537" s="446"/>
      <c r="DM537" s="446"/>
      <c r="DN537" s="446"/>
      <c r="DO537" s="446"/>
      <c r="DP537" s="446"/>
      <c r="DQ537" s="446"/>
      <c r="DR537" s="446"/>
      <c r="DS537" s="446"/>
      <c r="DT537" s="446"/>
      <c r="DU537" s="446"/>
      <c r="DV537" s="446"/>
      <c r="DW537" s="446"/>
      <c r="DX537" s="446"/>
      <c r="DY537" s="446"/>
      <c r="DZ537" s="283"/>
    </row>
    <row r="538" spans="2:130" s="223" customFormat="1" x14ac:dyDescent="0.2">
      <c r="B538" s="851"/>
      <c r="C538" s="851"/>
      <c r="D538" s="851"/>
      <c r="E538" s="820"/>
      <c r="F538" s="820"/>
      <c r="G538" s="853"/>
      <c r="H538" s="853"/>
      <c r="I538" s="853"/>
      <c r="J538" s="853"/>
      <c r="K538" s="853"/>
      <c r="L538" s="853"/>
      <c r="M538" s="853"/>
      <c r="N538" s="853"/>
      <c r="O538" s="853"/>
      <c r="P538" s="853"/>
      <c r="Q538" s="853"/>
      <c r="R538" s="853"/>
      <c r="S538" s="853"/>
      <c r="T538" s="853"/>
      <c r="U538" s="853"/>
      <c r="V538" s="853"/>
      <c r="W538" s="853"/>
      <c r="X538" s="853"/>
      <c r="Y538" s="853"/>
      <c r="Z538" s="853"/>
      <c r="AA538" s="853"/>
      <c r="AB538" s="853"/>
      <c r="AC538" s="853"/>
      <c r="AD538" s="853"/>
      <c r="AE538" s="853"/>
      <c r="AF538" s="853"/>
      <c r="AG538" s="853"/>
      <c r="AH538" s="446"/>
      <c r="AI538" s="446"/>
      <c r="AJ538" s="446"/>
      <c r="AK538" s="446"/>
      <c r="AL538" s="446"/>
      <c r="AM538" s="446"/>
      <c r="AN538" s="446"/>
      <c r="AO538" s="446"/>
      <c r="AP538" s="446"/>
      <c r="AQ538" s="446"/>
      <c r="AR538" s="446"/>
      <c r="AS538" s="446"/>
      <c r="AT538" s="446"/>
      <c r="AU538" s="446"/>
      <c r="AV538" s="446"/>
      <c r="AW538" s="446"/>
      <c r="AX538" s="446"/>
      <c r="AY538" s="446"/>
      <c r="AZ538" s="446"/>
      <c r="BA538" s="446"/>
      <c r="BB538" s="446"/>
      <c r="BC538" s="446"/>
      <c r="BD538" s="446"/>
      <c r="BE538" s="446"/>
      <c r="BF538" s="446"/>
      <c r="BG538" s="446"/>
      <c r="BH538" s="446"/>
      <c r="BI538" s="446"/>
      <c r="BJ538" s="446"/>
      <c r="BK538" s="446"/>
      <c r="BL538" s="446"/>
      <c r="BM538" s="446"/>
      <c r="BN538" s="446"/>
      <c r="BO538" s="446"/>
      <c r="BP538" s="446"/>
      <c r="BQ538" s="446"/>
      <c r="BR538" s="446"/>
      <c r="BS538" s="446"/>
      <c r="BT538" s="446"/>
      <c r="BU538" s="562"/>
      <c r="BV538" s="446"/>
      <c r="BW538" s="446"/>
      <c r="BX538" s="446"/>
      <c r="BY538" s="446"/>
      <c r="BZ538" s="446"/>
      <c r="CA538" s="446"/>
      <c r="CB538" s="446"/>
      <c r="CC538" s="446"/>
      <c r="CD538" s="446"/>
      <c r="CE538" s="446"/>
      <c r="CF538" s="446"/>
      <c r="CG538" s="446"/>
      <c r="CH538" s="446"/>
      <c r="CI538" s="446"/>
      <c r="CJ538" s="446"/>
      <c r="CK538" s="446"/>
      <c r="CL538" s="446"/>
      <c r="CM538" s="446"/>
      <c r="CN538" s="446"/>
      <c r="CO538" s="446"/>
      <c r="CP538" s="446"/>
      <c r="CQ538" s="446"/>
      <c r="CR538" s="446"/>
      <c r="CS538" s="446"/>
      <c r="CT538" s="446"/>
      <c r="CU538" s="446"/>
      <c r="CV538" s="446"/>
      <c r="CW538" s="851"/>
      <c r="CX538" s="446"/>
      <c r="CY538" s="446"/>
      <c r="CZ538" s="446"/>
      <c r="DA538" s="446"/>
      <c r="DB538" s="446"/>
      <c r="DC538" s="446"/>
      <c r="DD538" s="446"/>
      <c r="DE538" s="446"/>
      <c r="DF538" s="446"/>
      <c r="DG538" s="446"/>
      <c r="DH538" s="446"/>
      <c r="DI538" s="446"/>
      <c r="DJ538" s="446"/>
      <c r="DK538" s="446"/>
      <c r="DL538" s="446"/>
      <c r="DM538" s="446"/>
      <c r="DN538" s="446"/>
      <c r="DO538" s="446"/>
      <c r="DP538" s="446"/>
      <c r="DQ538" s="446"/>
      <c r="DR538" s="446"/>
      <c r="DS538" s="446"/>
      <c r="DT538" s="446"/>
      <c r="DU538" s="446"/>
      <c r="DV538" s="446"/>
      <c r="DW538" s="446"/>
      <c r="DX538" s="446"/>
      <c r="DY538" s="446"/>
      <c r="DZ538" s="283"/>
    </row>
    <row r="539" spans="2:130" s="223" customFormat="1" x14ac:dyDescent="0.2">
      <c r="B539" s="851"/>
      <c r="C539" s="851"/>
      <c r="D539" s="851"/>
      <c r="E539" s="820"/>
      <c r="F539" s="820"/>
      <c r="G539" s="853"/>
      <c r="H539" s="853"/>
      <c r="I539" s="853"/>
      <c r="J539" s="853"/>
      <c r="K539" s="853"/>
      <c r="L539" s="853"/>
      <c r="M539" s="853"/>
      <c r="N539" s="853"/>
      <c r="O539" s="853"/>
      <c r="P539" s="853"/>
      <c r="Q539" s="853"/>
      <c r="R539" s="853"/>
      <c r="S539" s="853"/>
      <c r="T539" s="853"/>
      <c r="U539" s="853"/>
      <c r="V539" s="853"/>
      <c r="W539" s="853"/>
      <c r="X539" s="853"/>
      <c r="Y539" s="853"/>
      <c r="Z539" s="853"/>
      <c r="AA539" s="853"/>
      <c r="AB539" s="853"/>
      <c r="AC539" s="853"/>
      <c r="AD539" s="853"/>
      <c r="AE539" s="853"/>
      <c r="AF539" s="853"/>
      <c r="AG539" s="853"/>
      <c r="AH539" s="446"/>
      <c r="AI539" s="446"/>
      <c r="AJ539" s="446"/>
      <c r="AK539" s="446"/>
      <c r="AL539" s="446"/>
      <c r="AM539" s="446"/>
      <c r="AN539" s="446"/>
      <c r="AO539" s="446"/>
      <c r="AP539" s="446"/>
      <c r="AQ539" s="446"/>
      <c r="AR539" s="446"/>
      <c r="AS539" s="446"/>
      <c r="AT539" s="446"/>
      <c r="AU539" s="446"/>
      <c r="AV539" s="446"/>
      <c r="AW539" s="446"/>
      <c r="AX539" s="446"/>
      <c r="AY539" s="446"/>
      <c r="AZ539" s="446"/>
      <c r="BA539" s="446"/>
      <c r="BB539" s="446"/>
      <c r="BC539" s="446"/>
      <c r="BD539" s="446"/>
      <c r="BE539" s="446"/>
      <c r="BF539" s="446"/>
      <c r="BG539" s="446"/>
      <c r="BH539" s="446"/>
      <c r="BI539" s="446"/>
      <c r="BJ539" s="446"/>
      <c r="BK539" s="446"/>
      <c r="BL539" s="446"/>
      <c r="BM539" s="446"/>
      <c r="BN539" s="446"/>
      <c r="BO539" s="446"/>
      <c r="BP539" s="446"/>
      <c r="BQ539" s="446"/>
      <c r="BR539" s="446"/>
      <c r="BS539" s="446"/>
      <c r="BT539" s="446"/>
      <c r="BU539" s="562"/>
      <c r="BV539" s="446"/>
      <c r="BW539" s="446"/>
      <c r="BX539" s="446"/>
      <c r="BY539" s="446"/>
      <c r="BZ539" s="446"/>
      <c r="CA539" s="446"/>
      <c r="CB539" s="446"/>
      <c r="CC539" s="446"/>
      <c r="CD539" s="446"/>
      <c r="CE539" s="446"/>
      <c r="CF539" s="446"/>
      <c r="CG539" s="446"/>
      <c r="CH539" s="446"/>
      <c r="CI539" s="446"/>
      <c r="CJ539" s="446"/>
      <c r="CK539" s="446"/>
      <c r="CL539" s="446"/>
      <c r="CM539" s="446"/>
      <c r="CN539" s="446"/>
      <c r="CO539" s="446"/>
      <c r="CP539" s="446"/>
      <c r="CQ539" s="446"/>
      <c r="CR539" s="446"/>
      <c r="CS539" s="446"/>
      <c r="CT539" s="446"/>
      <c r="CU539" s="446"/>
      <c r="CV539" s="446"/>
      <c r="CW539" s="851"/>
      <c r="CX539" s="446"/>
      <c r="CY539" s="446"/>
      <c r="CZ539" s="446"/>
      <c r="DA539" s="446"/>
      <c r="DB539" s="446"/>
      <c r="DC539" s="446"/>
      <c r="DD539" s="446"/>
      <c r="DE539" s="446"/>
      <c r="DF539" s="446"/>
      <c r="DG539" s="446"/>
      <c r="DH539" s="446"/>
      <c r="DI539" s="446"/>
      <c r="DJ539" s="446"/>
      <c r="DK539" s="446"/>
      <c r="DL539" s="446"/>
      <c r="DM539" s="446"/>
      <c r="DN539" s="446"/>
      <c r="DO539" s="446"/>
      <c r="DP539" s="446"/>
      <c r="DQ539" s="446"/>
      <c r="DR539" s="446"/>
      <c r="DS539" s="446"/>
      <c r="DT539" s="446"/>
      <c r="DU539" s="446"/>
      <c r="DV539" s="446"/>
      <c r="DW539" s="446"/>
      <c r="DX539" s="446"/>
      <c r="DY539" s="446"/>
      <c r="DZ539" s="283"/>
    </row>
    <row r="540" spans="2:130" s="223" customFormat="1" x14ac:dyDescent="0.2">
      <c r="B540" s="851"/>
      <c r="C540" s="851"/>
      <c r="D540" s="851"/>
      <c r="E540" s="820"/>
      <c r="F540" s="820"/>
      <c r="G540" s="853"/>
      <c r="H540" s="853"/>
      <c r="I540" s="853"/>
      <c r="J540" s="853"/>
      <c r="K540" s="853"/>
      <c r="L540" s="853"/>
      <c r="M540" s="853"/>
      <c r="N540" s="853"/>
      <c r="O540" s="853"/>
      <c r="P540" s="853"/>
      <c r="Q540" s="853"/>
      <c r="R540" s="853"/>
      <c r="S540" s="853"/>
      <c r="T540" s="853"/>
      <c r="U540" s="853"/>
      <c r="V540" s="853"/>
      <c r="W540" s="853"/>
      <c r="X540" s="853"/>
      <c r="Y540" s="853"/>
      <c r="Z540" s="853"/>
      <c r="AA540" s="853"/>
      <c r="AB540" s="853"/>
      <c r="AC540" s="853"/>
      <c r="AD540" s="853"/>
      <c r="AE540" s="853"/>
      <c r="AF540" s="853"/>
      <c r="AG540" s="853"/>
      <c r="AH540" s="446"/>
      <c r="AI540" s="446"/>
      <c r="AJ540" s="446"/>
      <c r="AK540" s="446"/>
      <c r="AL540" s="446"/>
      <c r="AM540" s="446"/>
      <c r="AN540" s="446"/>
      <c r="AO540" s="446"/>
      <c r="AP540" s="446"/>
      <c r="AQ540" s="446"/>
      <c r="AR540" s="446"/>
      <c r="AS540" s="446"/>
      <c r="AT540" s="446"/>
      <c r="AU540" s="446"/>
      <c r="AV540" s="446"/>
      <c r="AW540" s="446"/>
      <c r="AX540" s="446"/>
      <c r="AY540" s="446"/>
      <c r="AZ540" s="446"/>
      <c r="BA540" s="446"/>
      <c r="BB540" s="446"/>
      <c r="BC540" s="446"/>
      <c r="BD540" s="446"/>
      <c r="BE540" s="446"/>
      <c r="BF540" s="446"/>
      <c r="BG540" s="446"/>
      <c r="BH540" s="446"/>
      <c r="BI540" s="446"/>
      <c r="BJ540" s="446"/>
      <c r="BK540" s="446"/>
      <c r="BL540" s="446"/>
      <c r="BM540" s="446"/>
      <c r="BN540" s="446"/>
      <c r="BO540" s="446"/>
      <c r="BP540" s="446"/>
      <c r="BQ540" s="446"/>
      <c r="BR540" s="446"/>
      <c r="BS540" s="446"/>
      <c r="BT540" s="446"/>
      <c r="BU540" s="562"/>
      <c r="BV540" s="446"/>
      <c r="BW540" s="446"/>
      <c r="BX540" s="446"/>
      <c r="BY540" s="446"/>
      <c r="BZ540" s="446"/>
      <c r="CA540" s="446"/>
      <c r="CB540" s="446"/>
      <c r="CC540" s="446"/>
      <c r="CD540" s="446"/>
      <c r="CE540" s="446"/>
      <c r="CF540" s="446"/>
      <c r="CG540" s="446"/>
      <c r="CH540" s="446"/>
      <c r="CI540" s="446"/>
      <c r="CJ540" s="446"/>
      <c r="CK540" s="446"/>
      <c r="CL540" s="446"/>
      <c r="CM540" s="446"/>
      <c r="CN540" s="446"/>
      <c r="CO540" s="446"/>
      <c r="CP540" s="446"/>
      <c r="CQ540" s="446"/>
      <c r="CR540" s="446"/>
      <c r="CS540" s="446"/>
      <c r="CT540" s="446"/>
      <c r="CU540" s="446"/>
      <c r="CV540" s="446"/>
      <c r="CW540" s="851"/>
      <c r="CX540" s="446"/>
      <c r="CY540" s="446"/>
      <c r="CZ540" s="446"/>
      <c r="DA540" s="446"/>
      <c r="DB540" s="446"/>
      <c r="DC540" s="446"/>
      <c r="DD540" s="446"/>
      <c r="DE540" s="446"/>
      <c r="DF540" s="446"/>
      <c r="DG540" s="446"/>
      <c r="DH540" s="446"/>
      <c r="DI540" s="446"/>
      <c r="DJ540" s="446"/>
      <c r="DK540" s="446"/>
      <c r="DL540" s="446"/>
      <c r="DM540" s="446"/>
      <c r="DN540" s="446"/>
      <c r="DO540" s="446"/>
      <c r="DP540" s="446"/>
      <c r="DQ540" s="446"/>
      <c r="DR540" s="446"/>
      <c r="DS540" s="446"/>
      <c r="DT540" s="446"/>
      <c r="DU540" s="446"/>
      <c r="DV540" s="446"/>
      <c r="DW540" s="446"/>
      <c r="DX540" s="446"/>
      <c r="DY540" s="446"/>
      <c r="DZ540" s="283"/>
    </row>
    <row r="541" spans="2:130" s="223" customFormat="1" x14ac:dyDescent="0.2">
      <c r="B541" s="851"/>
      <c r="C541" s="851"/>
      <c r="D541" s="851"/>
      <c r="E541" s="820"/>
      <c r="F541" s="820"/>
      <c r="G541" s="853"/>
      <c r="H541" s="853"/>
      <c r="I541" s="853"/>
      <c r="J541" s="853"/>
      <c r="K541" s="853"/>
      <c r="L541" s="853"/>
      <c r="M541" s="853"/>
      <c r="N541" s="853"/>
      <c r="O541" s="853"/>
      <c r="P541" s="853"/>
      <c r="Q541" s="853"/>
      <c r="R541" s="853"/>
      <c r="S541" s="853"/>
      <c r="T541" s="853"/>
      <c r="U541" s="853"/>
      <c r="V541" s="853"/>
      <c r="W541" s="853"/>
      <c r="X541" s="853"/>
      <c r="Y541" s="853"/>
      <c r="Z541" s="853"/>
      <c r="AA541" s="853"/>
      <c r="AB541" s="853"/>
      <c r="AC541" s="853"/>
      <c r="AD541" s="853"/>
      <c r="AE541" s="853"/>
      <c r="AF541" s="853"/>
      <c r="AG541" s="853"/>
      <c r="AH541" s="446"/>
      <c r="AI541" s="446"/>
      <c r="AJ541" s="446"/>
      <c r="AK541" s="446"/>
      <c r="AL541" s="446"/>
      <c r="AM541" s="446"/>
      <c r="AN541" s="446"/>
      <c r="AO541" s="446"/>
      <c r="AP541" s="446"/>
      <c r="AQ541" s="446"/>
      <c r="AR541" s="446"/>
      <c r="AS541" s="446"/>
      <c r="AT541" s="446"/>
      <c r="AU541" s="446"/>
      <c r="AV541" s="446"/>
      <c r="AW541" s="446"/>
      <c r="AX541" s="446"/>
      <c r="AY541" s="446"/>
      <c r="AZ541" s="446"/>
      <c r="BA541" s="446"/>
      <c r="BB541" s="446"/>
      <c r="BC541" s="446"/>
      <c r="BD541" s="446"/>
      <c r="BE541" s="446"/>
      <c r="BF541" s="446"/>
      <c r="BG541" s="446"/>
      <c r="BH541" s="446"/>
      <c r="BI541" s="446"/>
      <c r="BJ541" s="446"/>
      <c r="BK541" s="446"/>
      <c r="BL541" s="446"/>
      <c r="BM541" s="446"/>
      <c r="BN541" s="446"/>
      <c r="BO541" s="446"/>
      <c r="BP541" s="446"/>
      <c r="BQ541" s="446"/>
      <c r="BR541" s="446"/>
      <c r="BS541" s="446"/>
      <c r="BT541" s="446"/>
      <c r="BU541" s="562"/>
      <c r="BV541" s="446"/>
      <c r="BW541" s="446"/>
      <c r="BX541" s="446"/>
      <c r="BY541" s="446"/>
      <c r="BZ541" s="446"/>
      <c r="CA541" s="446"/>
      <c r="CB541" s="446"/>
      <c r="CC541" s="446"/>
      <c r="CD541" s="446"/>
      <c r="CE541" s="446"/>
      <c r="CF541" s="446"/>
      <c r="CG541" s="446"/>
      <c r="CH541" s="446"/>
      <c r="CI541" s="446"/>
      <c r="CJ541" s="446"/>
      <c r="CK541" s="446"/>
      <c r="CL541" s="446"/>
      <c r="CM541" s="446"/>
      <c r="CN541" s="446"/>
      <c r="CO541" s="446"/>
      <c r="CP541" s="446"/>
      <c r="CQ541" s="446"/>
      <c r="CR541" s="446"/>
      <c r="CS541" s="446"/>
      <c r="CT541" s="446"/>
      <c r="CU541" s="446"/>
      <c r="CV541" s="446"/>
      <c r="CW541" s="851"/>
      <c r="CX541" s="446"/>
      <c r="CY541" s="446"/>
      <c r="CZ541" s="446"/>
      <c r="DA541" s="446"/>
      <c r="DB541" s="446"/>
      <c r="DC541" s="446"/>
      <c r="DD541" s="446"/>
      <c r="DE541" s="446"/>
      <c r="DF541" s="446"/>
      <c r="DG541" s="446"/>
      <c r="DH541" s="446"/>
      <c r="DI541" s="446"/>
      <c r="DJ541" s="446"/>
      <c r="DK541" s="446"/>
      <c r="DL541" s="446"/>
      <c r="DM541" s="446"/>
      <c r="DN541" s="446"/>
      <c r="DO541" s="446"/>
      <c r="DP541" s="446"/>
      <c r="DQ541" s="446"/>
      <c r="DR541" s="446"/>
      <c r="DS541" s="446"/>
      <c r="DT541" s="446"/>
      <c r="DU541" s="446"/>
      <c r="DV541" s="446"/>
      <c r="DW541" s="446"/>
      <c r="DX541" s="446"/>
      <c r="DY541" s="446"/>
      <c r="DZ541" s="283"/>
    </row>
    <row r="542" spans="2:130" s="223" customFormat="1" x14ac:dyDescent="0.2">
      <c r="B542" s="851"/>
      <c r="C542" s="851"/>
      <c r="D542" s="851"/>
      <c r="E542" s="820"/>
      <c r="F542" s="820"/>
      <c r="G542" s="853"/>
      <c r="H542" s="853"/>
      <c r="I542" s="853"/>
      <c r="J542" s="853"/>
      <c r="K542" s="853"/>
      <c r="L542" s="853"/>
      <c r="M542" s="853"/>
      <c r="N542" s="853"/>
      <c r="O542" s="853"/>
      <c r="P542" s="853"/>
      <c r="Q542" s="853"/>
      <c r="R542" s="853"/>
      <c r="S542" s="853"/>
      <c r="T542" s="853"/>
      <c r="U542" s="853"/>
      <c r="V542" s="853"/>
      <c r="W542" s="853"/>
      <c r="X542" s="853"/>
      <c r="Y542" s="853"/>
      <c r="Z542" s="853"/>
      <c r="AA542" s="853"/>
      <c r="AB542" s="853"/>
      <c r="AC542" s="853"/>
      <c r="AD542" s="853"/>
      <c r="AE542" s="853"/>
      <c r="AF542" s="853"/>
      <c r="AG542" s="853"/>
      <c r="AH542" s="446"/>
      <c r="AI542" s="446"/>
      <c r="AJ542" s="446"/>
      <c r="AK542" s="446"/>
      <c r="AL542" s="446"/>
      <c r="AM542" s="446"/>
      <c r="AN542" s="446"/>
      <c r="AO542" s="446"/>
      <c r="AP542" s="446"/>
      <c r="AQ542" s="446"/>
      <c r="AR542" s="446"/>
      <c r="AS542" s="446"/>
      <c r="AT542" s="446"/>
      <c r="AU542" s="446"/>
      <c r="AV542" s="446"/>
      <c r="AW542" s="446"/>
      <c r="AX542" s="446"/>
      <c r="AY542" s="446"/>
      <c r="AZ542" s="446"/>
      <c r="BA542" s="446"/>
      <c r="BB542" s="446"/>
      <c r="BC542" s="446"/>
      <c r="BD542" s="446"/>
      <c r="BE542" s="446"/>
      <c r="BF542" s="446"/>
      <c r="BG542" s="446"/>
      <c r="BH542" s="446"/>
      <c r="BI542" s="446"/>
      <c r="BJ542" s="446"/>
      <c r="BK542" s="446"/>
      <c r="BL542" s="446"/>
      <c r="BM542" s="446"/>
      <c r="BN542" s="446"/>
      <c r="BO542" s="446"/>
      <c r="BP542" s="446"/>
      <c r="BQ542" s="446"/>
      <c r="BR542" s="446"/>
      <c r="BS542" s="446"/>
      <c r="BT542" s="446"/>
      <c r="BU542" s="562"/>
      <c r="BV542" s="446"/>
      <c r="BW542" s="446"/>
      <c r="BX542" s="446"/>
      <c r="BY542" s="446"/>
      <c r="BZ542" s="446"/>
      <c r="CA542" s="446"/>
      <c r="CB542" s="446"/>
      <c r="CC542" s="446"/>
      <c r="CD542" s="446"/>
      <c r="CE542" s="446"/>
      <c r="CF542" s="446"/>
      <c r="CG542" s="446"/>
      <c r="CH542" s="446"/>
      <c r="CI542" s="446"/>
      <c r="CJ542" s="446"/>
      <c r="CK542" s="446"/>
      <c r="CL542" s="446"/>
      <c r="CM542" s="446"/>
      <c r="CN542" s="446"/>
      <c r="CO542" s="446"/>
      <c r="CP542" s="446"/>
      <c r="CQ542" s="446"/>
      <c r="CR542" s="446"/>
      <c r="CS542" s="446"/>
      <c r="CT542" s="446"/>
      <c r="CU542" s="446"/>
      <c r="CV542" s="446"/>
      <c r="CW542" s="851"/>
      <c r="CX542" s="446"/>
      <c r="CY542" s="446"/>
      <c r="CZ542" s="446"/>
      <c r="DA542" s="446"/>
      <c r="DB542" s="446"/>
      <c r="DC542" s="446"/>
      <c r="DD542" s="446"/>
      <c r="DE542" s="446"/>
      <c r="DF542" s="446"/>
      <c r="DG542" s="446"/>
      <c r="DH542" s="446"/>
      <c r="DI542" s="446"/>
      <c r="DJ542" s="446"/>
      <c r="DK542" s="446"/>
      <c r="DL542" s="446"/>
      <c r="DM542" s="446"/>
      <c r="DN542" s="446"/>
      <c r="DO542" s="446"/>
      <c r="DP542" s="446"/>
      <c r="DQ542" s="446"/>
      <c r="DR542" s="446"/>
      <c r="DS542" s="446"/>
      <c r="DT542" s="446"/>
      <c r="DU542" s="446"/>
      <c r="DV542" s="446"/>
      <c r="DW542" s="446"/>
      <c r="DX542" s="446"/>
      <c r="DY542" s="446"/>
      <c r="DZ542" s="283"/>
    </row>
    <row r="543" spans="2:130" s="223" customFormat="1" x14ac:dyDescent="0.2">
      <c r="B543" s="851"/>
      <c r="C543" s="851"/>
      <c r="D543" s="851"/>
      <c r="E543" s="820"/>
      <c r="F543" s="820"/>
      <c r="G543" s="853"/>
      <c r="H543" s="853"/>
      <c r="I543" s="853"/>
      <c r="J543" s="853"/>
      <c r="K543" s="853"/>
      <c r="L543" s="853"/>
      <c r="M543" s="853"/>
      <c r="N543" s="853"/>
      <c r="O543" s="853"/>
      <c r="P543" s="853"/>
      <c r="Q543" s="853"/>
      <c r="R543" s="853"/>
      <c r="S543" s="853"/>
      <c r="T543" s="853"/>
      <c r="U543" s="853"/>
      <c r="V543" s="853"/>
      <c r="W543" s="853"/>
      <c r="X543" s="853"/>
      <c r="Y543" s="853"/>
      <c r="Z543" s="853"/>
      <c r="AA543" s="853"/>
      <c r="AB543" s="853"/>
      <c r="AC543" s="853"/>
      <c r="AD543" s="853"/>
      <c r="AE543" s="853"/>
      <c r="AF543" s="853"/>
      <c r="AG543" s="853"/>
      <c r="AH543" s="446"/>
      <c r="AI543" s="446"/>
      <c r="AJ543" s="446"/>
      <c r="AK543" s="446"/>
      <c r="AL543" s="446"/>
      <c r="AM543" s="446"/>
      <c r="AN543" s="446"/>
      <c r="AO543" s="446"/>
      <c r="AP543" s="446"/>
      <c r="AQ543" s="446"/>
      <c r="AR543" s="446"/>
      <c r="AS543" s="446"/>
      <c r="AT543" s="446"/>
      <c r="AU543" s="446"/>
      <c r="AV543" s="446"/>
      <c r="AW543" s="446"/>
      <c r="AX543" s="446"/>
      <c r="AY543" s="446"/>
      <c r="AZ543" s="446"/>
      <c r="BA543" s="446"/>
      <c r="BB543" s="446"/>
      <c r="BC543" s="446"/>
      <c r="BD543" s="446"/>
      <c r="BE543" s="446"/>
      <c r="BF543" s="446"/>
      <c r="BG543" s="446"/>
      <c r="BH543" s="446"/>
      <c r="BI543" s="446"/>
      <c r="BJ543" s="446"/>
      <c r="BK543" s="446"/>
      <c r="BL543" s="446"/>
      <c r="BM543" s="446"/>
      <c r="BN543" s="446"/>
      <c r="BO543" s="446"/>
      <c r="BP543" s="446"/>
      <c r="BQ543" s="446"/>
      <c r="BR543" s="446"/>
      <c r="BS543" s="446"/>
      <c r="BT543" s="446"/>
      <c r="BU543" s="562"/>
      <c r="BV543" s="446"/>
      <c r="BW543" s="446"/>
      <c r="BX543" s="446"/>
      <c r="BY543" s="446"/>
      <c r="BZ543" s="446"/>
      <c r="CA543" s="446"/>
      <c r="CB543" s="446"/>
      <c r="CC543" s="446"/>
      <c r="CD543" s="446"/>
      <c r="CE543" s="446"/>
      <c r="CF543" s="446"/>
      <c r="CG543" s="446"/>
      <c r="CH543" s="446"/>
      <c r="CI543" s="446"/>
      <c r="CJ543" s="446"/>
      <c r="CK543" s="446"/>
      <c r="CL543" s="446"/>
      <c r="CM543" s="446"/>
      <c r="CN543" s="446"/>
      <c r="CO543" s="446"/>
      <c r="CP543" s="446"/>
      <c r="CQ543" s="446"/>
      <c r="CR543" s="446"/>
      <c r="CS543" s="446"/>
      <c r="CT543" s="446"/>
      <c r="CU543" s="446"/>
      <c r="CV543" s="446"/>
      <c r="CW543" s="851"/>
      <c r="CX543" s="446"/>
      <c r="CY543" s="446"/>
      <c r="CZ543" s="446"/>
      <c r="DA543" s="446"/>
      <c r="DB543" s="446"/>
      <c r="DC543" s="446"/>
      <c r="DD543" s="446"/>
      <c r="DE543" s="446"/>
      <c r="DF543" s="446"/>
      <c r="DG543" s="446"/>
      <c r="DH543" s="446"/>
      <c r="DI543" s="446"/>
      <c r="DJ543" s="446"/>
      <c r="DK543" s="446"/>
      <c r="DL543" s="446"/>
      <c r="DM543" s="446"/>
      <c r="DN543" s="446"/>
      <c r="DO543" s="446"/>
      <c r="DP543" s="446"/>
      <c r="DQ543" s="446"/>
      <c r="DR543" s="446"/>
      <c r="DS543" s="446"/>
      <c r="DT543" s="446"/>
      <c r="DU543" s="446"/>
      <c r="DV543" s="446"/>
      <c r="DW543" s="446"/>
      <c r="DX543" s="446"/>
      <c r="DY543" s="446"/>
      <c r="DZ543" s="283"/>
    </row>
    <row r="544" spans="2:130" s="223" customFormat="1" x14ac:dyDescent="0.2">
      <c r="B544" s="851"/>
      <c r="C544" s="851"/>
      <c r="D544" s="851"/>
      <c r="E544" s="820"/>
      <c r="F544" s="820"/>
      <c r="G544" s="853"/>
      <c r="H544" s="853"/>
      <c r="I544" s="853"/>
      <c r="J544" s="853"/>
      <c r="K544" s="853"/>
      <c r="L544" s="853"/>
      <c r="M544" s="853"/>
      <c r="N544" s="853"/>
      <c r="O544" s="853"/>
      <c r="P544" s="853"/>
      <c r="Q544" s="853"/>
      <c r="R544" s="853"/>
      <c r="S544" s="853"/>
      <c r="T544" s="853"/>
      <c r="U544" s="853"/>
      <c r="V544" s="853"/>
      <c r="W544" s="853"/>
      <c r="X544" s="853"/>
      <c r="Y544" s="853"/>
      <c r="Z544" s="853"/>
      <c r="AA544" s="853"/>
      <c r="AB544" s="853"/>
      <c r="AC544" s="853"/>
      <c r="AD544" s="853"/>
      <c r="AE544" s="853"/>
      <c r="AF544" s="853"/>
      <c r="AG544" s="853"/>
      <c r="AH544" s="446"/>
      <c r="AI544" s="446"/>
      <c r="AJ544" s="446"/>
      <c r="AK544" s="446"/>
      <c r="AL544" s="446"/>
      <c r="AM544" s="446"/>
      <c r="AN544" s="446"/>
      <c r="AO544" s="446"/>
      <c r="AP544" s="446"/>
      <c r="AQ544" s="446"/>
      <c r="AR544" s="446"/>
      <c r="AS544" s="446"/>
      <c r="AT544" s="446"/>
      <c r="AU544" s="446"/>
      <c r="AV544" s="446"/>
      <c r="AW544" s="446"/>
      <c r="AX544" s="446"/>
      <c r="AY544" s="446"/>
      <c r="AZ544" s="446"/>
      <c r="BA544" s="446"/>
      <c r="BB544" s="446"/>
      <c r="BC544" s="446"/>
      <c r="BD544" s="446"/>
      <c r="BE544" s="446"/>
      <c r="BF544" s="446"/>
      <c r="BG544" s="446"/>
      <c r="BH544" s="446"/>
      <c r="BI544" s="446"/>
      <c r="BJ544" s="446"/>
      <c r="BK544" s="446"/>
      <c r="BL544" s="446"/>
      <c r="BM544" s="446"/>
      <c r="BN544" s="446"/>
      <c r="BO544" s="446"/>
      <c r="BP544" s="446"/>
      <c r="BQ544" s="446"/>
      <c r="BR544" s="446"/>
      <c r="BS544" s="446"/>
      <c r="BT544" s="446"/>
      <c r="BU544" s="562"/>
      <c r="BV544" s="446"/>
      <c r="BW544" s="446"/>
      <c r="BX544" s="446"/>
      <c r="BY544" s="446"/>
      <c r="BZ544" s="446"/>
      <c r="CA544" s="446"/>
      <c r="CB544" s="446"/>
      <c r="CC544" s="446"/>
      <c r="CD544" s="446"/>
      <c r="CE544" s="446"/>
      <c r="CF544" s="446"/>
      <c r="CG544" s="446"/>
      <c r="CH544" s="446"/>
      <c r="CI544" s="446"/>
      <c r="CJ544" s="446"/>
      <c r="CK544" s="446"/>
      <c r="CL544" s="446"/>
      <c r="CM544" s="446"/>
      <c r="CN544" s="446"/>
      <c r="CO544" s="446"/>
      <c r="CP544" s="446"/>
      <c r="CQ544" s="446"/>
      <c r="CR544" s="446"/>
      <c r="CS544" s="446"/>
      <c r="CT544" s="446"/>
      <c r="CU544" s="446"/>
      <c r="CV544" s="446"/>
      <c r="CW544" s="851"/>
      <c r="CX544" s="446"/>
      <c r="CY544" s="446"/>
      <c r="CZ544" s="446"/>
      <c r="DA544" s="446"/>
      <c r="DB544" s="446"/>
      <c r="DC544" s="446"/>
      <c r="DD544" s="446"/>
      <c r="DE544" s="446"/>
      <c r="DF544" s="446"/>
      <c r="DG544" s="446"/>
      <c r="DH544" s="446"/>
      <c r="DI544" s="446"/>
      <c r="DJ544" s="446"/>
      <c r="DK544" s="446"/>
      <c r="DL544" s="446"/>
      <c r="DM544" s="446"/>
      <c r="DN544" s="446"/>
      <c r="DO544" s="446"/>
      <c r="DP544" s="446"/>
      <c r="DQ544" s="446"/>
      <c r="DR544" s="446"/>
      <c r="DS544" s="446"/>
      <c r="DT544" s="446"/>
      <c r="DU544" s="446"/>
      <c r="DV544" s="446"/>
      <c r="DW544" s="446"/>
      <c r="DX544" s="446"/>
      <c r="DY544" s="446"/>
      <c r="DZ544" s="283"/>
    </row>
    <row r="545" spans="2:130" s="223" customFormat="1" x14ac:dyDescent="0.2">
      <c r="B545" s="851"/>
      <c r="C545" s="851"/>
      <c r="D545" s="851"/>
      <c r="E545" s="820"/>
      <c r="F545" s="820"/>
      <c r="G545" s="853"/>
      <c r="H545" s="853"/>
      <c r="I545" s="853"/>
      <c r="J545" s="853"/>
      <c r="K545" s="853"/>
      <c r="L545" s="853"/>
      <c r="M545" s="853"/>
      <c r="N545" s="853"/>
      <c r="O545" s="853"/>
      <c r="P545" s="853"/>
      <c r="Q545" s="853"/>
      <c r="R545" s="853"/>
      <c r="S545" s="853"/>
      <c r="T545" s="853"/>
      <c r="U545" s="853"/>
      <c r="V545" s="853"/>
      <c r="W545" s="853"/>
      <c r="X545" s="853"/>
      <c r="Y545" s="853"/>
      <c r="Z545" s="853"/>
      <c r="AA545" s="853"/>
      <c r="AB545" s="853"/>
      <c r="AC545" s="853"/>
      <c r="AD545" s="853"/>
      <c r="AE545" s="853"/>
      <c r="AF545" s="853"/>
      <c r="AG545" s="853"/>
      <c r="AH545" s="446"/>
      <c r="AI545" s="446"/>
      <c r="AJ545" s="446"/>
      <c r="AK545" s="446"/>
      <c r="AL545" s="446"/>
      <c r="AM545" s="446"/>
      <c r="AN545" s="446"/>
      <c r="AO545" s="446"/>
      <c r="AP545" s="446"/>
      <c r="AQ545" s="446"/>
      <c r="AR545" s="446"/>
      <c r="AS545" s="446"/>
      <c r="AT545" s="446"/>
      <c r="AU545" s="446"/>
      <c r="AV545" s="446"/>
      <c r="AW545" s="446"/>
      <c r="AX545" s="446"/>
      <c r="AY545" s="446"/>
      <c r="AZ545" s="446"/>
      <c r="BA545" s="446"/>
      <c r="BB545" s="446"/>
      <c r="BC545" s="446"/>
      <c r="BD545" s="446"/>
      <c r="BE545" s="446"/>
      <c r="BF545" s="446"/>
      <c r="BG545" s="446"/>
      <c r="BH545" s="446"/>
      <c r="BI545" s="446"/>
      <c r="BJ545" s="446"/>
      <c r="BK545" s="446"/>
      <c r="BL545" s="446"/>
      <c r="BM545" s="446"/>
      <c r="BN545" s="446"/>
      <c r="BO545" s="446"/>
      <c r="BP545" s="446"/>
      <c r="BQ545" s="446"/>
      <c r="BR545" s="446"/>
      <c r="BS545" s="446"/>
      <c r="BT545" s="446"/>
      <c r="BU545" s="562"/>
      <c r="BV545" s="446"/>
      <c r="BW545" s="446"/>
      <c r="BX545" s="446"/>
      <c r="BY545" s="446"/>
      <c r="BZ545" s="446"/>
      <c r="CA545" s="446"/>
      <c r="CB545" s="446"/>
      <c r="CC545" s="446"/>
      <c r="CD545" s="446"/>
      <c r="CE545" s="446"/>
      <c r="CF545" s="446"/>
      <c r="CG545" s="446"/>
      <c r="CH545" s="446"/>
      <c r="CI545" s="446"/>
      <c r="CJ545" s="446"/>
      <c r="CK545" s="446"/>
      <c r="CL545" s="446"/>
      <c r="CM545" s="446"/>
      <c r="CN545" s="446"/>
      <c r="CO545" s="446"/>
      <c r="CP545" s="446"/>
      <c r="CQ545" s="446"/>
      <c r="CR545" s="446"/>
      <c r="CS545" s="446"/>
      <c r="CT545" s="446"/>
      <c r="CU545" s="446"/>
      <c r="CV545" s="446"/>
      <c r="CW545" s="851"/>
      <c r="CX545" s="446"/>
      <c r="CY545" s="446"/>
      <c r="CZ545" s="446"/>
      <c r="DA545" s="446"/>
      <c r="DB545" s="446"/>
      <c r="DC545" s="446"/>
      <c r="DD545" s="446"/>
      <c r="DE545" s="446"/>
      <c r="DF545" s="446"/>
      <c r="DG545" s="446"/>
      <c r="DH545" s="446"/>
      <c r="DI545" s="446"/>
      <c r="DJ545" s="446"/>
      <c r="DK545" s="446"/>
      <c r="DL545" s="446"/>
      <c r="DM545" s="446"/>
      <c r="DN545" s="446"/>
      <c r="DO545" s="446"/>
      <c r="DP545" s="446"/>
      <c r="DQ545" s="446"/>
      <c r="DR545" s="446"/>
      <c r="DS545" s="446"/>
      <c r="DT545" s="446"/>
      <c r="DU545" s="446"/>
      <c r="DV545" s="446"/>
      <c r="DW545" s="446"/>
      <c r="DX545" s="446"/>
      <c r="DY545" s="446"/>
      <c r="DZ545" s="283"/>
    </row>
    <row r="546" spans="2:130" s="223" customFormat="1" x14ac:dyDescent="0.2">
      <c r="B546" s="851"/>
      <c r="C546" s="851"/>
      <c r="D546" s="851"/>
      <c r="E546" s="820"/>
      <c r="F546" s="820"/>
      <c r="G546" s="853"/>
      <c r="H546" s="853"/>
      <c r="I546" s="853"/>
      <c r="J546" s="853"/>
      <c r="K546" s="853"/>
      <c r="L546" s="853"/>
      <c r="M546" s="853"/>
      <c r="N546" s="853"/>
      <c r="O546" s="853"/>
      <c r="P546" s="853"/>
      <c r="Q546" s="853"/>
      <c r="R546" s="853"/>
      <c r="S546" s="853"/>
      <c r="T546" s="853"/>
      <c r="U546" s="853"/>
      <c r="V546" s="853"/>
      <c r="W546" s="853"/>
      <c r="X546" s="853"/>
      <c r="Y546" s="853"/>
      <c r="Z546" s="853"/>
      <c r="AA546" s="853"/>
      <c r="AB546" s="853"/>
      <c r="AC546" s="853"/>
      <c r="AD546" s="853"/>
      <c r="AE546" s="853"/>
      <c r="AF546" s="853"/>
      <c r="AG546" s="853"/>
      <c r="AH546" s="446"/>
      <c r="AI546" s="446"/>
      <c r="AJ546" s="446"/>
      <c r="AK546" s="446"/>
      <c r="AL546" s="446"/>
      <c r="AM546" s="446"/>
      <c r="AN546" s="446"/>
      <c r="AO546" s="446"/>
      <c r="AP546" s="446"/>
      <c r="AQ546" s="446"/>
      <c r="AR546" s="446"/>
      <c r="AS546" s="446"/>
      <c r="AT546" s="446"/>
      <c r="AU546" s="446"/>
      <c r="AV546" s="446"/>
      <c r="AW546" s="446"/>
      <c r="AX546" s="446"/>
      <c r="AY546" s="446"/>
      <c r="AZ546" s="446"/>
      <c r="BA546" s="446"/>
      <c r="BB546" s="446"/>
      <c r="BC546" s="446"/>
      <c r="BD546" s="446"/>
      <c r="BE546" s="446"/>
      <c r="BF546" s="446"/>
      <c r="BG546" s="446"/>
      <c r="BH546" s="446"/>
      <c r="BI546" s="446"/>
      <c r="BJ546" s="446"/>
      <c r="BK546" s="446"/>
      <c r="BL546" s="446"/>
      <c r="BM546" s="446"/>
      <c r="BN546" s="446"/>
      <c r="BO546" s="446"/>
      <c r="BP546" s="446"/>
      <c r="BQ546" s="446"/>
      <c r="BR546" s="446"/>
      <c r="BS546" s="446"/>
      <c r="BT546" s="446"/>
      <c r="BU546" s="562"/>
      <c r="BV546" s="446"/>
      <c r="BW546" s="446"/>
      <c r="BX546" s="446"/>
      <c r="BY546" s="446"/>
      <c r="BZ546" s="446"/>
      <c r="CA546" s="446"/>
      <c r="CB546" s="446"/>
      <c r="CC546" s="446"/>
      <c r="CD546" s="446"/>
      <c r="CE546" s="446"/>
      <c r="CF546" s="446"/>
      <c r="CG546" s="446"/>
      <c r="CH546" s="446"/>
      <c r="CI546" s="446"/>
      <c r="CJ546" s="446"/>
      <c r="CK546" s="446"/>
      <c r="CL546" s="446"/>
      <c r="CM546" s="446"/>
      <c r="CN546" s="446"/>
      <c r="CO546" s="446"/>
      <c r="CP546" s="446"/>
      <c r="CQ546" s="446"/>
      <c r="CR546" s="446"/>
      <c r="CS546" s="446"/>
      <c r="CT546" s="446"/>
      <c r="CU546" s="446"/>
      <c r="CV546" s="446"/>
      <c r="CW546" s="851"/>
      <c r="CX546" s="446"/>
      <c r="CY546" s="446"/>
      <c r="CZ546" s="446"/>
      <c r="DA546" s="446"/>
      <c r="DB546" s="446"/>
      <c r="DC546" s="446"/>
      <c r="DD546" s="446"/>
      <c r="DE546" s="446"/>
      <c r="DF546" s="446"/>
      <c r="DG546" s="446"/>
      <c r="DH546" s="446"/>
      <c r="DI546" s="446"/>
      <c r="DJ546" s="446"/>
      <c r="DK546" s="446"/>
      <c r="DL546" s="446"/>
      <c r="DM546" s="446"/>
      <c r="DN546" s="446"/>
      <c r="DO546" s="446"/>
      <c r="DP546" s="446"/>
      <c r="DQ546" s="446"/>
      <c r="DR546" s="446"/>
      <c r="DS546" s="446"/>
      <c r="DT546" s="446"/>
      <c r="DU546" s="446"/>
      <c r="DV546" s="446"/>
      <c r="DW546" s="446"/>
      <c r="DX546" s="446"/>
      <c r="DY546" s="446"/>
      <c r="DZ546" s="283"/>
    </row>
    <row r="547" spans="2:130" s="223" customFormat="1" x14ac:dyDescent="0.2">
      <c r="B547" s="851"/>
      <c r="C547" s="851"/>
      <c r="D547" s="851"/>
      <c r="E547" s="820"/>
      <c r="F547" s="820"/>
      <c r="G547" s="853"/>
      <c r="H547" s="853"/>
      <c r="I547" s="853"/>
      <c r="J547" s="853"/>
      <c r="K547" s="853"/>
      <c r="L547" s="853"/>
      <c r="M547" s="853"/>
      <c r="N547" s="853"/>
      <c r="O547" s="853"/>
      <c r="P547" s="853"/>
      <c r="Q547" s="853"/>
      <c r="R547" s="853"/>
      <c r="S547" s="853"/>
      <c r="T547" s="853"/>
      <c r="U547" s="853"/>
      <c r="V547" s="853"/>
      <c r="W547" s="853"/>
      <c r="X547" s="853"/>
      <c r="Y547" s="853"/>
      <c r="Z547" s="853"/>
      <c r="AA547" s="853"/>
      <c r="AB547" s="853"/>
      <c r="AC547" s="853"/>
      <c r="AD547" s="853"/>
      <c r="AE547" s="853"/>
      <c r="AF547" s="853"/>
      <c r="AG547" s="853"/>
      <c r="AH547" s="446"/>
      <c r="AI547" s="446"/>
      <c r="AJ547" s="446"/>
      <c r="AK547" s="446"/>
      <c r="AL547" s="446"/>
      <c r="AM547" s="446"/>
      <c r="AN547" s="446"/>
      <c r="AO547" s="446"/>
      <c r="AP547" s="446"/>
      <c r="AQ547" s="446"/>
      <c r="AR547" s="446"/>
      <c r="AS547" s="446"/>
      <c r="AT547" s="446"/>
      <c r="AU547" s="446"/>
      <c r="AV547" s="446"/>
      <c r="AW547" s="446"/>
      <c r="AX547" s="446"/>
      <c r="AY547" s="446"/>
      <c r="AZ547" s="446"/>
      <c r="BA547" s="446"/>
      <c r="BB547" s="446"/>
      <c r="BC547" s="446"/>
      <c r="BD547" s="446"/>
      <c r="BE547" s="446"/>
      <c r="BF547" s="446"/>
      <c r="BG547" s="446"/>
      <c r="BH547" s="446"/>
      <c r="BI547" s="446"/>
      <c r="BJ547" s="446"/>
      <c r="BK547" s="446"/>
      <c r="BL547" s="446"/>
      <c r="BM547" s="446"/>
      <c r="BN547" s="446"/>
      <c r="BO547" s="446"/>
      <c r="BP547" s="446"/>
      <c r="BQ547" s="446"/>
      <c r="BR547" s="446"/>
      <c r="BS547" s="446"/>
      <c r="BT547" s="446"/>
      <c r="BU547" s="562"/>
      <c r="BV547" s="446"/>
      <c r="BW547" s="446"/>
      <c r="BX547" s="446"/>
      <c r="BY547" s="446"/>
      <c r="BZ547" s="446"/>
      <c r="CA547" s="446"/>
      <c r="CB547" s="446"/>
      <c r="CC547" s="446"/>
      <c r="CD547" s="446"/>
      <c r="CE547" s="446"/>
      <c r="CF547" s="446"/>
      <c r="CG547" s="446"/>
      <c r="CH547" s="446"/>
      <c r="CI547" s="446"/>
      <c r="CJ547" s="446"/>
      <c r="CK547" s="446"/>
      <c r="CL547" s="446"/>
      <c r="CM547" s="446"/>
      <c r="CN547" s="446"/>
      <c r="CO547" s="446"/>
      <c r="CP547" s="446"/>
      <c r="CQ547" s="446"/>
      <c r="CR547" s="446"/>
      <c r="CS547" s="446"/>
      <c r="CT547" s="446"/>
      <c r="CU547" s="446"/>
      <c r="CV547" s="446"/>
      <c r="CW547" s="851"/>
      <c r="CX547" s="446"/>
      <c r="CY547" s="446"/>
      <c r="CZ547" s="446"/>
      <c r="DA547" s="446"/>
      <c r="DB547" s="446"/>
      <c r="DC547" s="446"/>
      <c r="DD547" s="446"/>
      <c r="DE547" s="446"/>
      <c r="DF547" s="446"/>
      <c r="DG547" s="446"/>
      <c r="DH547" s="446"/>
      <c r="DI547" s="446"/>
      <c r="DJ547" s="446"/>
      <c r="DK547" s="446"/>
      <c r="DL547" s="446"/>
      <c r="DM547" s="446"/>
      <c r="DN547" s="446"/>
      <c r="DO547" s="446"/>
      <c r="DP547" s="446"/>
      <c r="DQ547" s="446"/>
      <c r="DR547" s="446"/>
      <c r="DS547" s="446"/>
      <c r="DT547" s="446"/>
      <c r="DU547" s="446"/>
      <c r="DV547" s="446"/>
      <c r="DW547" s="446"/>
      <c r="DX547" s="446"/>
      <c r="DY547" s="446"/>
      <c r="DZ547" s="283"/>
    </row>
    <row r="548" spans="2:130" s="223" customFormat="1" x14ac:dyDescent="0.2">
      <c r="B548" s="851"/>
      <c r="C548" s="851"/>
      <c r="D548" s="851"/>
      <c r="E548" s="820"/>
      <c r="F548" s="820"/>
      <c r="G548" s="853"/>
      <c r="H548" s="853"/>
      <c r="I548" s="853"/>
      <c r="J548" s="853"/>
      <c r="K548" s="853"/>
      <c r="L548" s="853"/>
      <c r="M548" s="853"/>
      <c r="N548" s="853"/>
      <c r="O548" s="853"/>
      <c r="P548" s="853"/>
      <c r="Q548" s="853"/>
      <c r="R548" s="853"/>
      <c r="S548" s="853"/>
      <c r="T548" s="853"/>
      <c r="U548" s="853"/>
      <c r="V548" s="853"/>
      <c r="W548" s="853"/>
      <c r="X548" s="853"/>
      <c r="Y548" s="853"/>
      <c r="Z548" s="853"/>
      <c r="AA548" s="853"/>
      <c r="AB548" s="853"/>
      <c r="AC548" s="853"/>
      <c r="AD548" s="853"/>
      <c r="AE548" s="853"/>
      <c r="AF548" s="853"/>
      <c r="AG548" s="853"/>
      <c r="AH548" s="446"/>
      <c r="AI548" s="446"/>
      <c r="AJ548" s="446"/>
      <c r="AK548" s="446"/>
      <c r="AL548" s="446"/>
      <c r="AM548" s="446"/>
      <c r="AN548" s="446"/>
      <c r="AO548" s="446"/>
      <c r="AP548" s="446"/>
      <c r="AQ548" s="446"/>
      <c r="AR548" s="446"/>
      <c r="AS548" s="446"/>
      <c r="AT548" s="446"/>
      <c r="AU548" s="446"/>
      <c r="AV548" s="446"/>
      <c r="AW548" s="446"/>
      <c r="AX548" s="446"/>
      <c r="AY548" s="446"/>
      <c r="AZ548" s="446"/>
      <c r="BA548" s="446"/>
      <c r="BB548" s="446"/>
      <c r="BC548" s="446"/>
      <c r="BD548" s="446"/>
      <c r="BE548" s="446"/>
      <c r="BF548" s="446"/>
      <c r="BG548" s="446"/>
      <c r="BH548" s="446"/>
      <c r="BI548" s="446"/>
      <c r="BJ548" s="446"/>
      <c r="BK548" s="446"/>
      <c r="BL548" s="446"/>
      <c r="BM548" s="446"/>
      <c r="BN548" s="446"/>
      <c r="BO548" s="446"/>
      <c r="BP548" s="446"/>
      <c r="BQ548" s="446"/>
      <c r="BR548" s="446"/>
      <c r="BS548" s="446"/>
      <c r="BT548" s="446"/>
      <c r="BU548" s="562"/>
      <c r="BV548" s="446"/>
      <c r="BW548" s="446"/>
      <c r="BX548" s="446"/>
      <c r="BY548" s="446"/>
      <c r="BZ548" s="446"/>
      <c r="CA548" s="446"/>
      <c r="CB548" s="446"/>
      <c r="CC548" s="446"/>
      <c r="CD548" s="446"/>
      <c r="CE548" s="446"/>
      <c r="CF548" s="446"/>
      <c r="CG548" s="446"/>
      <c r="CH548" s="446"/>
      <c r="CI548" s="446"/>
      <c r="CJ548" s="446"/>
      <c r="CK548" s="446"/>
      <c r="CL548" s="446"/>
      <c r="CM548" s="446"/>
      <c r="CN548" s="446"/>
      <c r="CO548" s="446"/>
      <c r="CP548" s="446"/>
      <c r="CQ548" s="446"/>
      <c r="CR548" s="446"/>
      <c r="CS548" s="446"/>
      <c r="CT548" s="446"/>
      <c r="CU548" s="446"/>
      <c r="CV548" s="446"/>
      <c r="CW548" s="851"/>
      <c r="CX548" s="446"/>
      <c r="CY548" s="446"/>
      <c r="CZ548" s="446"/>
      <c r="DA548" s="446"/>
      <c r="DB548" s="446"/>
      <c r="DC548" s="446"/>
      <c r="DD548" s="446"/>
      <c r="DE548" s="446"/>
      <c r="DF548" s="446"/>
      <c r="DG548" s="446"/>
      <c r="DH548" s="446"/>
      <c r="DI548" s="446"/>
      <c r="DJ548" s="446"/>
      <c r="DK548" s="446"/>
      <c r="DL548" s="446"/>
      <c r="DM548" s="446"/>
      <c r="DN548" s="446"/>
      <c r="DO548" s="446"/>
      <c r="DP548" s="446"/>
      <c r="DQ548" s="446"/>
      <c r="DR548" s="446"/>
      <c r="DS548" s="446"/>
      <c r="DT548" s="446"/>
      <c r="DU548" s="446"/>
      <c r="DV548" s="446"/>
      <c r="DW548" s="446"/>
      <c r="DX548" s="446"/>
      <c r="DY548" s="446"/>
      <c r="DZ548" s="283"/>
    </row>
    <row r="549" spans="2:130" s="223" customFormat="1" x14ac:dyDescent="0.2">
      <c r="B549" s="851"/>
      <c r="C549" s="851"/>
      <c r="D549" s="851"/>
      <c r="E549" s="820"/>
      <c r="F549" s="820"/>
      <c r="G549" s="853"/>
      <c r="H549" s="853"/>
      <c r="I549" s="853"/>
      <c r="J549" s="853"/>
      <c r="K549" s="853"/>
      <c r="L549" s="853"/>
      <c r="M549" s="853"/>
      <c r="N549" s="853"/>
      <c r="O549" s="853"/>
      <c r="P549" s="853"/>
      <c r="Q549" s="853"/>
      <c r="R549" s="853"/>
      <c r="S549" s="853"/>
      <c r="T549" s="853"/>
      <c r="U549" s="853"/>
      <c r="V549" s="853"/>
      <c r="W549" s="853"/>
      <c r="X549" s="853"/>
      <c r="Y549" s="853"/>
      <c r="Z549" s="853"/>
      <c r="AA549" s="853"/>
      <c r="AB549" s="853"/>
      <c r="AC549" s="853"/>
      <c r="AD549" s="853"/>
      <c r="AE549" s="853"/>
      <c r="AF549" s="853"/>
      <c r="AG549" s="853"/>
      <c r="AH549" s="446"/>
      <c r="AI549" s="446"/>
      <c r="AJ549" s="446"/>
      <c r="AK549" s="446"/>
      <c r="AL549" s="446"/>
      <c r="AM549" s="446"/>
      <c r="AN549" s="446"/>
      <c r="AO549" s="446"/>
      <c r="AP549" s="446"/>
      <c r="AQ549" s="446"/>
      <c r="AR549" s="446"/>
      <c r="AS549" s="446"/>
      <c r="AT549" s="446"/>
      <c r="AU549" s="446"/>
      <c r="AV549" s="446"/>
      <c r="AW549" s="446"/>
      <c r="AX549" s="446"/>
      <c r="AY549" s="446"/>
      <c r="AZ549" s="446"/>
      <c r="BA549" s="446"/>
      <c r="BB549" s="446"/>
      <c r="BC549" s="446"/>
      <c r="BD549" s="446"/>
      <c r="BE549" s="446"/>
      <c r="BF549" s="446"/>
      <c r="BG549" s="446"/>
      <c r="BH549" s="446"/>
      <c r="BI549" s="446"/>
      <c r="BJ549" s="446"/>
      <c r="BK549" s="446"/>
      <c r="BL549" s="446"/>
      <c r="BM549" s="446"/>
      <c r="BN549" s="446"/>
      <c r="BO549" s="446"/>
      <c r="BP549" s="446"/>
      <c r="BQ549" s="446"/>
      <c r="BR549" s="446"/>
      <c r="BS549" s="446"/>
      <c r="BT549" s="446"/>
      <c r="BU549" s="562"/>
      <c r="BV549" s="446"/>
      <c r="BW549" s="446"/>
      <c r="BX549" s="446"/>
      <c r="BY549" s="446"/>
      <c r="BZ549" s="446"/>
      <c r="CA549" s="446"/>
      <c r="CB549" s="446"/>
      <c r="CC549" s="446"/>
      <c r="CD549" s="446"/>
      <c r="CE549" s="446"/>
      <c r="CF549" s="446"/>
      <c r="CG549" s="446"/>
      <c r="CH549" s="446"/>
      <c r="CI549" s="446"/>
      <c r="CJ549" s="446"/>
      <c r="CK549" s="446"/>
      <c r="CL549" s="446"/>
      <c r="CM549" s="446"/>
      <c r="CN549" s="446"/>
      <c r="CO549" s="446"/>
      <c r="CP549" s="446"/>
      <c r="CQ549" s="446"/>
      <c r="CR549" s="446"/>
      <c r="CS549" s="446"/>
      <c r="CT549" s="446"/>
      <c r="CU549" s="446"/>
      <c r="CV549" s="446"/>
      <c r="CW549" s="851"/>
      <c r="CX549" s="446"/>
      <c r="CY549" s="446"/>
      <c r="CZ549" s="446"/>
      <c r="DA549" s="446"/>
      <c r="DB549" s="446"/>
      <c r="DC549" s="446"/>
      <c r="DD549" s="446"/>
      <c r="DE549" s="446"/>
      <c r="DF549" s="446"/>
      <c r="DG549" s="446"/>
      <c r="DH549" s="446"/>
      <c r="DI549" s="446"/>
      <c r="DJ549" s="446"/>
      <c r="DK549" s="446"/>
      <c r="DL549" s="446"/>
      <c r="DM549" s="446"/>
      <c r="DN549" s="446"/>
      <c r="DO549" s="446"/>
      <c r="DP549" s="446"/>
      <c r="DQ549" s="446"/>
      <c r="DR549" s="446"/>
      <c r="DS549" s="446"/>
      <c r="DT549" s="446"/>
      <c r="DU549" s="446"/>
      <c r="DV549" s="446"/>
      <c r="DW549" s="446"/>
      <c r="DX549" s="446"/>
      <c r="DY549" s="446"/>
      <c r="DZ549" s="283"/>
    </row>
    <row r="550" spans="2:130" s="223" customFormat="1" x14ac:dyDescent="0.2">
      <c r="B550" s="851"/>
      <c r="C550" s="851"/>
      <c r="D550" s="851"/>
      <c r="E550" s="820"/>
      <c r="F550" s="820"/>
      <c r="G550" s="853"/>
      <c r="H550" s="853"/>
      <c r="I550" s="853"/>
      <c r="J550" s="853"/>
      <c r="K550" s="853"/>
      <c r="L550" s="853"/>
      <c r="M550" s="853"/>
      <c r="N550" s="853"/>
      <c r="O550" s="853"/>
      <c r="P550" s="853"/>
      <c r="Q550" s="853"/>
      <c r="R550" s="853"/>
      <c r="S550" s="853"/>
      <c r="T550" s="853"/>
      <c r="U550" s="853"/>
      <c r="V550" s="853"/>
      <c r="W550" s="853"/>
      <c r="X550" s="853"/>
      <c r="Y550" s="853"/>
      <c r="Z550" s="853"/>
      <c r="AA550" s="853"/>
      <c r="AB550" s="853"/>
      <c r="AC550" s="853"/>
      <c r="AD550" s="853"/>
      <c r="AE550" s="853"/>
      <c r="AF550" s="853"/>
      <c r="AG550" s="853"/>
      <c r="AH550" s="446"/>
      <c r="AI550" s="446"/>
      <c r="AJ550" s="446"/>
      <c r="AK550" s="446"/>
      <c r="AL550" s="446"/>
      <c r="AM550" s="446"/>
      <c r="AN550" s="446"/>
      <c r="AO550" s="446"/>
      <c r="AP550" s="446"/>
      <c r="AQ550" s="446"/>
      <c r="AR550" s="446"/>
      <c r="AS550" s="446"/>
      <c r="AT550" s="446"/>
      <c r="AU550" s="446"/>
      <c r="AV550" s="446"/>
      <c r="AW550" s="446"/>
      <c r="AX550" s="446"/>
      <c r="AY550" s="446"/>
      <c r="AZ550" s="446"/>
      <c r="BA550" s="446"/>
      <c r="BB550" s="446"/>
      <c r="BC550" s="446"/>
      <c r="BD550" s="446"/>
      <c r="BE550" s="446"/>
      <c r="BF550" s="446"/>
      <c r="BG550" s="446"/>
      <c r="BH550" s="446"/>
      <c r="BI550" s="446"/>
      <c r="BJ550" s="446"/>
      <c r="BK550" s="446"/>
      <c r="BL550" s="446"/>
      <c r="BM550" s="446"/>
      <c r="BN550" s="446"/>
      <c r="BO550" s="446"/>
      <c r="BP550" s="446"/>
      <c r="BQ550" s="446"/>
      <c r="BR550" s="446"/>
      <c r="BS550" s="446"/>
      <c r="BT550" s="446"/>
      <c r="BU550" s="562"/>
      <c r="BV550" s="446"/>
      <c r="BW550" s="446"/>
      <c r="BX550" s="446"/>
      <c r="BY550" s="446"/>
      <c r="BZ550" s="446"/>
      <c r="CA550" s="446"/>
      <c r="CB550" s="446"/>
      <c r="CC550" s="446"/>
      <c r="CD550" s="446"/>
      <c r="CE550" s="446"/>
      <c r="CF550" s="446"/>
      <c r="CG550" s="446"/>
      <c r="CH550" s="446"/>
      <c r="CI550" s="446"/>
      <c r="CJ550" s="446"/>
      <c r="CK550" s="446"/>
      <c r="CL550" s="446"/>
      <c r="CM550" s="446"/>
      <c r="CN550" s="446"/>
      <c r="CO550" s="446"/>
      <c r="CP550" s="446"/>
      <c r="CQ550" s="446"/>
      <c r="CR550" s="446"/>
      <c r="CS550" s="446"/>
      <c r="CT550" s="446"/>
      <c r="CU550" s="446"/>
      <c r="CV550" s="446"/>
      <c r="CW550" s="851"/>
      <c r="CX550" s="446"/>
      <c r="CY550" s="446"/>
      <c r="CZ550" s="446"/>
      <c r="DA550" s="446"/>
      <c r="DB550" s="446"/>
      <c r="DC550" s="446"/>
      <c r="DD550" s="446"/>
      <c r="DE550" s="446"/>
      <c r="DF550" s="446"/>
      <c r="DG550" s="446"/>
      <c r="DH550" s="446"/>
      <c r="DI550" s="446"/>
      <c r="DJ550" s="446"/>
      <c r="DK550" s="446"/>
      <c r="DL550" s="446"/>
      <c r="DM550" s="446"/>
      <c r="DN550" s="446"/>
      <c r="DO550" s="446"/>
      <c r="DP550" s="446"/>
      <c r="DQ550" s="446"/>
      <c r="DR550" s="446"/>
      <c r="DS550" s="446"/>
      <c r="DT550" s="446"/>
      <c r="DU550" s="446"/>
      <c r="DV550" s="446"/>
      <c r="DW550" s="446"/>
      <c r="DX550" s="446"/>
      <c r="DY550" s="446"/>
      <c r="DZ550" s="283"/>
    </row>
    <row r="551" spans="2:130" s="223" customFormat="1" x14ac:dyDescent="0.2">
      <c r="B551" s="851"/>
      <c r="C551" s="851"/>
      <c r="D551" s="851"/>
      <c r="E551" s="820"/>
      <c r="F551" s="820"/>
      <c r="G551" s="853"/>
      <c r="H551" s="853"/>
      <c r="I551" s="853"/>
      <c r="J551" s="853"/>
      <c r="K551" s="853"/>
      <c r="L551" s="853"/>
      <c r="M551" s="853"/>
      <c r="N551" s="853"/>
      <c r="O551" s="853"/>
      <c r="P551" s="853"/>
      <c r="Q551" s="853"/>
      <c r="R551" s="853"/>
      <c r="S551" s="853"/>
      <c r="T551" s="853"/>
      <c r="U551" s="853"/>
      <c r="V551" s="853"/>
      <c r="W551" s="853"/>
      <c r="X551" s="853"/>
      <c r="Y551" s="853"/>
      <c r="Z551" s="853"/>
      <c r="AA551" s="853"/>
      <c r="AB551" s="853"/>
      <c r="AC551" s="853"/>
      <c r="AD551" s="853"/>
      <c r="AE551" s="853"/>
      <c r="AF551" s="853"/>
      <c r="AG551" s="853"/>
      <c r="AH551" s="446"/>
      <c r="AI551" s="446"/>
      <c r="AJ551" s="446"/>
      <c r="AK551" s="446"/>
      <c r="AL551" s="446"/>
      <c r="AM551" s="446"/>
      <c r="AN551" s="446"/>
      <c r="AO551" s="446"/>
      <c r="AP551" s="446"/>
      <c r="AQ551" s="446"/>
      <c r="AR551" s="446"/>
      <c r="AS551" s="446"/>
      <c r="AT551" s="446"/>
      <c r="AU551" s="446"/>
      <c r="AV551" s="446"/>
      <c r="AW551" s="446"/>
      <c r="AX551" s="446"/>
      <c r="AY551" s="446"/>
      <c r="AZ551" s="446"/>
      <c r="BA551" s="446"/>
      <c r="BB551" s="446"/>
      <c r="BC551" s="446"/>
      <c r="BD551" s="446"/>
      <c r="BE551" s="446"/>
      <c r="BF551" s="446"/>
      <c r="BG551" s="446"/>
      <c r="BH551" s="446"/>
      <c r="BI551" s="446"/>
      <c r="BJ551" s="446"/>
      <c r="BK551" s="446"/>
      <c r="BL551" s="446"/>
      <c r="BM551" s="446"/>
      <c r="BN551" s="446"/>
      <c r="BO551" s="446"/>
      <c r="BP551" s="446"/>
      <c r="BQ551" s="446"/>
      <c r="BR551" s="446"/>
      <c r="BS551" s="446"/>
      <c r="BT551" s="446"/>
      <c r="BU551" s="562"/>
      <c r="BV551" s="446"/>
      <c r="BW551" s="446"/>
      <c r="BX551" s="446"/>
      <c r="BY551" s="446"/>
      <c r="BZ551" s="446"/>
      <c r="CA551" s="446"/>
      <c r="CB551" s="446"/>
      <c r="CC551" s="446"/>
      <c r="CD551" s="446"/>
      <c r="CE551" s="446"/>
      <c r="CF551" s="446"/>
      <c r="CG551" s="446"/>
      <c r="CH551" s="446"/>
      <c r="CI551" s="446"/>
      <c r="CJ551" s="446"/>
      <c r="CK551" s="446"/>
      <c r="CL551" s="446"/>
      <c r="CM551" s="446"/>
      <c r="CN551" s="446"/>
      <c r="CO551" s="446"/>
      <c r="CP551" s="446"/>
      <c r="CQ551" s="446"/>
      <c r="CR551" s="446"/>
      <c r="CS551" s="446"/>
      <c r="CT551" s="446"/>
      <c r="CU551" s="446"/>
      <c r="CV551" s="446"/>
      <c r="CW551" s="851"/>
      <c r="CX551" s="446"/>
      <c r="CY551" s="446"/>
      <c r="CZ551" s="446"/>
      <c r="DA551" s="446"/>
      <c r="DB551" s="446"/>
      <c r="DC551" s="446"/>
      <c r="DD551" s="446"/>
      <c r="DE551" s="446"/>
      <c r="DF551" s="446"/>
      <c r="DG551" s="446"/>
      <c r="DH551" s="446"/>
      <c r="DI551" s="446"/>
      <c r="DJ551" s="446"/>
      <c r="DK551" s="446"/>
      <c r="DL551" s="446"/>
      <c r="DM551" s="446"/>
      <c r="DN551" s="446"/>
      <c r="DO551" s="446"/>
      <c r="DP551" s="446"/>
      <c r="DQ551" s="446"/>
      <c r="DR551" s="446"/>
      <c r="DS551" s="446"/>
      <c r="DT551" s="446"/>
      <c r="DU551" s="446"/>
      <c r="DV551" s="446"/>
      <c r="DW551" s="446"/>
      <c r="DX551" s="446"/>
      <c r="DY551" s="446"/>
      <c r="DZ551" s="283"/>
    </row>
    <row r="552" spans="2:130" s="223" customFormat="1" x14ac:dyDescent="0.2">
      <c r="B552" s="851"/>
      <c r="C552" s="851"/>
      <c r="D552" s="851"/>
      <c r="E552" s="820"/>
      <c r="F552" s="820"/>
      <c r="G552" s="853"/>
      <c r="H552" s="853"/>
      <c r="I552" s="853"/>
      <c r="J552" s="853"/>
      <c r="K552" s="853"/>
      <c r="L552" s="853"/>
      <c r="M552" s="853"/>
      <c r="N552" s="853"/>
      <c r="O552" s="853"/>
      <c r="P552" s="853"/>
      <c r="Q552" s="853"/>
      <c r="R552" s="853"/>
      <c r="S552" s="853"/>
      <c r="T552" s="853"/>
      <c r="U552" s="853"/>
      <c r="V552" s="853"/>
      <c r="W552" s="853"/>
      <c r="X552" s="853"/>
      <c r="Y552" s="853"/>
      <c r="Z552" s="853"/>
      <c r="AA552" s="853"/>
      <c r="AB552" s="853"/>
      <c r="AC552" s="853"/>
      <c r="AD552" s="853"/>
      <c r="AE552" s="853"/>
      <c r="AF552" s="853"/>
      <c r="AG552" s="853"/>
      <c r="AH552" s="446"/>
      <c r="AI552" s="446"/>
      <c r="AJ552" s="446"/>
      <c r="AK552" s="446"/>
      <c r="AL552" s="446"/>
      <c r="AM552" s="446"/>
      <c r="AN552" s="446"/>
      <c r="AO552" s="446"/>
      <c r="AP552" s="446"/>
      <c r="AQ552" s="446"/>
      <c r="AR552" s="446"/>
      <c r="AS552" s="446"/>
      <c r="AT552" s="446"/>
      <c r="AU552" s="446"/>
      <c r="AV552" s="446"/>
      <c r="AW552" s="446"/>
      <c r="AX552" s="446"/>
      <c r="AY552" s="446"/>
      <c r="AZ552" s="446"/>
      <c r="BA552" s="446"/>
      <c r="BB552" s="446"/>
      <c r="BC552" s="446"/>
      <c r="BD552" s="446"/>
      <c r="BE552" s="446"/>
      <c r="BF552" s="446"/>
      <c r="BG552" s="446"/>
      <c r="BH552" s="446"/>
      <c r="BI552" s="446"/>
      <c r="BJ552" s="446"/>
      <c r="BK552" s="446"/>
      <c r="BL552" s="446"/>
      <c r="BM552" s="446"/>
      <c r="BN552" s="446"/>
      <c r="BO552" s="446"/>
      <c r="BP552" s="446"/>
      <c r="BQ552" s="446"/>
      <c r="BR552" s="446"/>
      <c r="BS552" s="446"/>
      <c r="BT552" s="446"/>
      <c r="BU552" s="562"/>
      <c r="BV552" s="446"/>
      <c r="BW552" s="446"/>
      <c r="BX552" s="446"/>
      <c r="BY552" s="446"/>
      <c r="BZ552" s="446"/>
      <c r="CA552" s="446"/>
      <c r="CB552" s="446"/>
      <c r="CC552" s="446"/>
      <c r="CD552" s="446"/>
      <c r="CE552" s="446"/>
      <c r="CF552" s="446"/>
      <c r="CG552" s="446"/>
      <c r="CH552" s="446"/>
      <c r="CI552" s="446"/>
      <c r="CJ552" s="446"/>
      <c r="CK552" s="446"/>
      <c r="CL552" s="446"/>
      <c r="CM552" s="446"/>
      <c r="CN552" s="446"/>
      <c r="CO552" s="446"/>
      <c r="CP552" s="446"/>
      <c r="CQ552" s="446"/>
      <c r="CR552" s="446"/>
      <c r="CS552" s="446"/>
      <c r="CT552" s="446"/>
      <c r="CU552" s="446"/>
      <c r="CV552" s="446"/>
      <c r="CW552" s="851"/>
      <c r="CX552" s="446"/>
      <c r="CY552" s="446"/>
      <c r="CZ552" s="446"/>
      <c r="DA552" s="446"/>
      <c r="DB552" s="446"/>
      <c r="DC552" s="446"/>
      <c r="DD552" s="446"/>
      <c r="DE552" s="446"/>
      <c r="DF552" s="446"/>
      <c r="DG552" s="446"/>
      <c r="DH552" s="446"/>
      <c r="DI552" s="446"/>
      <c r="DJ552" s="446"/>
      <c r="DK552" s="446"/>
      <c r="DL552" s="446"/>
      <c r="DM552" s="446"/>
      <c r="DN552" s="446"/>
      <c r="DO552" s="446"/>
      <c r="DP552" s="446"/>
      <c r="DQ552" s="446"/>
      <c r="DR552" s="446"/>
      <c r="DS552" s="446"/>
      <c r="DT552" s="446"/>
      <c r="DU552" s="446"/>
      <c r="DV552" s="446"/>
      <c r="DW552" s="446"/>
      <c r="DX552" s="446"/>
      <c r="DY552" s="446"/>
      <c r="DZ552" s="283"/>
    </row>
    <row r="553" spans="2:130" s="223" customFormat="1" x14ac:dyDescent="0.2">
      <c r="B553" s="851"/>
      <c r="C553" s="851"/>
      <c r="D553" s="851"/>
      <c r="E553" s="820"/>
      <c r="F553" s="820"/>
      <c r="G553" s="853"/>
      <c r="H553" s="853"/>
      <c r="I553" s="853"/>
      <c r="J553" s="853"/>
      <c r="K553" s="853"/>
      <c r="L553" s="853"/>
      <c r="M553" s="853"/>
      <c r="N553" s="853"/>
      <c r="O553" s="853"/>
      <c r="P553" s="853"/>
      <c r="Q553" s="853"/>
      <c r="R553" s="853"/>
      <c r="S553" s="853"/>
      <c r="T553" s="853"/>
      <c r="U553" s="853"/>
      <c r="V553" s="853"/>
      <c r="W553" s="853"/>
      <c r="X553" s="853"/>
      <c r="Y553" s="853"/>
      <c r="Z553" s="853"/>
      <c r="AA553" s="853"/>
      <c r="AB553" s="853"/>
      <c r="AC553" s="853"/>
      <c r="AD553" s="853"/>
      <c r="AE553" s="853"/>
      <c r="AF553" s="853"/>
      <c r="AG553" s="853"/>
      <c r="AH553" s="446"/>
      <c r="AI553" s="446"/>
      <c r="AJ553" s="446"/>
      <c r="AK553" s="446"/>
      <c r="AL553" s="446"/>
      <c r="AM553" s="446"/>
      <c r="AN553" s="446"/>
      <c r="AO553" s="446"/>
      <c r="AP553" s="446"/>
      <c r="AQ553" s="446"/>
      <c r="AR553" s="446"/>
      <c r="AS553" s="446"/>
      <c r="AT553" s="446"/>
      <c r="AU553" s="446"/>
      <c r="AV553" s="446"/>
      <c r="AW553" s="446"/>
      <c r="AX553" s="446"/>
      <c r="AY553" s="446"/>
      <c r="AZ553" s="446"/>
      <c r="BA553" s="446"/>
      <c r="BB553" s="446"/>
      <c r="BC553" s="446"/>
      <c r="BD553" s="446"/>
      <c r="BE553" s="446"/>
      <c r="BF553" s="446"/>
      <c r="BG553" s="446"/>
      <c r="BH553" s="446"/>
      <c r="BI553" s="446"/>
      <c r="BJ553" s="446"/>
      <c r="BK553" s="446"/>
      <c r="BL553" s="446"/>
      <c r="BM553" s="446"/>
      <c r="BN553" s="446"/>
      <c r="BO553" s="446"/>
      <c r="BP553" s="446"/>
      <c r="BQ553" s="446"/>
      <c r="BR553" s="446"/>
      <c r="BS553" s="446"/>
      <c r="BT553" s="446"/>
      <c r="BU553" s="562"/>
      <c r="BV553" s="446"/>
      <c r="BW553" s="446"/>
      <c r="BX553" s="446"/>
      <c r="BY553" s="446"/>
      <c r="BZ553" s="446"/>
      <c r="CA553" s="446"/>
      <c r="CB553" s="446"/>
      <c r="CC553" s="446"/>
      <c r="CD553" s="446"/>
      <c r="CE553" s="446"/>
      <c r="CF553" s="446"/>
      <c r="CG553" s="446"/>
      <c r="CH553" s="446"/>
      <c r="CI553" s="446"/>
      <c r="CJ553" s="446"/>
      <c r="CK553" s="446"/>
      <c r="CL553" s="446"/>
      <c r="CM553" s="446"/>
      <c r="CN553" s="446"/>
      <c r="CO553" s="446"/>
      <c r="CP553" s="446"/>
      <c r="CQ553" s="446"/>
      <c r="CR553" s="446"/>
      <c r="CS553" s="446"/>
      <c r="CT553" s="446"/>
      <c r="CU553" s="446"/>
      <c r="CV553" s="446"/>
      <c r="CW553" s="851"/>
      <c r="CX553" s="446"/>
      <c r="CY553" s="446"/>
      <c r="CZ553" s="446"/>
      <c r="DA553" s="446"/>
      <c r="DB553" s="446"/>
      <c r="DC553" s="446"/>
      <c r="DD553" s="446"/>
      <c r="DE553" s="446"/>
      <c r="DF553" s="446"/>
      <c r="DG553" s="446"/>
      <c r="DH553" s="446"/>
      <c r="DI553" s="446"/>
      <c r="DJ553" s="446"/>
      <c r="DK553" s="446"/>
      <c r="DL553" s="446"/>
      <c r="DM553" s="446"/>
      <c r="DN553" s="446"/>
      <c r="DO553" s="446"/>
      <c r="DP553" s="446"/>
      <c r="DQ553" s="446"/>
      <c r="DR553" s="446"/>
      <c r="DS553" s="446"/>
      <c r="DT553" s="446"/>
      <c r="DU553" s="446"/>
      <c r="DV553" s="446"/>
      <c r="DW553" s="446"/>
      <c r="DX553" s="446"/>
      <c r="DY553" s="446"/>
      <c r="DZ553" s="283"/>
    </row>
    <row r="554" spans="2:130" s="223" customFormat="1" x14ac:dyDescent="0.2">
      <c r="B554" s="851"/>
      <c r="C554" s="851"/>
      <c r="D554" s="851"/>
      <c r="E554" s="820"/>
      <c r="F554" s="820"/>
      <c r="G554" s="853"/>
      <c r="H554" s="853"/>
      <c r="I554" s="853"/>
      <c r="J554" s="853"/>
      <c r="K554" s="853"/>
      <c r="L554" s="853"/>
      <c r="M554" s="853"/>
      <c r="N554" s="853"/>
      <c r="O554" s="853"/>
      <c r="P554" s="853"/>
      <c r="Q554" s="853"/>
      <c r="R554" s="853"/>
      <c r="S554" s="853"/>
      <c r="T554" s="853"/>
      <c r="U554" s="853"/>
      <c r="V554" s="853"/>
      <c r="W554" s="853"/>
      <c r="X554" s="853"/>
      <c r="Y554" s="853"/>
      <c r="Z554" s="853"/>
      <c r="AA554" s="853"/>
      <c r="AB554" s="853"/>
      <c r="AC554" s="853"/>
      <c r="AD554" s="853"/>
      <c r="AE554" s="853"/>
      <c r="AF554" s="853"/>
      <c r="AG554" s="853"/>
      <c r="AH554" s="446"/>
      <c r="AI554" s="446"/>
      <c r="AJ554" s="446"/>
      <c r="AK554" s="446"/>
      <c r="AL554" s="446"/>
      <c r="AM554" s="446"/>
      <c r="AN554" s="446"/>
      <c r="AO554" s="446"/>
      <c r="AP554" s="446"/>
      <c r="AQ554" s="446"/>
      <c r="AR554" s="446"/>
      <c r="AS554" s="446"/>
      <c r="AT554" s="446"/>
      <c r="AU554" s="446"/>
      <c r="AV554" s="446"/>
      <c r="AW554" s="446"/>
      <c r="AX554" s="446"/>
      <c r="AY554" s="446"/>
      <c r="AZ554" s="446"/>
      <c r="BA554" s="446"/>
      <c r="BB554" s="446"/>
      <c r="BC554" s="446"/>
      <c r="BD554" s="446"/>
      <c r="BE554" s="446"/>
      <c r="BF554" s="446"/>
      <c r="BG554" s="446"/>
      <c r="BH554" s="446"/>
      <c r="BI554" s="446"/>
      <c r="BJ554" s="446"/>
      <c r="BK554" s="446"/>
      <c r="BL554" s="446"/>
      <c r="BM554" s="446"/>
      <c r="BN554" s="446"/>
      <c r="BO554" s="446"/>
      <c r="BP554" s="446"/>
      <c r="BQ554" s="446"/>
      <c r="BR554" s="446"/>
      <c r="BS554" s="446"/>
      <c r="BT554" s="446"/>
      <c r="BU554" s="562"/>
      <c r="BV554" s="446"/>
      <c r="BW554" s="446"/>
      <c r="BX554" s="446"/>
      <c r="BY554" s="446"/>
      <c r="BZ554" s="446"/>
      <c r="CA554" s="446"/>
      <c r="CB554" s="446"/>
      <c r="CC554" s="446"/>
      <c r="CD554" s="446"/>
      <c r="CE554" s="446"/>
      <c r="CF554" s="446"/>
      <c r="CG554" s="446"/>
      <c r="CH554" s="446"/>
      <c r="CI554" s="446"/>
      <c r="CJ554" s="446"/>
      <c r="CK554" s="446"/>
      <c r="CL554" s="446"/>
      <c r="CM554" s="446"/>
      <c r="CN554" s="446"/>
      <c r="CO554" s="446"/>
      <c r="CP554" s="446"/>
      <c r="CQ554" s="446"/>
      <c r="CR554" s="446"/>
      <c r="CS554" s="446"/>
      <c r="CT554" s="446"/>
      <c r="CU554" s="446"/>
      <c r="CV554" s="446"/>
      <c r="CW554" s="851"/>
      <c r="CX554" s="446"/>
      <c r="CY554" s="446"/>
      <c r="CZ554" s="446"/>
      <c r="DA554" s="446"/>
      <c r="DB554" s="446"/>
      <c r="DC554" s="446"/>
      <c r="DD554" s="446"/>
      <c r="DE554" s="446"/>
      <c r="DF554" s="446"/>
      <c r="DG554" s="446"/>
      <c r="DH554" s="446"/>
      <c r="DI554" s="446"/>
      <c r="DJ554" s="446"/>
      <c r="DK554" s="446"/>
      <c r="DL554" s="446"/>
      <c r="DM554" s="446"/>
      <c r="DN554" s="446"/>
      <c r="DO554" s="446"/>
      <c r="DP554" s="446"/>
      <c r="DQ554" s="446"/>
      <c r="DR554" s="446"/>
      <c r="DS554" s="446"/>
      <c r="DT554" s="446"/>
      <c r="DU554" s="446"/>
      <c r="DV554" s="446"/>
      <c r="DW554" s="446"/>
      <c r="DX554" s="446"/>
      <c r="DY554" s="446"/>
      <c r="DZ554" s="283"/>
    </row>
    <row r="555" spans="2:130" s="223" customFormat="1" x14ac:dyDescent="0.2">
      <c r="B555" s="851"/>
      <c r="C555" s="851"/>
      <c r="D555" s="851"/>
      <c r="E555" s="820"/>
      <c r="F555" s="820"/>
      <c r="G555" s="853"/>
      <c r="H555" s="853"/>
      <c r="I555" s="853"/>
      <c r="J555" s="853"/>
      <c r="K555" s="853"/>
      <c r="L555" s="853"/>
      <c r="M555" s="853"/>
      <c r="N555" s="853"/>
      <c r="O555" s="853"/>
      <c r="P555" s="853"/>
      <c r="Q555" s="853"/>
      <c r="R555" s="853"/>
      <c r="S555" s="853"/>
      <c r="T555" s="853"/>
      <c r="U555" s="853"/>
      <c r="V555" s="853"/>
      <c r="W555" s="853"/>
      <c r="X555" s="853"/>
      <c r="Y555" s="853"/>
      <c r="Z555" s="853"/>
      <c r="AA555" s="853"/>
      <c r="AB555" s="853"/>
      <c r="AC555" s="853"/>
      <c r="AD555" s="853"/>
      <c r="AE555" s="853"/>
      <c r="AF555" s="853"/>
      <c r="AG555" s="853"/>
      <c r="AH555" s="446"/>
      <c r="AI555" s="446"/>
      <c r="AJ555" s="446"/>
      <c r="AK555" s="446"/>
      <c r="AL555" s="446"/>
      <c r="AM555" s="446"/>
      <c r="AN555" s="446"/>
      <c r="AO555" s="446"/>
      <c r="AP555" s="446"/>
      <c r="AQ555" s="446"/>
      <c r="AR555" s="446"/>
      <c r="AS555" s="446"/>
      <c r="AT555" s="446"/>
      <c r="AU555" s="446"/>
      <c r="AV555" s="446"/>
      <c r="AW555" s="446"/>
      <c r="AX555" s="446"/>
      <c r="AY555" s="446"/>
      <c r="AZ555" s="446"/>
      <c r="BA555" s="446"/>
      <c r="BB555" s="446"/>
      <c r="BC555" s="446"/>
      <c r="BD555" s="446"/>
      <c r="BE555" s="446"/>
      <c r="BF555" s="446"/>
      <c r="BG555" s="446"/>
      <c r="BH555" s="446"/>
      <c r="BI555" s="446"/>
      <c r="BJ555" s="446"/>
      <c r="BK555" s="446"/>
      <c r="BL555" s="446"/>
      <c r="BM555" s="446"/>
      <c r="BN555" s="446"/>
      <c r="BO555" s="446"/>
      <c r="BP555" s="446"/>
      <c r="BQ555" s="446"/>
      <c r="BR555" s="446"/>
      <c r="BS555" s="446"/>
      <c r="BT555" s="446"/>
      <c r="BU555" s="562"/>
      <c r="BV555" s="446"/>
      <c r="BW555" s="446"/>
      <c r="BX555" s="446"/>
      <c r="BY555" s="446"/>
      <c r="BZ555" s="446"/>
      <c r="CA555" s="446"/>
      <c r="CB555" s="446"/>
      <c r="CC555" s="446"/>
      <c r="CD555" s="446"/>
      <c r="CE555" s="446"/>
      <c r="CF555" s="446"/>
      <c r="CG555" s="446"/>
      <c r="CH555" s="446"/>
      <c r="CI555" s="446"/>
      <c r="CJ555" s="446"/>
      <c r="CK555" s="446"/>
      <c r="CL555" s="446"/>
      <c r="CM555" s="446"/>
      <c r="CN555" s="446"/>
      <c r="CO555" s="446"/>
      <c r="CP555" s="446"/>
      <c r="CQ555" s="446"/>
      <c r="CR555" s="446"/>
      <c r="CS555" s="446"/>
      <c r="CT555" s="446"/>
      <c r="CU555" s="446"/>
      <c r="CV555" s="446"/>
      <c r="CW555" s="851"/>
      <c r="CX555" s="446"/>
      <c r="CY555" s="446"/>
      <c r="CZ555" s="446"/>
      <c r="DA555" s="446"/>
      <c r="DB555" s="446"/>
      <c r="DC555" s="446"/>
      <c r="DD555" s="446"/>
      <c r="DE555" s="446"/>
      <c r="DF555" s="446"/>
      <c r="DG555" s="446"/>
      <c r="DH555" s="446"/>
      <c r="DI555" s="446"/>
      <c r="DJ555" s="446"/>
      <c r="DK555" s="446"/>
      <c r="DL555" s="446"/>
      <c r="DM555" s="446"/>
      <c r="DN555" s="446"/>
      <c r="DO555" s="446"/>
      <c r="DP555" s="446"/>
      <c r="DQ555" s="446"/>
      <c r="DR555" s="446"/>
      <c r="DS555" s="446"/>
      <c r="DT555" s="446"/>
      <c r="DU555" s="446"/>
      <c r="DV555" s="446"/>
      <c r="DW555" s="446"/>
      <c r="DX555" s="446"/>
      <c r="DY555" s="446"/>
      <c r="DZ555" s="283"/>
    </row>
    <row r="556" spans="2:130" s="223" customFormat="1" x14ac:dyDescent="0.2">
      <c r="B556" s="851"/>
      <c r="C556" s="851"/>
      <c r="D556" s="851"/>
      <c r="E556" s="820"/>
      <c r="F556" s="820"/>
      <c r="G556" s="853"/>
      <c r="H556" s="853"/>
      <c r="I556" s="853"/>
      <c r="J556" s="853"/>
      <c r="K556" s="853"/>
      <c r="L556" s="853"/>
      <c r="M556" s="853"/>
      <c r="N556" s="853"/>
      <c r="O556" s="853"/>
      <c r="P556" s="853"/>
      <c r="Q556" s="853"/>
      <c r="R556" s="853"/>
      <c r="S556" s="853"/>
      <c r="T556" s="853"/>
      <c r="U556" s="853"/>
      <c r="V556" s="853"/>
      <c r="W556" s="853"/>
      <c r="X556" s="853"/>
      <c r="Y556" s="853"/>
      <c r="Z556" s="853"/>
      <c r="AA556" s="853"/>
      <c r="AB556" s="853"/>
      <c r="AC556" s="853"/>
      <c r="AD556" s="853"/>
      <c r="AE556" s="853"/>
      <c r="AF556" s="853"/>
      <c r="AG556" s="853"/>
      <c r="AH556" s="446"/>
      <c r="AI556" s="446"/>
      <c r="AJ556" s="446"/>
      <c r="AK556" s="446"/>
      <c r="AL556" s="446"/>
      <c r="AM556" s="446"/>
      <c r="AN556" s="446"/>
      <c r="AO556" s="446"/>
      <c r="AP556" s="446"/>
      <c r="AQ556" s="446"/>
      <c r="AR556" s="446"/>
      <c r="AS556" s="446"/>
      <c r="AT556" s="446"/>
      <c r="AU556" s="446"/>
      <c r="AV556" s="446"/>
      <c r="AW556" s="446"/>
      <c r="AX556" s="446"/>
      <c r="AY556" s="446"/>
      <c r="AZ556" s="446"/>
      <c r="BA556" s="446"/>
      <c r="BB556" s="446"/>
      <c r="BC556" s="446"/>
      <c r="BD556" s="446"/>
      <c r="BE556" s="446"/>
      <c r="BF556" s="446"/>
      <c r="BG556" s="446"/>
      <c r="BH556" s="446"/>
      <c r="BI556" s="446"/>
      <c r="BJ556" s="446"/>
      <c r="BK556" s="446"/>
      <c r="BL556" s="446"/>
      <c r="BM556" s="446"/>
      <c r="BN556" s="446"/>
      <c r="BO556" s="446"/>
      <c r="BP556" s="446"/>
      <c r="BQ556" s="446"/>
      <c r="BR556" s="446"/>
      <c r="BS556" s="446"/>
      <c r="BT556" s="446"/>
      <c r="BU556" s="562"/>
      <c r="BV556" s="446"/>
      <c r="BW556" s="446"/>
      <c r="BX556" s="446"/>
      <c r="BY556" s="446"/>
      <c r="BZ556" s="446"/>
      <c r="CA556" s="446"/>
      <c r="CB556" s="446"/>
      <c r="CC556" s="446"/>
      <c r="CD556" s="446"/>
      <c r="CE556" s="446"/>
      <c r="CF556" s="446"/>
      <c r="CG556" s="446"/>
      <c r="CH556" s="446"/>
      <c r="CI556" s="446"/>
      <c r="CJ556" s="446"/>
      <c r="CK556" s="446"/>
      <c r="CL556" s="446"/>
      <c r="CM556" s="446"/>
      <c r="CN556" s="446"/>
      <c r="CO556" s="446"/>
      <c r="CP556" s="446"/>
      <c r="CQ556" s="446"/>
      <c r="CR556" s="446"/>
      <c r="CS556" s="446"/>
      <c r="CT556" s="446"/>
      <c r="CU556" s="446"/>
      <c r="CV556" s="446"/>
      <c r="CW556" s="851"/>
      <c r="CX556" s="446"/>
      <c r="CY556" s="446"/>
      <c r="CZ556" s="446"/>
      <c r="DA556" s="446"/>
      <c r="DB556" s="446"/>
      <c r="DC556" s="446"/>
      <c r="DD556" s="446"/>
      <c r="DE556" s="446"/>
      <c r="DF556" s="446"/>
      <c r="DG556" s="446"/>
      <c r="DH556" s="446"/>
      <c r="DI556" s="446"/>
      <c r="DJ556" s="446"/>
      <c r="DK556" s="446"/>
      <c r="DL556" s="446"/>
      <c r="DM556" s="446"/>
      <c r="DN556" s="446"/>
      <c r="DO556" s="446"/>
      <c r="DP556" s="446"/>
      <c r="DQ556" s="446"/>
      <c r="DR556" s="446"/>
      <c r="DS556" s="446"/>
      <c r="DT556" s="446"/>
      <c r="DU556" s="446"/>
      <c r="DV556" s="446"/>
      <c r="DW556" s="446"/>
      <c r="DX556" s="446"/>
      <c r="DY556" s="446"/>
      <c r="DZ556" s="283"/>
    </row>
    <row r="557" spans="2:130" s="223" customFormat="1" x14ac:dyDescent="0.2">
      <c r="B557" s="851"/>
      <c r="C557" s="851"/>
      <c r="D557" s="851"/>
      <c r="E557" s="820"/>
      <c r="F557" s="820"/>
      <c r="G557" s="853"/>
      <c r="H557" s="853"/>
      <c r="I557" s="853"/>
      <c r="J557" s="853"/>
      <c r="K557" s="853"/>
      <c r="L557" s="853"/>
      <c r="M557" s="853"/>
      <c r="N557" s="853"/>
      <c r="O557" s="853"/>
      <c r="P557" s="853"/>
      <c r="Q557" s="853"/>
      <c r="R557" s="853"/>
      <c r="S557" s="853"/>
      <c r="T557" s="853"/>
      <c r="U557" s="853"/>
      <c r="V557" s="853"/>
      <c r="W557" s="853"/>
      <c r="X557" s="853"/>
      <c r="Y557" s="853"/>
      <c r="Z557" s="853"/>
      <c r="AA557" s="853"/>
      <c r="AB557" s="853"/>
      <c r="AC557" s="853"/>
      <c r="AD557" s="853"/>
      <c r="AE557" s="853"/>
      <c r="AF557" s="853"/>
      <c r="AG557" s="853"/>
      <c r="AH557" s="446"/>
      <c r="AI557" s="446"/>
      <c r="AJ557" s="446"/>
      <c r="AK557" s="446"/>
      <c r="AL557" s="446"/>
      <c r="AM557" s="446"/>
      <c r="AN557" s="446"/>
      <c r="AO557" s="446"/>
      <c r="AP557" s="446"/>
      <c r="AQ557" s="446"/>
      <c r="AR557" s="446"/>
      <c r="AS557" s="446"/>
      <c r="AT557" s="446"/>
      <c r="AU557" s="446"/>
      <c r="AV557" s="446"/>
      <c r="AW557" s="446"/>
      <c r="AX557" s="446"/>
      <c r="AY557" s="446"/>
      <c r="AZ557" s="446"/>
      <c r="BA557" s="446"/>
      <c r="BB557" s="446"/>
      <c r="BC557" s="446"/>
      <c r="BD557" s="446"/>
      <c r="BE557" s="446"/>
      <c r="BF557" s="446"/>
      <c r="BG557" s="446"/>
      <c r="BH557" s="446"/>
      <c r="BI557" s="446"/>
      <c r="BJ557" s="446"/>
      <c r="BK557" s="446"/>
      <c r="BL557" s="446"/>
      <c r="BM557" s="446"/>
      <c r="BN557" s="446"/>
      <c r="BO557" s="446"/>
      <c r="BP557" s="446"/>
      <c r="BQ557" s="446"/>
      <c r="BR557" s="446"/>
      <c r="BS557" s="446"/>
      <c r="BT557" s="446"/>
      <c r="BU557" s="562"/>
      <c r="BV557" s="446"/>
      <c r="BW557" s="446"/>
      <c r="BX557" s="446"/>
      <c r="BY557" s="446"/>
      <c r="BZ557" s="446"/>
      <c r="CA557" s="446"/>
      <c r="CB557" s="446"/>
      <c r="CC557" s="446"/>
      <c r="CD557" s="446"/>
      <c r="CE557" s="446"/>
      <c r="CF557" s="446"/>
      <c r="CG557" s="446"/>
      <c r="CH557" s="446"/>
      <c r="CI557" s="446"/>
      <c r="CJ557" s="446"/>
      <c r="CK557" s="446"/>
      <c r="CL557" s="446"/>
      <c r="CM557" s="446"/>
      <c r="CN557" s="446"/>
      <c r="CO557" s="446"/>
      <c r="CP557" s="446"/>
      <c r="CQ557" s="446"/>
      <c r="CR557" s="446"/>
      <c r="CS557" s="446"/>
      <c r="CT557" s="446"/>
      <c r="CU557" s="446"/>
      <c r="CV557" s="446"/>
      <c r="CW557" s="851"/>
      <c r="CX557" s="446"/>
      <c r="CY557" s="446"/>
      <c r="CZ557" s="446"/>
      <c r="DA557" s="446"/>
      <c r="DB557" s="446"/>
      <c r="DC557" s="446"/>
      <c r="DD557" s="446"/>
      <c r="DE557" s="446"/>
      <c r="DF557" s="446"/>
      <c r="DG557" s="446"/>
      <c r="DH557" s="446"/>
      <c r="DI557" s="446"/>
      <c r="DJ557" s="446"/>
      <c r="DK557" s="446"/>
      <c r="DL557" s="446"/>
      <c r="DM557" s="446"/>
      <c r="DN557" s="446"/>
      <c r="DO557" s="446"/>
      <c r="DP557" s="446"/>
      <c r="DQ557" s="446"/>
      <c r="DR557" s="446"/>
      <c r="DS557" s="446"/>
      <c r="DT557" s="446"/>
      <c r="DU557" s="446"/>
      <c r="DV557" s="446"/>
      <c r="DW557" s="446"/>
      <c r="DX557" s="446"/>
      <c r="DY557" s="446"/>
      <c r="DZ557" s="283"/>
    </row>
    <row r="558" spans="2:130" s="223" customFormat="1" x14ac:dyDescent="0.2">
      <c r="B558" s="851"/>
      <c r="C558" s="851"/>
      <c r="D558" s="851"/>
      <c r="E558" s="820"/>
      <c r="F558" s="820"/>
      <c r="G558" s="853"/>
      <c r="H558" s="853"/>
      <c r="I558" s="853"/>
      <c r="J558" s="853"/>
      <c r="K558" s="853"/>
      <c r="L558" s="853"/>
      <c r="M558" s="853"/>
      <c r="N558" s="853"/>
      <c r="O558" s="853"/>
      <c r="P558" s="853"/>
      <c r="Q558" s="853"/>
      <c r="R558" s="853"/>
      <c r="S558" s="853"/>
      <c r="T558" s="853"/>
      <c r="U558" s="853"/>
      <c r="V558" s="853"/>
      <c r="W558" s="853"/>
      <c r="X558" s="853"/>
      <c r="Y558" s="853"/>
      <c r="Z558" s="853"/>
      <c r="AA558" s="853"/>
      <c r="AB558" s="853"/>
      <c r="AC558" s="853"/>
      <c r="AD558" s="853"/>
      <c r="AE558" s="853"/>
      <c r="AF558" s="853"/>
      <c r="AG558" s="853"/>
      <c r="AH558" s="446"/>
      <c r="AI558" s="446"/>
      <c r="AJ558" s="446"/>
      <c r="AK558" s="446"/>
      <c r="AL558" s="446"/>
      <c r="AM558" s="446"/>
      <c r="AN558" s="446"/>
      <c r="AO558" s="446"/>
      <c r="AP558" s="446"/>
      <c r="AQ558" s="446"/>
      <c r="AR558" s="446"/>
      <c r="AS558" s="446"/>
      <c r="AT558" s="446"/>
      <c r="AU558" s="446"/>
      <c r="AV558" s="446"/>
      <c r="AW558" s="446"/>
      <c r="AX558" s="446"/>
      <c r="AY558" s="446"/>
      <c r="AZ558" s="446"/>
      <c r="BA558" s="446"/>
      <c r="BB558" s="446"/>
      <c r="BC558" s="446"/>
      <c r="BD558" s="446"/>
      <c r="BE558" s="446"/>
      <c r="BF558" s="446"/>
      <c r="BG558" s="446"/>
      <c r="BH558" s="446"/>
      <c r="BI558" s="446"/>
      <c r="BJ558" s="446"/>
      <c r="BK558" s="446"/>
      <c r="BL558" s="446"/>
      <c r="BM558" s="446"/>
      <c r="BN558" s="446"/>
      <c r="BO558" s="446"/>
      <c r="BP558" s="446"/>
      <c r="BQ558" s="446"/>
      <c r="BR558" s="446"/>
      <c r="BS558" s="446"/>
      <c r="BT558" s="446"/>
      <c r="BU558" s="562"/>
      <c r="BV558" s="446"/>
      <c r="BW558" s="446"/>
      <c r="BX558" s="446"/>
      <c r="BY558" s="446"/>
      <c r="BZ558" s="446"/>
      <c r="CA558" s="446"/>
      <c r="CB558" s="446"/>
      <c r="CC558" s="446"/>
      <c r="CD558" s="446"/>
      <c r="CE558" s="446"/>
      <c r="CF558" s="446"/>
      <c r="CG558" s="446"/>
      <c r="CH558" s="446"/>
      <c r="CI558" s="446"/>
      <c r="CJ558" s="446"/>
      <c r="CK558" s="446"/>
      <c r="CL558" s="446"/>
      <c r="CM558" s="446"/>
      <c r="CN558" s="446"/>
      <c r="CO558" s="446"/>
      <c r="CP558" s="446"/>
      <c r="CQ558" s="446"/>
      <c r="CR558" s="446"/>
      <c r="CS558" s="446"/>
      <c r="CT558" s="446"/>
      <c r="CU558" s="446"/>
      <c r="CV558" s="446"/>
      <c r="CW558" s="851"/>
      <c r="CX558" s="446"/>
      <c r="CY558" s="446"/>
      <c r="CZ558" s="446"/>
      <c r="DA558" s="446"/>
      <c r="DB558" s="446"/>
      <c r="DC558" s="446"/>
      <c r="DD558" s="446"/>
      <c r="DE558" s="446"/>
      <c r="DF558" s="446"/>
      <c r="DG558" s="446"/>
      <c r="DH558" s="446"/>
      <c r="DI558" s="446"/>
      <c r="DJ558" s="446"/>
      <c r="DK558" s="446"/>
      <c r="DL558" s="446"/>
      <c r="DM558" s="446"/>
      <c r="DN558" s="446"/>
      <c r="DO558" s="446"/>
      <c r="DP558" s="446"/>
      <c r="DQ558" s="446"/>
      <c r="DR558" s="446"/>
      <c r="DS558" s="446"/>
      <c r="DT558" s="446"/>
      <c r="DU558" s="446"/>
      <c r="DV558" s="446"/>
      <c r="DW558" s="446"/>
      <c r="DX558" s="446"/>
      <c r="DY558" s="446"/>
      <c r="DZ558" s="283"/>
    </row>
    <row r="559" spans="2:130" s="223" customFormat="1" x14ac:dyDescent="0.2">
      <c r="B559" s="851"/>
      <c r="C559" s="851"/>
      <c r="D559" s="851"/>
      <c r="E559" s="820"/>
      <c r="F559" s="820"/>
      <c r="G559" s="853"/>
      <c r="H559" s="853"/>
      <c r="I559" s="853"/>
      <c r="J559" s="853"/>
      <c r="K559" s="853"/>
      <c r="L559" s="853"/>
      <c r="M559" s="853"/>
      <c r="N559" s="853"/>
      <c r="O559" s="853"/>
      <c r="P559" s="853"/>
      <c r="Q559" s="853"/>
      <c r="R559" s="853"/>
      <c r="S559" s="853"/>
      <c r="T559" s="853"/>
      <c r="U559" s="853"/>
      <c r="V559" s="853"/>
      <c r="W559" s="853"/>
      <c r="X559" s="853"/>
      <c r="Y559" s="853"/>
      <c r="Z559" s="853"/>
      <c r="AA559" s="853"/>
      <c r="AB559" s="853"/>
      <c r="AC559" s="853"/>
      <c r="AD559" s="853"/>
      <c r="AE559" s="853"/>
      <c r="AF559" s="853"/>
      <c r="AG559" s="853"/>
      <c r="AH559" s="446"/>
      <c r="AI559" s="446"/>
      <c r="AJ559" s="446"/>
      <c r="AK559" s="446"/>
      <c r="AL559" s="446"/>
      <c r="AM559" s="446"/>
      <c r="AN559" s="446"/>
      <c r="AO559" s="446"/>
      <c r="AP559" s="446"/>
      <c r="AQ559" s="446"/>
      <c r="AR559" s="446"/>
      <c r="AS559" s="446"/>
      <c r="AT559" s="446"/>
      <c r="AU559" s="446"/>
      <c r="AV559" s="446"/>
      <c r="AW559" s="446"/>
      <c r="AX559" s="446"/>
      <c r="AY559" s="446"/>
      <c r="AZ559" s="446"/>
      <c r="BA559" s="446"/>
      <c r="BB559" s="446"/>
      <c r="BC559" s="446"/>
      <c r="BD559" s="446"/>
      <c r="BE559" s="446"/>
      <c r="BF559" s="446"/>
      <c r="BG559" s="446"/>
      <c r="BH559" s="446"/>
      <c r="BI559" s="446"/>
      <c r="BJ559" s="446"/>
      <c r="BK559" s="446"/>
      <c r="BL559" s="446"/>
      <c r="BM559" s="446"/>
      <c r="BN559" s="446"/>
      <c r="BO559" s="446"/>
      <c r="BP559" s="446"/>
      <c r="BQ559" s="446"/>
      <c r="BR559" s="446"/>
      <c r="BS559" s="446"/>
      <c r="BT559" s="446"/>
      <c r="BU559" s="562"/>
      <c r="BV559" s="446"/>
      <c r="BW559" s="446"/>
      <c r="BX559" s="446"/>
      <c r="BY559" s="446"/>
      <c r="BZ559" s="446"/>
      <c r="CA559" s="446"/>
      <c r="CB559" s="446"/>
      <c r="CC559" s="446"/>
      <c r="CD559" s="446"/>
      <c r="CE559" s="446"/>
      <c r="CF559" s="446"/>
      <c r="CG559" s="446"/>
      <c r="CH559" s="446"/>
      <c r="CI559" s="446"/>
      <c r="CJ559" s="446"/>
      <c r="CK559" s="446"/>
      <c r="CL559" s="446"/>
      <c r="CM559" s="446"/>
      <c r="CN559" s="446"/>
      <c r="CO559" s="446"/>
      <c r="CP559" s="446"/>
      <c r="CQ559" s="446"/>
      <c r="CR559" s="446"/>
      <c r="CS559" s="446"/>
      <c r="CT559" s="446"/>
      <c r="CU559" s="446"/>
      <c r="CV559" s="446"/>
      <c r="CW559" s="851"/>
      <c r="CX559" s="446"/>
      <c r="CY559" s="446"/>
      <c r="CZ559" s="446"/>
      <c r="DA559" s="446"/>
      <c r="DB559" s="446"/>
      <c r="DC559" s="446"/>
      <c r="DD559" s="446"/>
      <c r="DE559" s="446"/>
      <c r="DF559" s="446"/>
      <c r="DG559" s="446"/>
      <c r="DH559" s="446"/>
      <c r="DI559" s="446"/>
      <c r="DJ559" s="446"/>
      <c r="DK559" s="446"/>
      <c r="DL559" s="446"/>
      <c r="DM559" s="446"/>
      <c r="DN559" s="446"/>
      <c r="DO559" s="446"/>
      <c r="DP559" s="446"/>
      <c r="DQ559" s="446"/>
      <c r="DR559" s="446"/>
      <c r="DS559" s="446"/>
      <c r="DT559" s="446"/>
      <c r="DU559" s="446"/>
      <c r="DV559" s="446"/>
      <c r="DW559" s="446"/>
      <c r="DX559" s="446"/>
      <c r="DY559" s="446"/>
      <c r="DZ559" s="283"/>
    </row>
    <row r="560" spans="2:130" s="223" customFormat="1" x14ac:dyDescent="0.2">
      <c r="B560" s="851"/>
      <c r="C560" s="851"/>
      <c r="D560" s="851"/>
      <c r="E560" s="820"/>
      <c r="F560" s="820"/>
      <c r="G560" s="853"/>
      <c r="H560" s="853"/>
      <c r="I560" s="853"/>
      <c r="J560" s="853"/>
      <c r="K560" s="853"/>
      <c r="L560" s="853"/>
      <c r="M560" s="853"/>
      <c r="N560" s="853"/>
      <c r="O560" s="853"/>
      <c r="P560" s="853"/>
      <c r="Q560" s="853"/>
      <c r="R560" s="853"/>
      <c r="S560" s="853"/>
      <c r="T560" s="853"/>
      <c r="U560" s="853"/>
      <c r="V560" s="853"/>
      <c r="W560" s="853"/>
      <c r="X560" s="853"/>
      <c r="Y560" s="853"/>
      <c r="Z560" s="853"/>
      <c r="AA560" s="853"/>
      <c r="AB560" s="853"/>
      <c r="AC560" s="853"/>
      <c r="AD560" s="853"/>
      <c r="AE560" s="853"/>
      <c r="AF560" s="853"/>
      <c r="AG560" s="853"/>
      <c r="AH560" s="446"/>
      <c r="AI560" s="446"/>
      <c r="AJ560" s="446"/>
      <c r="AK560" s="446"/>
      <c r="AL560" s="446"/>
      <c r="AM560" s="446"/>
      <c r="AN560" s="446"/>
      <c r="AO560" s="446"/>
      <c r="AP560" s="446"/>
      <c r="AQ560" s="446"/>
      <c r="AR560" s="446"/>
      <c r="AS560" s="446"/>
      <c r="AT560" s="446"/>
      <c r="AU560" s="446"/>
      <c r="AV560" s="446"/>
      <c r="AW560" s="446"/>
      <c r="AX560" s="446"/>
      <c r="AY560" s="446"/>
      <c r="AZ560" s="446"/>
      <c r="BA560" s="446"/>
      <c r="BB560" s="446"/>
      <c r="BC560" s="446"/>
      <c r="BD560" s="446"/>
      <c r="BE560" s="446"/>
      <c r="BF560" s="446"/>
      <c r="BG560" s="446"/>
      <c r="BH560" s="446"/>
      <c r="BI560" s="446"/>
      <c r="BJ560" s="446"/>
      <c r="BK560" s="446"/>
      <c r="BL560" s="446"/>
      <c r="BM560" s="446"/>
      <c r="BN560" s="446"/>
      <c r="BO560" s="446"/>
      <c r="BP560" s="446"/>
      <c r="BQ560" s="446"/>
      <c r="BR560" s="446"/>
      <c r="BS560" s="446"/>
      <c r="BT560" s="446"/>
      <c r="BU560" s="562"/>
      <c r="BV560" s="446"/>
      <c r="BW560" s="446"/>
      <c r="BX560" s="446"/>
      <c r="BY560" s="446"/>
      <c r="BZ560" s="446"/>
      <c r="CA560" s="446"/>
      <c r="CB560" s="446"/>
      <c r="CC560" s="446"/>
      <c r="CD560" s="446"/>
      <c r="CE560" s="446"/>
      <c r="CF560" s="446"/>
      <c r="CG560" s="446"/>
      <c r="CH560" s="446"/>
      <c r="CI560" s="446"/>
      <c r="CJ560" s="446"/>
      <c r="CK560" s="446"/>
      <c r="CL560" s="446"/>
      <c r="CM560" s="446"/>
      <c r="CN560" s="446"/>
      <c r="CO560" s="446"/>
      <c r="CP560" s="446"/>
      <c r="CQ560" s="446"/>
      <c r="CR560" s="446"/>
      <c r="CS560" s="446"/>
      <c r="CT560" s="446"/>
      <c r="CU560" s="446"/>
      <c r="CV560" s="446"/>
      <c r="CW560" s="851"/>
      <c r="CX560" s="446"/>
      <c r="CY560" s="446"/>
      <c r="CZ560" s="446"/>
      <c r="DA560" s="446"/>
      <c r="DB560" s="446"/>
      <c r="DC560" s="446"/>
      <c r="DD560" s="446"/>
      <c r="DE560" s="446"/>
      <c r="DF560" s="446"/>
      <c r="DG560" s="446"/>
      <c r="DH560" s="446"/>
      <c r="DI560" s="446"/>
      <c r="DJ560" s="446"/>
      <c r="DK560" s="446"/>
      <c r="DL560" s="446"/>
      <c r="DM560" s="446"/>
      <c r="DN560" s="446"/>
      <c r="DO560" s="446"/>
      <c r="DP560" s="446"/>
      <c r="DQ560" s="446"/>
      <c r="DR560" s="446"/>
      <c r="DS560" s="446"/>
      <c r="DT560" s="446"/>
      <c r="DU560" s="446"/>
      <c r="DV560" s="446"/>
      <c r="DW560" s="446"/>
      <c r="DX560" s="446"/>
      <c r="DY560" s="446"/>
      <c r="DZ560" s="283"/>
    </row>
    <row r="561" spans="2:130" s="223" customFormat="1" x14ac:dyDescent="0.2">
      <c r="B561" s="851"/>
      <c r="C561" s="851"/>
      <c r="D561" s="851"/>
      <c r="E561" s="820"/>
      <c r="F561" s="820"/>
      <c r="G561" s="853"/>
      <c r="H561" s="853"/>
      <c r="I561" s="853"/>
      <c r="J561" s="853"/>
      <c r="K561" s="853"/>
      <c r="L561" s="853"/>
      <c r="M561" s="853"/>
      <c r="N561" s="853"/>
      <c r="O561" s="853"/>
      <c r="P561" s="853"/>
      <c r="Q561" s="853"/>
      <c r="R561" s="853"/>
      <c r="S561" s="853"/>
      <c r="T561" s="853"/>
      <c r="U561" s="853"/>
      <c r="V561" s="853"/>
      <c r="W561" s="853"/>
      <c r="X561" s="853"/>
      <c r="Y561" s="853"/>
      <c r="Z561" s="853"/>
      <c r="AA561" s="853"/>
      <c r="AB561" s="853"/>
      <c r="AC561" s="853"/>
      <c r="AD561" s="853"/>
      <c r="AE561" s="853"/>
      <c r="AF561" s="853"/>
      <c r="AG561" s="853"/>
      <c r="AH561" s="446"/>
      <c r="AI561" s="446"/>
      <c r="AJ561" s="446"/>
      <c r="AK561" s="446"/>
      <c r="AL561" s="446"/>
      <c r="AM561" s="446"/>
      <c r="AN561" s="446"/>
      <c r="AO561" s="446"/>
      <c r="AP561" s="446"/>
      <c r="AQ561" s="446"/>
      <c r="AR561" s="446"/>
      <c r="AS561" s="446"/>
      <c r="AT561" s="446"/>
      <c r="AU561" s="446"/>
      <c r="AV561" s="446"/>
      <c r="AW561" s="446"/>
      <c r="AX561" s="446"/>
      <c r="AY561" s="446"/>
      <c r="AZ561" s="446"/>
      <c r="BA561" s="446"/>
      <c r="BB561" s="446"/>
      <c r="BC561" s="446"/>
      <c r="BD561" s="446"/>
      <c r="BE561" s="446"/>
      <c r="BF561" s="446"/>
      <c r="BG561" s="446"/>
      <c r="BH561" s="446"/>
      <c r="BI561" s="446"/>
      <c r="BJ561" s="446"/>
      <c r="BK561" s="446"/>
      <c r="BL561" s="446"/>
      <c r="BM561" s="446"/>
      <c r="BN561" s="446"/>
      <c r="BO561" s="446"/>
      <c r="BP561" s="446"/>
      <c r="BQ561" s="446"/>
      <c r="BR561" s="446"/>
      <c r="BS561" s="446"/>
      <c r="BT561" s="446"/>
      <c r="BU561" s="562"/>
      <c r="BV561" s="446"/>
      <c r="BW561" s="446"/>
      <c r="BX561" s="446"/>
      <c r="BY561" s="446"/>
      <c r="BZ561" s="446"/>
      <c r="CA561" s="446"/>
      <c r="CB561" s="446"/>
      <c r="CC561" s="446"/>
      <c r="CD561" s="446"/>
      <c r="CE561" s="446"/>
      <c r="CF561" s="446"/>
      <c r="CG561" s="446"/>
      <c r="CH561" s="446"/>
      <c r="CI561" s="446"/>
      <c r="CJ561" s="446"/>
      <c r="CK561" s="446"/>
      <c r="CL561" s="446"/>
      <c r="CM561" s="446"/>
      <c r="CN561" s="446"/>
      <c r="CO561" s="446"/>
      <c r="CP561" s="446"/>
      <c r="CQ561" s="446"/>
      <c r="CR561" s="446"/>
      <c r="CS561" s="446"/>
      <c r="CT561" s="446"/>
      <c r="CU561" s="446"/>
      <c r="CV561" s="446"/>
      <c r="CW561" s="851"/>
      <c r="CX561" s="446"/>
      <c r="CY561" s="446"/>
      <c r="CZ561" s="446"/>
      <c r="DA561" s="446"/>
      <c r="DB561" s="446"/>
      <c r="DC561" s="446"/>
      <c r="DD561" s="446"/>
      <c r="DE561" s="446"/>
      <c r="DF561" s="446"/>
      <c r="DG561" s="446"/>
      <c r="DH561" s="446"/>
      <c r="DI561" s="446"/>
      <c r="DJ561" s="446"/>
      <c r="DK561" s="446"/>
      <c r="DL561" s="446"/>
      <c r="DM561" s="446"/>
      <c r="DN561" s="446"/>
      <c r="DO561" s="446"/>
      <c r="DP561" s="446"/>
      <c r="DQ561" s="446"/>
      <c r="DR561" s="446"/>
      <c r="DS561" s="446"/>
      <c r="DT561" s="446"/>
      <c r="DU561" s="446"/>
      <c r="DV561" s="446"/>
      <c r="DW561" s="446"/>
      <c r="DX561" s="446"/>
      <c r="DY561" s="446"/>
      <c r="DZ561" s="283"/>
    </row>
    <row r="562" spans="2:130" s="223" customFormat="1" x14ac:dyDescent="0.2">
      <c r="B562" s="851"/>
      <c r="C562" s="851"/>
      <c r="D562" s="851"/>
      <c r="E562" s="820"/>
      <c r="F562" s="820"/>
      <c r="G562" s="853"/>
      <c r="H562" s="853"/>
      <c r="I562" s="853"/>
      <c r="J562" s="853"/>
      <c r="K562" s="853"/>
      <c r="L562" s="853"/>
      <c r="M562" s="853"/>
      <c r="N562" s="853"/>
      <c r="O562" s="853"/>
      <c r="P562" s="853"/>
      <c r="Q562" s="853"/>
      <c r="R562" s="853"/>
      <c r="S562" s="853"/>
      <c r="T562" s="853"/>
      <c r="U562" s="853"/>
      <c r="V562" s="853"/>
      <c r="W562" s="853"/>
      <c r="X562" s="853"/>
      <c r="Y562" s="853"/>
      <c r="Z562" s="853"/>
      <c r="AA562" s="853"/>
      <c r="AB562" s="853"/>
      <c r="AC562" s="853"/>
      <c r="AD562" s="853"/>
      <c r="AE562" s="853"/>
      <c r="AF562" s="853"/>
      <c r="AG562" s="853"/>
      <c r="AH562" s="446"/>
      <c r="AI562" s="446"/>
      <c r="AJ562" s="446"/>
      <c r="AK562" s="446"/>
      <c r="AL562" s="446"/>
      <c r="AM562" s="446"/>
      <c r="AN562" s="446"/>
      <c r="AO562" s="446"/>
      <c r="AP562" s="446"/>
      <c r="AQ562" s="446"/>
      <c r="AR562" s="446"/>
      <c r="AS562" s="446"/>
      <c r="AT562" s="446"/>
      <c r="AU562" s="446"/>
      <c r="AV562" s="446"/>
      <c r="AW562" s="446"/>
      <c r="AX562" s="446"/>
      <c r="AY562" s="446"/>
      <c r="AZ562" s="446"/>
      <c r="BA562" s="446"/>
      <c r="BB562" s="446"/>
      <c r="BC562" s="446"/>
      <c r="BD562" s="446"/>
      <c r="BE562" s="446"/>
      <c r="BF562" s="446"/>
      <c r="BG562" s="446"/>
      <c r="BH562" s="446"/>
      <c r="BI562" s="446"/>
      <c r="BJ562" s="446"/>
      <c r="BK562" s="446"/>
      <c r="BL562" s="446"/>
      <c r="BM562" s="446"/>
      <c r="BN562" s="446"/>
      <c r="BO562" s="446"/>
      <c r="BP562" s="446"/>
      <c r="BQ562" s="446"/>
      <c r="BR562" s="446"/>
      <c r="BS562" s="446"/>
      <c r="BT562" s="446"/>
      <c r="BU562" s="562"/>
      <c r="BV562" s="446"/>
      <c r="BW562" s="446"/>
      <c r="BX562" s="446"/>
      <c r="BY562" s="446"/>
      <c r="BZ562" s="446"/>
      <c r="CA562" s="446"/>
      <c r="CB562" s="446"/>
      <c r="CC562" s="446"/>
      <c r="CD562" s="446"/>
      <c r="CE562" s="446"/>
      <c r="CF562" s="446"/>
      <c r="CG562" s="446"/>
      <c r="CH562" s="446"/>
      <c r="CI562" s="446"/>
      <c r="CJ562" s="446"/>
      <c r="CK562" s="446"/>
      <c r="CL562" s="446"/>
      <c r="CM562" s="446"/>
      <c r="CN562" s="446"/>
      <c r="CO562" s="446"/>
      <c r="CP562" s="446"/>
      <c r="CQ562" s="446"/>
      <c r="CR562" s="446"/>
      <c r="CS562" s="446"/>
      <c r="CT562" s="446"/>
      <c r="CU562" s="446"/>
      <c r="CV562" s="446"/>
      <c r="CW562" s="851"/>
      <c r="CX562" s="446"/>
      <c r="CY562" s="446"/>
      <c r="CZ562" s="446"/>
      <c r="DA562" s="446"/>
      <c r="DB562" s="446"/>
      <c r="DC562" s="446"/>
      <c r="DD562" s="446"/>
      <c r="DE562" s="446"/>
      <c r="DF562" s="446"/>
      <c r="DG562" s="446"/>
      <c r="DH562" s="446"/>
      <c r="DI562" s="446"/>
      <c r="DJ562" s="446"/>
      <c r="DK562" s="446"/>
      <c r="DL562" s="446"/>
      <c r="DM562" s="446"/>
      <c r="DN562" s="446"/>
      <c r="DO562" s="446"/>
      <c r="DP562" s="446"/>
      <c r="DQ562" s="446"/>
      <c r="DR562" s="446"/>
      <c r="DS562" s="446"/>
      <c r="DT562" s="446"/>
      <c r="DU562" s="446"/>
      <c r="DV562" s="446"/>
      <c r="DW562" s="446"/>
      <c r="DX562" s="446"/>
      <c r="DY562" s="446"/>
      <c r="DZ562" s="283"/>
    </row>
    <row r="563" spans="2:130" s="223" customFormat="1" x14ac:dyDescent="0.2">
      <c r="B563" s="851"/>
      <c r="C563" s="851"/>
      <c r="D563" s="851"/>
      <c r="E563" s="820"/>
      <c r="F563" s="820"/>
      <c r="G563" s="853"/>
      <c r="H563" s="853"/>
      <c r="I563" s="853"/>
      <c r="J563" s="853"/>
      <c r="K563" s="853"/>
      <c r="L563" s="853"/>
      <c r="M563" s="853"/>
      <c r="N563" s="853"/>
      <c r="O563" s="853"/>
      <c r="P563" s="853"/>
      <c r="Q563" s="853"/>
      <c r="R563" s="853"/>
      <c r="S563" s="853"/>
      <c r="T563" s="853"/>
      <c r="U563" s="853"/>
      <c r="V563" s="853"/>
      <c r="W563" s="853"/>
      <c r="X563" s="853"/>
      <c r="Y563" s="853"/>
      <c r="Z563" s="853"/>
      <c r="AA563" s="853"/>
      <c r="AB563" s="853"/>
      <c r="AC563" s="853"/>
      <c r="AD563" s="853"/>
      <c r="AE563" s="853"/>
      <c r="AF563" s="853"/>
      <c r="AG563" s="853"/>
      <c r="AH563" s="446"/>
      <c r="AI563" s="446"/>
      <c r="AJ563" s="446"/>
      <c r="AK563" s="446"/>
      <c r="AL563" s="446"/>
      <c r="AM563" s="446"/>
      <c r="AN563" s="446"/>
      <c r="AO563" s="446"/>
      <c r="AP563" s="446"/>
      <c r="AQ563" s="446"/>
      <c r="AR563" s="446"/>
      <c r="AS563" s="446"/>
      <c r="AT563" s="446"/>
      <c r="AU563" s="446"/>
      <c r="AV563" s="446"/>
      <c r="AW563" s="446"/>
      <c r="AX563" s="446"/>
      <c r="AY563" s="446"/>
      <c r="AZ563" s="446"/>
      <c r="BA563" s="446"/>
      <c r="BB563" s="446"/>
      <c r="BC563" s="446"/>
      <c r="BD563" s="446"/>
      <c r="BE563" s="446"/>
      <c r="BF563" s="446"/>
      <c r="BG563" s="446"/>
      <c r="BH563" s="446"/>
      <c r="BI563" s="446"/>
      <c r="BJ563" s="446"/>
      <c r="BK563" s="446"/>
      <c r="BL563" s="446"/>
      <c r="BM563" s="446"/>
      <c r="BN563" s="446"/>
      <c r="BO563" s="446"/>
      <c r="BP563" s="446"/>
      <c r="BQ563" s="446"/>
      <c r="BR563" s="446"/>
      <c r="BS563" s="446"/>
      <c r="BT563" s="446"/>
      <c r="BU563" s="562"/>
      <c r="BV563" s="446"/>
      <c r="BW563" s="446"/>
      <c r="BX563" s="446"/>
      <c r="BY563" s="446"/>
      <c r="BZ563" s="446"/>
      <c r="CA563" s="446"/>
      <c r="CB563" s="446"/>
      <c r="CC563" s="446"/>
      <c r="CD563" s="446"/>
      <c r="CE563" s="446"/>
      <c r="CF563" s="446"/>
      <c r="CG563" s="446"/>
      <c r="CH563" s="446"/>
      <c r="CI563" s="446"/>
      <c r="CJ563" s="446"/>
      <c r="CK563" s="446"/>
      <c r="CL563" s="446"/>
      <c r="CM563" s="446"/>
      <c r="CN563" s="446"/>
      <c r="CO563" s="446"/>
      <c r="CP563" s="446"/>
      <c r="CQ563" s="446"/>
      <c r="CR563" s="446"/>
      <c r="CS563" s="446"/>
      <c r="CT563" s="446"/>
      <c r="CU563" s="446"/>
      <c r="CV563" s="446"/>
      <c r="CW563" s="851"/>
      <c r="CX563" s="446"/>
      <c r="CY563" s="446"/>
      <c r="CZ563" s="446"/>
      <c r="DA563" s="446"/>
      <c r="DB563" s="446"/>
      <c r="DC563" s="446"/>
      <c r="DD563" s="446"/>
      <c r="DE563" s="446"/>
      <c r="DF563" s="446"/>
      <c r="DG563" s="446"/>
      <c r="DH563" s="446"/>
      <c r="DI563" s="446"/>
      <c r="DJ563" s="446"/>
      <c r="DK563" s="446"/>
      <c r="DL563" s="446"/>
      <c r="DM563" s="446"/>
      <c r="DN563" s="446"/>
      <c r="DO563" s="446"/>
      <c r="DP563" s="446"/>
      <c r="DQ563" s="446"/>
      <c r="DR563" s="446"/>
      <c r="DS563" s="446"/>
      <c r="DT563" s="446"/>
      <c r="DU563" s="446"/>
      <c r="DV563" s="446"/>
      <c r="DW563" s="446"/>
      <c r="DX563" s="446"/>
      <c r="DY563" s="446"/>
      <c r="DZ563" s="283"/>
    </row>
    <row r="564" spans="2:130" s="223" customFormat="1" x14ac:dyDescent="0.2">
      <c r="B564" s="851"/>
      <c r="C564" s="851"/>
      <c r="D564" s="851"/>
      <c r="E564" s="820"/>
      <c r="F564" s="820"/>
      <c r="G564" s="853"/>
      <c r="H564" s="853"/>
      <c r="I564" s="853"/>
      <c r="J564" s="853"/>
      <c r="K564" s="853"/>
      <c r="L564" s="853"/>
      <c r="M564" s="853"/>
      <c r="N564" s="853"/>
      <c r="O564" s="853"/>
      <c r="P564" s="853"/>
      <c r="Q564" s="853"/>
      <c r="R564" s="853"/>
      <c r="S564" s="853"/>
      <c r="T564" s="853"/>
      <c r="U564" s="853"/>
      <c r="V564" s="853"/>
      <c r="W564" s="853"/>
      <c r="X564" s="853"/>
      <c r="Y564" s="853"/>
      <c r="Z564" s="853"/>
      <c r="AA564" s="853"/>
      <c r="AB564" s="853"/>
      <c r="AC564" s="853"/>
      <c r="AD564" s="853"/>
      <c r="AE564" s="853"/>
      <c r="AF564" s="853"/>
      <c r="AG564" s="853"/>
      <c r="AH564" s="446"/>
      <c r="AI564" s="446"/>
      <c r="AJ564" s="446"/>
      <c r="AK564" s="446"/>
      <c r="AL564" s="446"/>
      <c r="AM564" s="446"/>
      <c r="AN564" s="446"/>
      <c r="AO564" s="446"/>
      <c r="AP564" s="446"/>
      <c r="AQ564" s="446"/>
      <c r="AR564" s="446"/>
      <c r="AS564" s="446"/>
      <c r="AT564" s="446"/>
      <c r="AU564" s="446"/>
      <c r="AV564" s="446"/>
      <c r="AW564" s="446"/>
      <c r="AX564" s="446"/>
      <c r="AY564" s="446"/>
      <c r="AZ564" s="446"/>
      <c r="BA564" s="446"/>
      <c r="BB564" s="446"/>
      <c r="BC564" s="446"/>
      <c r="BD564" s="446"/>
      <c r="BE564" s="446"/>
      <c r="BF564" s="446"/>
      <c r="BG564" s="446"/>
      <c r="BH564" s="446"/>
      <c r="BI564" s="446"/>
      <c r="BJ564" s="446"/>
      <c r="BK564" s="446"/>
      <c r="BL564" s="446"/>
      <c r="BM564" s="446"/>
      <c r="BN564" s="446"/>
      <c r="BO564" s="446"/>
      <c r="BP564" s="446"/>
      <c r="BQ564" s="446"/>
      <c r="BR564" s="446"/>
      <c r="BS564" s="446"/>
      <c r="BT564" s="446"/>
      <c r="BU564" s="562"/>
      <c r="BV564" s="446"/>
      <c r="BW564" s="446"/>
      <c r="BX564" s="446"/>
      <c r="BY564" s="446"/>
      <c r="BZ564" s="446"/>
      <c r="CA564" s="446"/>
      <c r="CB564" s="446"/>
      <c r="CC564" s="446"/>
      <c r="CD564" s="446"/>
      <c r="CE564" s="446"/>
      <c r="CF564" s="446"/>
      <c r="CG564" s="446"/>
      <c r="CH564" s="446"/>
      <c r="CI564" s="446"/>
      <c r="CJ564" s="446"/>
      <c r="CK564" s="446"/>
      <c r="CL564" s="446"/>
      <c r="CM564" s="446"/>
      <c r="CN564" s="446"/>
      <c r="CO564" s="446"/>
      <c r="CP564" s="446"/>
      <c r="CQ564" s="446"/>
      <c r="CR564" s="446"/>
      <c r="CS564" s="446"/>
      <c r="CT564" s="446"/>
      <c r="CU564" s="446"/>
      <c r="CV564" s="446"/>
      <c r="CW564" s="851"/>
      <c r="CX564" s="446"/>
      <c r="CY564" s="446"/>
      <c r="CZ564" s="446"/>
      <c r="DA564" s="446"/>
      <c r="DB564" s="446"/>
      <c r="DC564" s="446"/>
      <c r="DD564" s="446"/>
      <c r="DE564" s="446"/>
      <c r="DF564" s="446"/>
      <c r="DG564" s="446"/>
      <c r="DH564" s="446"/>
      <c r="DI564" s="446"/>
      <c r="DJ564" s="446"/>
      <c r="DK564" s="446"/>
      <c r="DL564" s="446"/>
      <c r="DM564" s="446"/>
      <c r="DN564" s="446"/>
      <c r="DO564" s="446"/>
      <c r="DP564" s="446"/>
      <c r="DQ564" s="446"/>
      <c r="DR564" s="446"/>
      <c r="DS564" s="446"/>
      <c r="DT564" s="446"/>
      <c r="DU564" s="446"/>
      <c r="DV564" s="446"/>
      <c r="DW564" s="446"/>
      <c r="DX564" s="446"/>
      <c r="DY564" s="446"/>
      <c r="DZ564" s="283"/>
    </row>
    <row r="565" spans="2:130" s="223" customFormat="1" x14ac:dyDescent="0.2">
      <c r="B565" s="851"/>
      <c r="C565" s="851"/>
      <c r="D565" s="851"/>
      <c r="E565" s="820"/>
      <c r="F565" s="820"/>
      <c r="G565" s="853"/>
      <c r="H565" s="853"/>
      <c r="I565" s="853"/>
      <c r="J565" s="853"/>
      <c r="K565" s="853"/>
      <c r="L565" s="853"/>
      <c r="M565" s="853"/>
      <c r="N565" s="853"/>
      <c r="O565" s="853"/>
      <c r="P565" s="853"/>
      <c r="Q565" s="853"/>
      <c r="R565" s="853"/>
      <c r="S565" s="853"/>
      <c r="T565" s="853"/>
      <c r="U565" s="853"/>
      <c r="V565" s="853"/>
      <c r="W565" s="853"/>
      <c r="X565" s="853"/>
      <c r="Y565" s="853"/>
      <c r="Z565" s="853"/>
      <c r="AA565" s="853"/>
      <c r="AB565" s="853"/>
      <c r="AC565" s="853"/>
      <c r="AD565" s="853"/>
      <c r="AE565" s="853"/>
      <c r="AF565" s="853"/>
      <c r="AG565" s="853"/>
      <c r="AH565" s="446"/>
      <c r="AI565" s="446"/>
      <c r="AJ565" s="446"/>
      <c r="AK565" s="446"/>
      <c r="AL565" s="446"/>
      <c r="AM565" s="446"/>
      <c r="AN565" s="446"/>
      <c r="AO565" s="446"/>
      <c r="AP565" s="446"/>
      <c r="AQ565" s="446"/>
      <c r="AR565" s="446"/>
      <c r="AS565" s="446"/>
      <c r="AT565" s="446"/>
      <c r="AU565" s="446"/>
      <c r="AV565" s="446"/>
      <c r="AW565" s="446"/>
      <c r="AX565" s="446"/>
      <c r="AY565" s="446"/>
      <c r="AZ565" s="446"/>
      <c r="BA565" s="446"/>
      <c r="BB565" s="446"/>
      <c r="BC565" s="446"/>
      <c r="BD565" s="446"/>
      <c r="BE565" s="446"/>
      <c r="BF565" s="446"/>
      <c r="BG565" s="446"/>
      <c r="BH565" s="446"/>
      <c r="BI565" s="446"/>
      <c r="BJ565" s="446"/>
      <c r="BK565" s="446"/>
      <c r="BL565" s="446"/>
      <c r="BM565" s="446"/>
      <c r="BN565" s="446"/>
      <c r="BO565" s="446"/>
      <c r="BP565" s="446"/>
      <c r="BQ565" s="446"/>
      <c r="BR565" s="446"/>
      <c r="BS565" s="446"/>
      <c r="BT565" s="446"/>
      <c r="BU565" s="562"/>
      <c r="BV565" s="446"/>
      <c r="BW565" s="446"/>
      <c r="BX565" s="446"/>
      <c r="BY565" s="446"/>
      <c r="BZ565" s="446"/>
      <c r="CA565" s="446"/>
      <c r="CB565" s="446"/>
      <c r="CC565" s="446"/>
      <c r="CD565" s="446"/>
      <c r="CE565" s="446"/>
      <c r="CF565" s="446"/>
      <c r="CG565" s="446"/>
      <c r="CH565" s="446"/>
      <c r="CI565" s="446"/>
      <c r="CJ565" s="446"/>
      <c r="CK565" s="446"/>
      <c r="CL565" s="446"/>
      <c r="CM565" s="446"/>
      <c r="CN565" s="446"/>
      <c r="CO565" s="446"/>
      <c r="CP565" s="446"/>
      <c r="CQ565" s="446"/>
      <c r="CR565" s="446"/>
      <c r="CS565" s="446"/>
      <c r="CT565" s="446"/>
      <c r="CU565" s="446"/>
      <c r="CV565" s="446"/>
      <c r="CW565" s="851"/>
      <c r="CX565" s="446"/>
      <c r="CY565" s="446"/>
      <c r="CZ565" s="446"/>
      <c r="DA565" s="446"/>
      <c r="DB565" s="446"/>
      <c r="DC565" s="446"/>
      <c r="DD565" s="446"/>
      <c r="DE565" s="446"/>
      <c r="DF565" s="446"/>
      <c r="DG565" s="446"/>
      <c r="DH565" s="446"/>
      <c r="DI565" s="446"/>
      <c r="DJ565" s="446"/>
      <c r="DK565" s="446"/>
      <c r="DL565" s="446"/>
      <c r="DM565" s="446"/>
      <c r="DN565" s="446"/>
      <c r="DO565" s="446"/>
      <c r="DP565" s="446"/>
      <c r="DQ565" s="446"/>
      <c r="DR565" s="446"/>
      <c r="DS565" s="446"/>
      <c r="DT565" s="446"/>
      <c r="DU565" s="446"/>
      <c r="DV565" s="446"/>
      <c r="DW565" s="446"/>
      <c r="DX565" s="446"/>
      <c r="DY565" s="446"/>
      <c r="DZ565" s="283"/>
    </row>
    <row r="566" spans="2:130" s="223" customFormat="1" x14ac:dyDescent="0.2">
      <c r="B566" s="851"/>
      <c r="C566" s="851"/>
      <c r="D566" s="851"/>
      <c r="E566" s="820"/>
      <c r="F566" s="820"/>
      <c r="G566" s="853"/>
      <c r="H566" s="853"/>
      <c r="I566" s="853"/>
      <c r="J566" s="853"/>
      <c r="K566" s="853"/>
      <c r="L566" s="853"/>
      <c r="M566" s="853"/>
      <c r="N566" s="853"/>
      <c r="O566" s="853"/>
      <c r="P566" s="853"/>
      <c r="Q566" s="853"/>
      <c r="R566" s="853"/>
      <c r="S566" s="853"/>
      <c r="T566" s="853"/>
      <c r="U566" s="853"/>
      <c r="V566" s="853"/>
      <c r="W566" s="853"/>
      <c r="X566" s="853"/>
      <c r="Y566" s="853"/>
      <c r="Z566" s="853"/>
      <c r="AA566" s="853"/>
      <c r="AB566" s="853"/>
      <c r="AC566" s="853"/>
      <c r="AD566" s="853"/>
      <c r="AE566" s="853"/>
      <c r="AF566" s="853"/>
      <c r="AG566" s="853"/>
      <c r="AH566" s="446"/>
      <c r="AI566" s="446"/>
      <c r="AJ566" s="446"/>
      <c r="AK566" s="446"/>
      <c r="AL566" s="446"/>
      <c r="AM566" s="446"/>
      <c r="AN566" s="446"/>
      <c r="AO566" s="446"/>
      <c r="AP566" s="446"/>
      <c r="AQ566" s="446"/>
      <c r="AR566" s="446"/>
      <c r="AS566" s="446"/>
      <c r="AT566" s="446"/>
      <c r="AU566" s="446"/>
      <c r="AV566" s="446"/>
      <c r="AW566" s="446"/>
      <c r="AX566" s="446"/>
      <c r="AY566" s="446"/>
      <c r="AZ566" s="446"/>
      <c r="BA566" s="446"/>
      <c r="BB566" s="446"/>
      <c r="BC566" s="446"/>
      <c r="BD566" s="446"/>
      <c r="BE566" s="446"/>
      <c r="BF566" s="446"/>
      <c r="BG566" s="446"/>
      <c r="BH566" s="446"/>
      <c r="BI566" s="446"/>
      <c r="BJ566" s="446"/>
      <c r="BK566" s="446"/>
      <c r="BL566" s="446"/>
      <c r="BM566" s="446"/>
      <c r="BN566" s="446"/>
      <c r="BO566" s="446"/>
      <c r="BP566" s="446"/>
      <c r="BQ566" s="446"/>
      <c r="BR566" s="446"/>
      <c r="BS566" s="446"/>
      <c r="BT566" s="446"/>
      <c r="BU566" s="562"/>
      <c r="BV566" s="446"/>
      <c r="BW566" s="446"/>
      <c r="BX566" s="446"/>
      <c r="BY566" s="446"/>
      <c r="BZ566" s="446"/>
      <c r="CA566" s="446"/>
      <c r="CB566" s="446"/>
      <c r="CC566" s="446"/>
      <c r="CD566" s="446"/>
      <c r="CE566" s="446"/>
      <c r="CF566" s="446"/>
      <c r="CG566" s="446"/>
      <c r="CH566" s="446"/>
      <c r="CI566" s="446"/>
      <c r="CJ566" s="446"/>
      <c r="CK566" s="446"/>
      <c r="CL566" s="446"/>
      <c r="CM566" s="446"/>
      <c r="CN566" s="446"/>
      <c r="CO566" s="446"/>
      <c r="CP566" s="446"/>
      <c r="CQ566" s="446"/>
      <c r="CR566" s="446"/>
      <c r="CS566" s="446"/>
      <c r="CT566" s="446"/>
      <c r="CU566" s="446"/>
      <c r="CV566" s="446"/>
      <c r="CW566" s="851"/>
      <c r="CX566" s="446"/>
      <c r="CY566" s="446"/>
      <c r="CZ566" s="446"/>
      <c r="DA566" s="446"/>
      <c r="DB566" s="446"/>
      <c r="DC566" s="446"/>
      <c r="DD566" s="446"/>
      <c r="DE566" s="446"/>
      <c r="DF566" s="446"/>
      <c r="DG566" s="446"/>
      <c r="DH566" s="446"/>
      <c r="DI566" s="446"/>
      <c r="DJ566" s="446"/>
      <c r="DK566" s="446"/>
      <c r="DL566" s="446"/>
      <c r="DM566" s="446"/>
      <c r="DN566" s="446"/>
      <c r="DO566" s="446"/>
      <c r="DP566" s="446"/>
      <c r="DQ566" s="446"/>
      <c r="DR566" s="446"/>
      <c r="DS566" s="446"/>
      <c r="DT566" s="446"/>
      <c r="DU566" s="446"/>
      <c r="DV566" s="446"/>
      <c r="DW566" s="446"/>
      <c r="DX566" s="446"/>
      <c r="DY566" s="446"/>
      <c r="DZ566" s="283"/>
    </row>
    <row r="567" spans="2:130" s="223" customFormat="1" x14ac:dyDescent="0.2">
      <c r="B567" s="851"/>
      <c r="C567" s="851"/>
      <c r="D567" s="851"/>
      <c r="E567" s="820"/>
      <c r="F567" s="820"/>
      <c r="G567" s="853"/>
      <c r="H567" s="853"/>
      <c r="I567" s="853"/>
      <c r="J567" s="853"/>
      <c r="K567" s="853"/>
      <c r="L567" s="853"/>
      <c r="M567" s="853"/>
      <c r="N567" s="853"/>
      <c r="O567" s="853"/>
      <c r="P567" s="853"/>
      <c r="Q567" s="853"/>
      <c r="R567" s="853"/>
      <c r="S567" s="853"/>
      <c r="T567" s="853"/>
      <c r="U567" s="853"/>
      <c r="V567" s="853"/>
      <c r="W567" s="853"/>
      <c r="X567" s="853"/>
      <c r="Y567" s="853"/>
      <c r="Z567" s="853"/>
      <c r="AA567" s="853"/>
      <c r="AB567" s="853"/>
      <c r="AC567" s="853"/>
      <c r="AD567" s="853"/>
      <c r="AE567" s="853"/>
      <c r="AF567" s="853"/>
      <c r="AG567" s="853"/>
      <c r="AH567" s="446"/>
      <c r="AI567" s="446"/>
      <c r="AJ567" s="446"/>
      <c r="AK567" s="446"/>
      <c r="AL567" s="446"/>
      <c r="AM567" s="446"/>
      <c r="AN567" s="446"/>
      <c r="AO567" s="446"/>
      <c r="AP567" s="446"/>
      <c r="AQ567" s="446"/>
      <c r="AR567" s="446"/>
      <c r="AS567" s="446"/>
      <c r="AT567" s="446"/>
      <c r="AU567" s="446"/>
      <c r="AV567" s="446"/>
      <c r="AW567" s="446"/>
      <c r="AX567" s="446"/>
      <c r="AY567" s="446"/>
      <c r="AZ567" s="446"/>
      <c r="BA567" s="446"/>
      <c r="BB567" s="446"/>
      <c r="BC567" s="446"/>
      <c r="BD567" s="446"/>
      <c r="BE567" s="446"/>
      <c r="BF567" s="446"/>
      <c r="BG567" s="446"/>
      <c r="BH567" s="446"/>
      <c r="BI567" s="446"/>
      <c r="BJ567" s="446"/>
      <c r="BK567" s="446"/>
      <c r="BL567" s="446"/>
      <c r="BM567" s="446"/>
      <c r="BN567" s="446"/>
      <c r="BO567" s="446"/>
      <c r="BP567" s="446"/>
      <c r="BQ567" s="446"/>
      <c r="BR567" s="446"/>
      <c r="BS567" s="446"/>
      <c r="BT567" s="446"/>
      <c r="BU567" s="562"/>
      <c r="BV567" s="446"/>
      <c r="BW567" s="446"/>
      <c r="BX567" s="446"/>
      <c r="BY567" s="446"/>
      <c r="BZ567" s="446"/>
      <c r="CA567" s="446"/>
      <c r="CB567" s="446"/>
      <c r="CC567" s="446"/>
      <c r="CD567" s="446"/>
      <c r="CE567" s="446"/>
      <c r="CF567" s="446"/>
      <c r="CG567" s="446"/>
      <c r="CH567" s="446"/>
      <c r="CI567" s="446"/>
      <c r="CJ567" s="446"/>
      <c r="CK567" s="446"/>
      <c r="CL567" s="446"/>
      <c r="CM567" s="446"/>
      <c r="CN567" s="446"/>
      <c r="CO567" s="446"/>
      <c r="CP567" s="446"/>
      <c r="CQ567" s="446"/>
      <c r="CR567" s="446"/>
      <c r="CS567" s="446"/>
      <c r="CT567" s="446"/>
      <c r="CU567" s="446"/>
      <c r="CV567" s="446"/>
      <c r="CW567" s="851"/>
      <c r="CX567" s="446"/>
      <c r="CY567" s="446"/>
      <c r="CZ567" s="446"/>
      <c r="DA567" s="446"/>
      <c r="DB567" s="446"/>
      <c r="DC567" s="446"/>
      <c r="DD567" s="446"/>
      <c r="DE567" s="446"/>
      <c r="DF567" s="446"/>
      <c r="DG567" s="446"/>
      <c r="DH567" s="446"/>
      <c r="DI567" s="446"/>
      <c r="DJ567" s="446"/>
      <c r="DK567" s="446"/>
      <c r="DL567" s="446"/>
      <c r="DM567" s="446"/>
      <c r="DN567" s="446"/>
      <c r="DO567" s="446"/>
      <c r="DP567" s="446"/>
      <c r="DQ567" s="446"/>
      <c r="DR567" s="446"/>
      <c r="DS567" s="446"/>
      <c r="DT567" s="446"/>
      <c r="DU567" s="446"/>
      <c r="DV567" s="446"/>
      <c r="DW567" s="446"/>
      <c r="DX567" s="446"/>
      <c r="DY567" s="446"/>
      <c r="DZ567" s="283"/>
    </row>
    <row r="568" spans="2:130" s="223" customFormat="1" x14ac:dyDescent="0.2">
      <c r="B568" s="851"/>
      <c r="C568" s="851"/>
      <c r="D568" s="851"/>
      <c r="E568" s="820"/>
      <c r="F568" s="820"/>
      <c r="G568" s="853"/>
      <c r="H568" s="853"/>
      <c r="I568" s="853"/>
      <c r="J568" s="853"/>
      <c r="K568" s="853"/>
      <c r="L568" s="853"/>
      <c r="M568" s="853"/>
      <c r="N568" s="853"/>
      <c r="O568" s="853"/>
      <c r="P568" s="853"/>
      <c r="Q568" s="853"/>
      <c r="R568" s="853"/>
      <c r="S568" s="853"/>
      <c r="T568" s="853"/>
      <c r="U568" s="853"/>
      <c r="V568" s="853"/>
      <c r="W568" s="853"/>
      <c r="X568" s="853"/>
      <c r="Y568" s="853"/>
      <c r="Z568" s="853"/>
      <c r="AA568" s="853"/>
      <c r="AB568" s="853"/>
      <c r="AC568" s="853"/>
      <c r="AD568" s="853"/>
      <c r="AE568" s="853"/>
      <c r="AF568" s="853"/>
      <c r="AG568" s="853"/>
      <c r="AH568" s="446"/>
      <c r="AI568" s="446"/>
      <c r="AJ568" s="446"/>
      <c r="AK568" s="446"/>
      <c r="AL568" s="446"/>
      <c r="AM568" s="446"/>
      <c r="AN568" s="446"/>
      <c r="AO568" s="446"/>
      <c r="AP568" s="446"/>
      <c r="AQ568" s="446"/>
      <c r="AR568" s="446"/>
      <c r="AS568" s="446"/>
      <c r="AT568" s="446"/>
      <c r="AU568" s="446"/>
      <c r="AV568" s="446"/>
      <c r="AW568" s="446"/>
      <c r="AX568" s="446"/>
      <c r="AY568" s="446"/>
      <c r="AZ568" s="446"/>
      <c r="BA568" s="446"/>
      <c r="BB568" s="446"/>
      <c r="BC568" s="446"/>
      <c r="BD568" s="446"/>
      <c r="BE568" s="446"/>
      <c r="BF568" s="446"/>
      <c r="BG568" s="446"/>
      <c r="BH568" s="446"/>
      <c r="BI568" s="446"/>
      <c r="BJ568" s="446"/>
      <c r="BK568" s="446"/>
      <c r="BL568" s="446"/>
      <c r="BM568" s="446"/>
      <c r="BN568" s="446"/>
      <c r="BO568" s="446"/>
      <c r="BP568" s="446"/>
      <c r="BQ568" s="446"/>
      <c r="BR568" s="446"/>
      <c r="BS568" s="446"/>
      <c r="BT568" s="446"/>
      <c r="BU568" s="562"/>
      <c r="BV568" s="446"/>
      <c r="BW568" s="446"/>
      <c r="BX568" s="446"/>
      <c r="BY568" s="446"/>
      <c r="BZ568" s="446"/>
      <c r="CA568" s="446"/>
      <c r="CB568" s="446"/>
      <c r="CC568" s="446"/>
      <c r="CD568" s="446"/>
      <c r="CE568" s="446"/>
      <c r="CF568" s="446"/>
      <c r="CG568" s="446"/>
      <c r="CH568" s="446"/>
      <c r="CI568" s="446"/>
      <c r="CJ568" s="446"/>
      <c r="CK568" s="446"/>
      <c r="CL568" s="446"/>
      <c r="CM568" s="446"/>
      <c r="CN568" s="446"/>
      <c r="CO568" s="446"/>
      <c r="CP568" s="446"/>
      <c r="CQ568" s="446"/>
      <c r="CR568" s="446"/>
      <c r="CS568" s="446"/>
      <c r="CT568" s="446"/>
      <c r="CU568" s="446"/>
      <c r="CV568" s="446"/>
      <c r="CW568" s="851"/>
      <c r="CX568" s="446"/>
      <c r="CY568" s="446"/>
      <c r="CZ568" s="446"/>
      <c r="DA568" s="446"/>
      <c r="DB568" s="446"/>
      <c r="DC568" s="446"/>
      <c r="DD568" s="446"/>
      <c r="DE568" s="446"/>
      <c r="DF568" s="446"/>
      <c r="DG568" s="446"/>
      <c r="DH568" s="446"/>
      <c r="DI568" s="446"/>
      <c r="DJ568" s="446"/>
      <c r="DK568" s="446"/>
      <c r="DL568" s="446"/>
      <c r="DM568" s="446"/>
      <c r="DN568" s="446"/>
      <c r="DO568" s="446"/>
      <c r="DP568" s="446"/>
      <c r="DQ568" s="446"/>
      <c r="DR568" s="446"/>
      <c r="DS568" s="446"/>
      <c r="DT568" s="446"/>
      <c r="DU568" s="446"/>
      <c r="DV568" s="446"/>
      <c r="DW568" s="446"/>
      <c r="DX568" s="446"/>
      <c r="DY568" s="446"/>
      <c r="DZ568" s="283"/>
    </row>
    <row r="569" spans="2:130" s="223" customFormat="1" x14ac:dyDescent="0.2">
      <c r="B569" s="851"/>
      <c r="C569" s="851"/>
      <c r="D569" s="851"/>
      <c r="E569" s="820"/>
      <c r="F569" s="820"/>
      <c r="G569" s="853"/>
      <c r="H569" s="853"/>
      <c r="I569" s="853"/>
      <c r="J569" s="853"/>
      <c r="K569" s="853"/>
      <c r="L569" s="853"/>
      <c r="M569" s="853"/>
      <c r="N569" s="853"/>
      <c r="O569" s="853"/>
      <c r="P569" s="853"/>
      <c r="Q569" s="853"/>
      <c r="R569" s="853"/>
      <c r="S569" s="853"/>
      <c r="T569" s="853"/>
      <c r="U569" s="853"/>
      <c r="V569" s="853"/>
      <c r="W569" s="853"/>
      <c r="X569" s="853"/>
      <c r="Y569" s="853"/>
      <c r="Z569" s="853"/>
      <c r="AA569" s="853"/>
      <c r="AB569" s="853"/>
      <c r="AC569" s="853"/>
      <c r="AD569" s="853"/>
      <c r="AE569" s="853"/>
      <c r="AF569" s="853"/>
      <c r="AG569" s="853"/>
      <c r="AH569" s="446"/>
      <c r="AI569" s="446"/>
      <c r="AJ569" s="446"/>
      <c r="AK569" s="446"/>
      <c r="AL569" s="446"/>
      <c r="AM569" s="446"/>
      <c r="AN569" s="446"/>
      <c r="AO569" s="446"/>
      <c r="AP569" s="446"/>
      <c r="AQ569" s="446"/>
      <c r="AR569" s="446"/>
      <c r="AS569" s="446"/>
      <c r="AT569" s="446"/>
      <c r="AU569" s="446"/>
      <c r="AV569" s="446"/>
      <c r="AW569" s="446"/>
      <c r="AX569" s="446"/>
      <c r="AY569" s="446"/>
      <c r="AZ569" s="446"/>
      <c r="BA569" s="446"/>
      <c r="BB569" s="446"/>
      <c r="BC569" s="446"/>
      <c r="BD569" s="446"/>
      <c r="BE569" s="446"/>
      <c r="BF569" s="446"/>
      <c r="BG569" s="446"/>
      <c r="BH569" s="446"/>
      <c r="BI569" s="446"/>
      <c r="BJ569" s="446"/>
      <c r="BK569" s="446"/>
      <c r="BL569" s="446"/>
      <c r="BM569" s="446"/>
      <c r="BN569" s="446"/>
      <c r="BO569" s="446"/>
      <c r="BP569" s="446"/>
      <c r="BQ569" s="446"/>
      <c r="BR569" s="446"/>
      <c r="BS569" s="446"/>
      <c r="BT569" s="446"/>
      <c r="BU569" s="562"/>
      <c r="BV569" s="446"/>
      <c r="BW569" s="446"/>
      <c r="BX569" s="446"/>
      <c r="BY569" s="446"/>
      <c r="BZ569" s="446"/>
      <c r="CA569" s="446"/>
      <c r="CB569" s="446"/>
      <c r="CC569" s="446"/>
      <c r="CD569" s="446"/>
      <c r="CE569" s="446"/>
      <c r="CF569" s="446"/>
      <c r="CG569" s="446"/>
      <c r="CH569" s="446"/>
      <c r="CI569" s="446"/>
      <c r="CJ569" s="446"/>
      <c r="CK569" s="446"/>
      <c r="CL569" s="446"/>
      <c r="CM569" s="446"/>
      <c r="CN569" s="446"/>
      <c r="CO569" s="446"/>
      <c r="CP569" s="446"/>
      <c r="CQ569" s="446"/>
      <c r="CR569" s="446"/>
      <c r="CS569" s="446"/>
      <c r="CT569" s="446"/>
      <c r="CU569" s="446"/>
      <c r="CV569" s="446"/>
      <c r="CW569" s="851"/>
      <c r="CX569" s="446"/>
      <c r="CY569" s="446"/>
      <c r="CZ569" s="446"/>
      <c r="DA569" s="446"/>
      <c r="DB569" s="446"/>
      <c r="DC569" s="446"/>
      <c r="DD569" s="446"/>
      <c r="DE569" s="446"/>
      <c r="DF569" s="446"/>
      <c r="DG569" s="446"/>
      <c r="DH569" s="446"/>
      <c r="DI569" s="446"/>
      <c r="DJ569" s="446"/>
      <c r="DK569" s="446"/>
      <c r="DL569" s="446"/>
      <c r="DM569" s="446"/>
      <c r="DN569" s="446"/>
      <c r="DO569" s="446"/>
      <c r="DP569" s="446"/>
      <c r="DQ569" s="446"/>
      <c r="DR569" s="446"/>
      <c r="DS569" s="446"/>
      <c r="DT569" s="446"/>
      <c r="DU569" s="446"/>
      <c r="DV569" s="446"/>
      <c r="DW569" s="446"/>
      <c r="DX569" s="446"/>
      <c r="DY569" s="446"/>
      <c r="DZ569" s="283"/>
    </row>
    <row r="570" spans="2:130" s="223" customFormat="1" x14ac:dyDescent="0.2">
      <c r="B570" s="851"/>
      <c r="C570" s="851"/>
      <c r="D570" s="851"/>
      <c r="E570" s="820"/>
      <c r="F570" s="820"/>
      <c r="G570" s="853"/>
      <c r="H570" s="853"/>
      <c r="I570" s="853"/>
      <c r="J570" s="853"/>
      <c r="K570" s="853"/>
      <c r="L570" s="853"/>
      <c r="M570" s="853"/>
      <c r="N570" s="853"/>
      <c r="O570" s="853"/>
      <c r="P570" s="853"/>
      <c r="Q570" s="853"/>
      <c r="R570" s="853"/>
      <c r="S570" s="853"/>
      <c r="T570" s="853"/>
      <c r="U570" s="853"/>
      <c r="V570" s="853"/>
      <c r="W570" s="853"/>
      <c r="X570" s="853"/>
      <c r="Y570" s="853"/>
      <c r="Z570" s="853"/>
      <c r="AA570" s="853"/>
      <c r="AB570" s="853"/>
      <c r="AC570" s="853"/>
      <c r="AD570" s="853"/>
      <c r="AE570" s="853"/>
      <c r="AF570" s="853"/>
      <c r="AG570" s="853"/>
      <c r="AH570" s="446"/>
      <c r="AI570" s="446"/>
      <c r="AJ570" s="446"/>
      <c r="AK570" s="446"/>
      <c r="AL570" s="446"/>
      <c r="AM570" s="446"/>
      <c r="AN570" s="446"/>
      <c r="AO570" s="446"/>
      <c r="AP570" s="446"/>
      <c r="AQ570" s="446"/>
      <c r="AR570" s="446"/>
      <c r="AS570" s="446"/>
      <c r="AT570" s="446"/>
      <c r="AU570" s="446"/>
      <c r="AV570" s="446"/>
      <c r="AW570" s="446"/>
      <c r="AX570" s="446"/>
      <c r="AY570" s="446"/>
      <c r="AZ570" s="446"/>
      <c r="BA570" s="446"/>
      <c r="BB570" s="446"/>
      <c r="BC570" s="446"/>
      <c r="BD570" s="446"/>
      <c r="BE570" s="446"/>
      <c r="BF570" s="446"/>
      <c r="BG570" s="446"/>
      <c r="BH570" s="446"/>
      <c r="BI570" s="446"/>
      <c r="BJ570" s="446"/>
      <c r="BK570" s="446"/>
      <c r="BL570" s="446"/>
      <c r="BM570" s="446"/>
      <c r="BN570" s="446"/>
      <c r="BO570" s="446"/>
      <c r="BP570" s="446"/>
      <c r="BQ570" s="446"/>
      <c r="BR570" s="446"/>
      <c r="BS570" s="446"/>
      <c r="BT570" s="446"/>
      <c r="BU570" s="562"/>
      <c r="BV570" s="446"/>
      <c r="BW570" s="446"/>
      <c r="BX570" s="446"/>
      <c r="BY570" s="446"/>
      <c r="BZ570" s="446"/>
      <c r="CA570" s="446"/>
      <c r="CB570" s="446"/>
      <c r="CC570" s="446"/>
      <c r="CD570" s="446"/>
      <c r="CE570" s="446"/>
      <c r="CF570" s="446"/>
      <c r="CG570" s="446"/>
      <c r="CH570" s="446"/>
      <c r="CI570" s="446"/>
      <c r="CJ570" s="446"/>
      <c r="CK570" s="446"/>
      <c r="CL570" s="446"/>
      <c r="CM570" s="446"/>
      <c r="CN570" s="446"/>
      <c r="CO570" s="446"/>
      <c r="CP570" s="446"/>
      <c r="CQ570" s="446"/>
      <c r="CR570" s="446"/>
      <c r="CS570" s="446"/>
      <c r="CT570" s="446"/>
      <c r="CU570" s="446"/>
      <c r="CV570" s="446"/>
      <c r="CW570" s="851"/>
      <c r="CX570" s="446"/>
      <c r="CY570" s="446"/>
      <c r="CZ570" s="446"/>
      <c r="DA570" s="446"/>
      <c r="DB570" s="446"/>
      <c r="DC570" s="446"/>
      <c r="DD570" s="446"/>
      <c r="DE570" s="446"/>
      <c r="DF570" s="446"/>
      <c r="DG570" s="446"/>
      <c r="DH570" s="446"/>
      <c r="DI570" s="446"/>
      <c r="DJ570" s="446"/>
      <c r="DK570" s="446"/>
      <c r="DL570" s="446"/>
      <c r="DM570" s="446"/>
      <c r="DN570" s="446"/>
      <c r="DO570" s="446"/>
      <c r="DP570" s="446"/>
      <c r="DQ570" s="446"/>
      <c r="DR570" s="446"/>
      <c r="DS570" s="446"/>
      <c r="DT570" s="446"/>
      <c r="DU570" s="446"/>
      <c r="DV570" s="446"/>
      <c r="DW570" s="446"/>
      <c r="DX570" s="446"/>
      <c r="DY570" s="446"/>
      <c r="DZ570" s="283"/>
    </row>
    <row r="571" spans="2:130" s="223" customFormat="1" x14ac:dyDescent="0.2">
      <c r="B571" s="851"/>
      <c r="C571" s="851"/>
      <c r="D571" s="851"/>
      <c r="E571" s="820"/>
      <c r="F571" s="820"/>
      <c r="G571" s="853"/>
      <c r="H571" s="853"/>
      <c r="I571" s="853"/>
      <c r="J571" s="853"/>
      <c r="K571" s="853"/>
      <c r="L571" s="853"/>
      <c r="M571" s="853"/>
      <c r="N571" s="853"/>
      <c r="O571" s="853"/>
      <c r="P571" s="853"/>
      <c r="Q571" s="853"/>
      <c r="R571" s="853"/>
      <c r="S571" s="853"/>
      <c r="T571" s="853"/>
      <c r="U571" s="853"/>
      <c r="V571" s="853"/>
      <c r="W571" s="853"/>
      <c r="X571" s="853"/>
      <c r="Y571" s="853"/>
      <c r="Z571" s="853"/>
      <c r="AA571" s="853"/>
      <c r="AB571" s="853"/>
      <c r="AC571" s="853"/>
      <c r="AD571" s="853"/>
      <c r="AE571" s="853"/>
      <c r="AF571" s="853"/>
      <c r="AG571" s="853"/>
      <c r="AH571" s="446"/>
      <c r="AI571" s="446"/>
      <c r="AJ571" s="446"/>
      <c r="AK571" s="446"/>
      <c r="AL571" s="446"/>
      <c r="AM571" s="446"/>
      <c r="AN571" s="446"/>
      <c r="AO571" s="446"/>
      <c r="AP571" s="446"/>
      <c r="AQ571" s="446"/>
      <c r="AR571" s="446"/>
      <c r="AS571" s="446"/>
      <c r="AT571" s="446"/>
      <c r="AU571" s="446"/>
      <c r="AV571" s="446"/>
      <c r="AW571" s="446"/>
      <c r="AX571" s="446"/>
      <c r="AY571" s="446"/>
      <c r="AZ571" s="446"/>
      <c r="BA571" s="446"/>
      <c r="BB571" s="446"/>
      <c r="BC571" s="446"/>
      <c r="BD571" s="446"/>
      <c r="BE571" s="446"/>
      <c r="BF571" s="446"/>
      <c r="BG571" s="446"/>
      <c r="BH571" s="446"/>
      <c r="BI571" s="446"/>
      <c r="BJ571" s="446"/>
      <c r="BK571" s="446"/>
      <c r="BL571" s="446"/>
      <c r="BM571" s="446"/>
      <c r="BN571" s="446"/>
      <c r="BO571" s="446"/>
      <c r="BP571" s="446"/>
      <c r="BQ571" s="446"/>
      <c r="BR571" s="446"/>
      <c r="BS571" s="446"/>
      <c r="BT571" s="446"/>
      <c r="BU571" s="562"/>
      <c r="BV571" s="446"/>
      <c r="BW571" s="446"/>
      <c r="BX571" s="446"/>
      <c r="BY571" s="446"/>
      <c r="BZ571" s="446"/>
      <c r="CA571" s="446"/>
      <c r="CB571" s="446"/>
      <c r="CC571" s="446"/>
      <c r="CD571" s="446"/>
      <c r="CE571" s="446"/>
      <c r="CF571" s="446"/>
      <c r="CG571" s="446"/>
      <c r="CH571" s="446"/>
      <c r="CI571" s="446"/>
      <c r="CJ571" s="446"/>
      <c r="CK571" s="446"/>
      <c r="CL571" s="446"/>
      <c r="CM571" s="446"/>
      <c r="CN571" s="446"/>
      <c r="CO571" s="446"/>
      <c r="CP571" s="446"/>
      <c r="CQ571" s="446"/>
      <c r="CR571" s="446"/>
      <c r="CS571" s="446"/>
      <c r="CT571" s="446"/>
      <c r="CU571" s="446"/>
      <c r="CV571" s="446"/>
      <c r="CW571" s="851"/>
      <c r="CX571" s="446"/>
      <c r="CY571" s="446"/>
      <c r="CZ571" s="446"/>
      <c r="DA571" s="446"/>
      <c r="DB571" s="446"/>
      <c r="DC571" s="446"/>
      <c r="DD571" s="446"/>
      <c r="DE571" s="446"/>
      <c r="DF571" s="446"/>
      <c r="DG571" s="446"/>
      <c r="DH571" s="446"/>
      <c r="DI571" s="446"/>
      <c r="DJ571" s="446"/>
      <c r="DK571" s="446"/>
      <c r="DL571" s="446"/>
      <c r="DM571" s="446"/>
      <c r="DN571" s="446"/>
      <c r="DO571" s="446"/>
      <c r="DP571" s="446"/>
      <c r="DQ571" s="446"/>
      <c r="DR571" s="446"/>
      <c r="DS571" s="446"/>
      <c r="DT571" s="446"/>
      <c r="DU571" s="446"/>
      <c r="DV571" s="446"/>
      <c r="DW571" s="446"/>
      <c r="DX571" s="446"/>
      <c r="DY571" s="446"/>
      <c r="DZ571" s="283"/>
    </row>
    <row r="572" spans="2:130" s="223" customFormat="1" x14ac:dyDescent="0.2">
      <c r="B572" s="851"/>
      <c r="C572" s="851"/>
      <c r="D572" s="851"/>
      <c r="E572" s="820"/>
      <c r="F572" s="820"/>
      <c r="G572" s="853"/>
      <c r="H572" s="853"/>
      <c r="I572" s="853"/>
      <c r="J572" s="853"/>
      <c r="K572" s="853"/>
      <c r="L572" s="853"/>
      <c r="M572" s="853"/>
      <c r="N572" s="853"/>
      <c r="O572" s="853"/>
      <c r="P572" s="853"/>
      <c r="Q572" s="853"/>
      <c r="R572" s="853"/>
      <c r="S572" s="853"/>
      <c r="T572" s="853"/>
      <c r="U572" s="853"/>
      <c r="V572" s="853"/>
      <c r="W572" s="853"/>
      <c r="X572" s="853"/>
      <c r="Y572" s="853"/>
      <c r="Z572" s="853"/>
      <c r="AA572" s="853"/>
      <c r="AB572" s="853"/>
      <c r="AC572" s="853"/>
      <c r="AD572" s="853"/>
      <c r="AE572" s="853"/>
      <c r="AF572" s="853"/>
      <c r="AG572" s="853"/>
      <c r="AH572" s="446"/>
      <c r="AI572" s="446"/>
      <c r="AJ572" s="446"/>
      <c r="AK572" s="446"/>
      <c r="AL572" s="446"/>
      <c r="AM572" s="446"/>
      <c r="AN572" s="446"/>
      <c r="AO572" s="446"/>
      <c r="AP572" s="446"/>
      <c r="AQ572" s="446"/>
      <c r="AR572" s="446"/>
      <c r="AS572" s="446"/>
      <c r="AT572" s="446"/>
      <c r="AU572" s="446"/>
      <c r="AV572" s="446"/>
      <c r="AW572" s="446"/>
      <c r="AX572" s="446"/>
      <c r="AY572" s="446"/>
      <c r="AZ572" s="446"/>
      <c r="BA572" s="446"/>
      <c r="BB572" s="446"/>
      <c r="BC572" s="446"/>
      <c r="BD572" s="446"/>
      <c r="BE572" s="446"/>
      <c r="BF572" s="446"/>
      <c r="BG572" s="446"/>
      <c r="BH572" s="446"/>
      <c r="BI572" s="446"/>
      <c r="BJ572" s="446"/>
      <c r="BK572" s="446"/>
      <c r="BL572" s="446"/>
      <c r="BM572" s="446"/>
      <c r="BN572" s="446"/>
      <c r="BO572" s="446"/>
      <c r="BP572" s="446"/>
      <c r="BQ572" s="446"/>
      <c r="BR572" s="446"/>
      <c r="BS572" s="446"/>
      <c r="BT572" s="446"/>
      <c r="BU572" s="562"/>
      <c r="BV572" s="446"/>
      <c r="BW572" s="446"/>
      <c r="BX572" s="446"/>
      <c r="BY572" s="446"/>
      <c r="BZ572" s="446"/>
      <c r="CA572" s="446"/>
      <c r="CB572" s="446"/>
      <c r="CC572" s="446"/>
      <c r="CD572" s="446"/>
      <c r="CE572" s="446"/>
      <c r="CF572" s="446"/>
      <c r="CG572" s="446"/>
      <c r="CH572" s="446"/>
      <c r="CI572" s="446"/>
      <c r="CJ572" s="446"/>
      <c r="CK572" s="446"/>
      <c r="CL572" s="446"/>
      <c r="CM572" s="446"/>
      <c r="CN572" s="446"/>
      <c r="CO572" s="446"/>
      <c r="CP572" s="446"/>
      <c r="CQ572" s="446"/>
      <c r="CR572" s="446"/>
      <c r="CS572" s="446"/>
      <c r="CT572" s="446"/>
      <c r="CU572" s="446"/>
      <c r="CV572" s="446"/>
      <c r="CW572" s="851"/>
      <c r="CX572" s="446"/>
      <c r="CY572" s="446"/>
      <c r="CZ572" s="446"/>
      <c r="DA572" s="446"/>
      <c r="DB572" s="446"/>
      <c r="DC572" s="446"/>
      <c r="DD572" s="446"/>
      <c r="DE572" s="446"/>
      <c r="DF572" s="446"/>
      <c r="DG572" s="446"/>
      <c r="DH572" s="446"/>
      <c r="DI572" s="446"/>
      <c r="DJ572" s="446"/>
      <c r="DK572" s="446"/>
      <c r="DL572" s="446"/>
      <c r="DM572" s="446"/>
      <c r="DN572" s="446"/>
      <c r="DO572" s="446"/>
      <c r="DP572" s="446"/>
      <c r="DQ572" s="446"/>
      <c r="DR572" s="446"/>
      <c r="DS572" s="446"/>
      <c r="DT572" s="446"/>
      <c r="DU572" s="446"/>
      <c r="DV572" s="446"/>
      <c r="DW572" s="446"/>
      <c r="DX572" s="446"/>
      <c r="DY572" s="446"/>
      <c r="DZ572" s="283"/>
    </row>
    <row r="573" spans="2:130" s="223" customFormat="1" x14ac:dyDescent="0.2">
      <c r="B573" s="851"/>
      <c r="C573" s="851"/>
      <c r="D573" s="851"/>
      <c r="E573" s="820"/>
      <c r="F573" s="820"/>
      <c r="G573" s="853"/>
      <c r="H573" s="853"/>
      <c r="I573" s="853"/>
      <c r="J573" s="853"/>
      <c r="K573" s="853"/>
      <c r="L573" s="853"/>
      <c r="M573" s="853"/>
      <c r="N573" s="853"/>
      <c r="O573" s="853"/>
      <c r="P573" s="853"/>
      <c r="Q573" s="853"/>
      <c r="R573" s="853"/>
      <c r="S573" s="853"/>
      <c r="T573" s="853"/>
      <c r="U573" s="853"/>
      <c r="V573" s="853"/>
      <c r="W573" s="853"/>
      <c r="X573" s="853"/>
      <c r="Y573" s="853"/>
      <c r="Z573" s="853"/>
      <c r="AA573" s="853"/>
      <c r="AB573" s="853"/>
      <c r="AC573" s="853"/>
      <c r="AD573" s="853"/>
      <c r="AE573" s="853"/>
      <c r="AF573" s="853"/>
      <c r="AG573" s="853"/>
      <c r="AH573" s="446"/>
      <c r="AI573" s="446"/>
      <c r="AJ573" s="446"/>
      <c r="AK573" s="446"/>
      <c r="AL573" s="446"/>
      <c r="AM573" s="446"/>
      <c r="AN573" s="446"/>
      <c r="AO573" s="446"/>
      <c r="AP573" s="446"/>
      <c r="AQ573" s="446"/>
      <c r="AR573" s="446"/>
      <c r="AS573" s="446"/>
      <c r="AT573" s="446"/>
      <c r="AU573" s="446"/>
      <c r="AV573" s="446"/>
      <c r="AW573" s="446"/>
      <c r="AX573" s="446"/>
      <c r="AY573" s="446"/>
      <c r="AZ573" s="446"/>
      <c r="BA573" s="446"/>
      <c r="BB573" s="446"/>
      <c r="BC573" s="446"/>
      <c r="BD573" s="446"/>
      <c r="BE573" s="446"/>
      <c r="BF573" s="446"/>
      <c r="BG573" s="446"/>
      <c r="BH573" s="446"/>
      <c r="BI573" s="446"/>
      <c r="BJ573" s="446"/>
      <c r="BK573" s="446"/>
      <c r="BL573" s="446"/>
      <c r="BM573" s="446"/>
      <c r="BN573" s="446"/>
      <c r="BO573" s="446"/>
      <c r="BP573" s="446"/>
      <c r="BQ573" s="446"/>
      <c r="BR573" s="446"/>
      <c r="BS573" s="446"/>
      <c r="BT573" s="446"/>
      <c r="BU573" s="562"/>
      <c r="BV573" s="446"/>
      <c r="BW573" s="446"/>
      <c r="BX573" s="446"/>
      <c r="BY573" s="446"/>
      <c r="BZ573" s="446"/>
      <c r="CA573" s="446"/>
      <c r="CB573" s="446"/>
      <c r="CC573" s="446"/>
      <c r="CD573" s="446"/>
      <c r="CE573" s="446"/>
      <c r="CF573" s="446"/>
      <c r="CG573" s="446"/>
      <c r="CH573" s="446"/>
      <c r="CI573" s="446"/>
      <c r="CJ573" s="446"/>
      <c r="CK573" s="446"/>
      <c r="CL573" s="446"/>
      <c r="CM573" s="446"/>
      <c r="CN573" s="446"/>
      <c r="CO573" s="446"/>
      <c r="CP573" s="446"/>
      <c r="CQ573" s="446"/>
      <c r="CR573" s="446"/>
      <c r="CS573" s="446"/>
      <c r="CT573" s="446"/>
      <c r="CU573" s="446"/>
      <c r="CV573" s="446"/>
      <c r="CW573" s="851"/>
      <c r="CX573" s="446"/>
      <c r="CY573" s="446"/>
      <c r="CZ573" s="446"/>
      <c r="DA573" s="446"/>
      <c r="DB573" s="446"/>
      <c r="DC573" s="446"/>
      <c r="DD573" s="446"/>
      <c r="DE573" s="446"/>
      <c r="DF573" s="446"/>
      <c r="DG573" s="446"/>
      <c r="DH573" s="446"/>
      <c r="DI573" s="446"/>
      <c r="DJ573" s="446"/>
      <c r="DK573" s="446"/>
      <c r="DL573" s="446"/>
      <c r="DM573" s="446"/>
      <c r="DN573" s="446"/>
      <c r="DO573" s="446"/>
      <c r="DP573" s="446"/>
      <c r="DQ573" s="446"/>
      <c r="DR573" s="446"/>
      <c r="DS573" s="446"/>
      <c r="DT573" s="446"/>
      <c r="DU573" s="446"/>
      <c r="DV573" s="446"/>
      <c r="DW573" s="446"/>
      <c r="DX573" s="446"/>
      <c r="DY573" s="446"/>
      <c r="DZ573" s="283"/>
    </row>
    <row r="574" spans="2:130" s="223" customFormat="1" x14ac:dyDescent="0.2">
      <c r="B574" s="851"/>
      <c r="C574" s="851"/>
      <c r="D574" s="851"/>
      <c r="E574" s="820"/>
      <c r="F574" s="820"/>
      <c r="G574" s="853"/>
      <c r="H574" s="853"/>
      <c r="I574" s="853"/>
      <c r="J574" s="853"/>
      <c r="K574" s="853"/>
      <c r="L574" s="853"/>
      <c r="M574" s="853"/>
      <c r="N574" s="853"/>
      <c r="O574" s="853"/>
      <c r="P574" s="853"/>
      <c r="Q574" s="853"/>
      <c r="R574" s="853"/>
      <c r="S574" s="853"/>
      <c r="T574" s="853"/>
      <c r="U574" s="853"/>
      <c r="V574" s="853"/>
      <c r="W574" s="853"/>
      <c r="X574" s="853"/>
      <c r="Y574" s="853"/>
      <c r="Z574" s="853"/>
      <c r="AA574" s="853"/>
      <c r="AB574" s="853"/>
      <c r="AC574" s="853"/>
      <c r="AD574" s="853"/>
      <c r="AE574" s="853"/>
      <c r="AF574" s="853"/>
      <c r="AG574" s="853"/>
      <c r="AH574" s="446"/>
      <c r="AI574" s="446"/>
      <c r="AJ574" s="446"/>
      <c r="AK574" s="446"/>
      <c r="AL574" s="446"/>
      <c r="AM574" s="446"/>
      <c r="AN574" s="446"/>
      <c r="AO574" s="446"/>
      <c r="AP574" s="446"/>
      <c r="AQ574" s="446"/>
      <c r="AR574" s="446"/>
      <c r="AS574" s="446"/>
      <c r="AT574" s="446"/>
      <c r="AU574" s="446"/>
      <c r="AV574" s="446"/>
      <c r="AW574" s="446"/>
      <c r="AX574" s="446"/>
      <c r="AY574" s="446"/>
      <c r="AZ574" s="446"/>
      <c r="BA574" s="446"/>
      <c r="BB574" s="446"/>
      <c r="BC574" s="446"/>
      <c r="BD574" s="446"/>
      <c r="BE574" s="446"/>
      <c r="BF574" s="446"/>
      <c r="BG574" s="446"/>
      <c r="BH574" s="446"/>
      <c r="BI574" s="446"/>
      <c r="BJ574" s="446"/>
      <c r="BK574" s="446"/>
      <c r="BL574" s="446"/>
      <c r="BM574" s="446"/>
      <c r="BN574" s="446"/>
      <c r="BO574" s="446"/>
      <c r="BP574" s="446"/>
      <c r="BQ574" s="446"/>
      <c r="BR574" s="446"/>
      <c r="BS574" s="446"/>
      <c r="BT574" s="446"/>
      <c r="BU574" s="562"/>
      <c r="BV574" s="446"/>
      <c r="BW574" s="446"/>
      <c r="BX574" s="446"/>
      <c r="BY574" s="446"/>
      <c r="BZ574" s="446"/>
      <c r="CA574" s="446"/>
      <c r="CB574" s="446"/>
      <c r="CC574" s="446"/>
      <c r="CD574" s="446"/>
      <c r="CE574" s="446"/>
      <c r="CF574" s="446"/>
      <c r="CG574" s="446"/>
      <c r="CH574" s="446"/>
      <c r="CI574" s="446"/>
      <c r="CJ574" s="446"/>
      <c r="CK574" s="446"/>
      <c r="CL574" s="446"/>
      <c r="CM574" s="446"/>
      <c r="CN574" s="446"/>
      <c r="CO574" s="446"/>
      <c r="CP574" s="446"/>
      <c r="CQ574" s="446"/>
      <c r="CR574" s="446"/>
      <c r="CS574" s="446"/>
      <c r="CT574" s="446"/>
      <c r="CU574" s="446"/>
      <c r="CV574" s="446"/>
      <c r="CW574" s="851"/>
      <c r="CX574" s="446"/>
      <c r="CY574" s="446"/>
      <c r="CZ574" s="446"/>
      <c r="DA574" s="446"/>
      <c r="DB574" s="446"/>
      <c r="DC574" s="446"/>
      <c r="DD574" s="446"/>
      <c r="DE574" s="446"/>
      <c r="DF574" s="446"/>
      <c r="DG574" s="446"/>
      <c r="DH574" s="446"/>
      <c r="DI574" s="446"/>
      <c r="DJ574" s="446"/>
      <c r="DK574" s="446"/>
      <c r="DL574" s="446"/>
      <c r="DM574" s="446"/>
      <c r="DN574" s="446"/>
      <c r="DO574" s="446"/>
      <c r="DP574" s="446"/>
      <c r="DQ574" s="446"/>
      <c r="DR574" s="446"/>
      <c r="DS574" s="446"/>
      <c r="DT574" s="446"/>
      <c r="DU574" s="446"/>
      <c r="DV574" s="446"/>
      <c r="DW574" s="446"/>
      <c r="DX574" s="446"/>
      <c r="DY574" s="446"/>
      <c r="DZ574" s="283"/>
    </row>
    <row r="575" spans="2:130" s="223" customFormat="1" x14ac:dyDescent="0.2">
      <c r="B575" s="851"/>
      <c r="C575" s="851"/>
      <c r="D575" s="851"/>
      <c r="E575" s="820"/>
      <c r="F575" s="820"/>
      <c r="G575" s="853"/>
      <c r="H575" s="853"/>
      <c r="I575" s="853"/>
      <c r="J575" s="853"/>
      <c r="K575" s="853"/>
      <c r="L575" s="853"/>
      <c r="M575" s="853"/>
      <c r="N575" s="853"/>
      <c r="O575" s="853"/>
      <c r="P575" s="853"/>
      <c r="Q575" s="853"/>
      <c r="R575" s="853"/>
      <c r="S575" s="853"/>
      <c r="T575" s="853"/>
      <c r="U575" s="853"/>
      <c r="V575" s="853"/>
      <c r="W575" s="853"/>
      <c r="X575" s="853"/>
      <c r="Y575" s="853"/>
      <c r="Z575" s="853"/>
      <c r="AA575" s="853"/>
      <c r="AB575" s="853"/>
      <c r="AC575" s="853"/>
      <c r="AD575" s="853"/>
      <c r="AE575" s="853"/>
      <c r="AF575" s="853"/>
      <c r="AG575" s="853"/>
      <c r="AH575" s="446"/>
      <c r="AI575" s="446"/>
      <c r="AJ575" s="446"/>
      <c r="AK575" s="446"/>
      <c r="AL575" s="446"/>
      <c r="AM575" s="446"/>
      <c r="AN575" s="446"/>
      <c r="AO575" s="446"/>
      <c r="AP575" s="446"/>
      <c r="AQ575" s="446"/>
      <c r="AR575" s="446"/>
      <c r="AS575" s="446"/>
      <c r="AT575" s="446"/>
      <c r="AU575" s="446"/>
      <c r="AV575" s="446"/>
      <c r="AW575" s="446"/>
      <c r="AX575" s="446"/>
      <c r="AY575" s="446"/>
      <c r="AZ575" s="446"/>
      <c r="BA575" s="446"/>
      <c r="BB575" s="446"/>
      <c r="BC575" s="446"/>
      <c r="BD575" s="446"/>
      <c r="BE575" s="446"/>
      <c r="BF575" s="446"/>
      <c r="BG575" s="446"/>
      <c r="BH575" s="446"/>
      <c r="BI575" s="446"/>
      <c r="BJ575" s="446"/>
      <c r="BK575" s="446"/>
      <c r="BL575" s="446"/>
      <c r="BM575" s="446"/>
      <c r="BN575" s="446"/>
      <c r="BO575" s="446"/>
      <c r="BP575" s="446"/>
      <c r="BQ575" s="446"/>
      <c r="BR575" s="446"/>
      <c r="BS575" s="446"/>
      <c r="BT575" s="446"/>
      <c r="BU575" s="562"/>
      <c r="BV575" s="446"/>
      <c r="BW575" s="446"/>
      <c r="BX575" s="446"/>
      <c r="BY575" s="446"/>
      <c r="BZ575" s="446"/>
      <c r="CA575" s="446"/>
      <c r="CB575" s="446"/>
      <c r="CC575" s="446"/>
      <c r="CD575" s="446"/>
      <c r="CE575" s="446"/>
      <c r="CF575" s="446"/>
      <c r="CG575" s="446"/>
      <c r="CH575" s="446"/>
      <c r="CI575" s="446"/>
      <c r="CJ575" s="446"/>
      <c r="CK575" s="446"/>
      <c r="CL575" s="446"/>
      <c r="CM575" s="446"/>
      <c r="CN575" s="446"/>
      <c r="CO575" s="446"/>
      <c r="CP575" s="446"/>
      <c r="CQ575" s="446"/>
      <c r="CR575" s="446"/>
      <c r="CS575" s="446"/>
      <c r="CT575" s="446"/>
      <c r="CU575" s="446"/>
      <c r="CV575" s="446"/>
      <c r="CW575" s="851"/>
      <c r="CX575" s="446"/>
      <c r="CY575" s="446"/>
      <c r="CZ575" s="446"/>
      <c r="DA575" s="446"/>
      <c r="DB575" s="446"/>
      <c r="DC575" s="446"/>
      <c r="DD575" s="446"/>
      <c r="DE575" s="446"/>
      <c r="DF575" s="446"/>
      <c r="DG575" s="446"/>
      <c r="DH575" s="446"/>
      <c r="DI575" s="446"/>
      <c r="DJ575" s="446"/>
      <c r="DK575" s="446"/>
      <c r="DL575" s="446"/>
      <c r="DM575" s="446"/>
      <c r="DN575" s="446"/>
      <c r="DO575" s="446"/>
      <c r="DP575" s="446"/>
      <c r="DQ575" s="446"/>
      <c r="DR575" s="446"/>
      <c r="DS575" s="446"/>
      <c r="DT575" s="446"/>
      <c r="DU575" s="446"/>
      <c r="DV575" s="446"/>
      <c r="DW575" s="446"/>
      <c r="DX575" s="446"/>
      <c r="DY575" s="446"/>
      <c r="DZ575" s="283"/>
    </row>
    <row r="576" spans="2:130" s="223" customFormat="1" x14ac:dyDescent="0.2">
      <c r="B576" s="851"/>
      <c r="C576" s="851"/>
      <c r="D576" s="851"/>
      <c r="E576" s="820"/>
      <c r="F576" s="820"/>
      <c r="G576" s="853"/>
      <c r="H576" s="853"/>
      <c r="I576" s="853"/>
      <c r="J576" s="853"/>
      <c r="K576" s="853"/>
      <c r="L576" s="853"/>
      <c r="M576" s="853"/>
      <c r="N576" s="853"/>
      <c r="O576" s="853"/>
      <c r="P576" s="853"/>
      <c r="Q576" s="853"/>
      <c r="R576" s="853"/>
      <c r="S576" s="853"/>
      <c r="T576" s="853"/>
      <c r="U576" s="853"/>
      <c r="V576" s="853"/>
      <c r="W576" s="853"/>
      <c r="X576" s="853"/>
      <c r="Y576" s="853"/>
      <c r="Z576" s="853"/>
      <c r="AA576" s="853"/>
      <c r="AB576" s="853"/>
      <c r="AC576" s="853"/>
      <c r="AD576" s="853"/>
      <c r="AE576" s="853"/>
      <c r="AF576" s="853"/>
      <c r="AG576" s="853"/>
      <c r="AH576" s="446"/>
      <c r="AI576" s="446"/>
      <c r="AJ576" s="446"/>
      <c r="AK576" s="446"/>
      <c r="AL576" s="446"/>
      <c r="AM576" s="446"/>
      <c r="AN576" s="446"/>
      <c r="AO576" s="446"/>
      <c r="AP576" s="446"/>
      <c r="AQ576" s="446"/>
      <c r="AR576" s="446"/>
      <c r="AS576" s="446"/>
      <c r="AT576" s="446"/>
      <c r="AU576" s="446"/>
      <c r="AV576" s="446"/>
      <c r="AW576" s="446"/>
      <c r="AX576" s="446"/>
      <c r="AY576" s="446"/>
      <c r="AZ576" s="446"/>
      <c r="BA576" s="446"/>
      <c r="BB576" s="446"/>
      <c r="BC576" s="446"/>
      <c r="BD576" s="446"/>
      <c r="BE576" s="446"/>
      <c r="BF576" s="446"/>
      <c r="BG576" s="446"/>
      <c r="BH576" s="446"/>
      <c r="BI576" s="446"/>
      <c r="BJ576" s="446"/>
      <c r="BK576" s="446"/>
      <c r="BL576" s="446"/>
      <c r="BM576" s="446"/>
      <c r="BN576" s="446"/>
      <c r="BO576" s="446"/>
      <c r="BP576" s="446"/>
      <c r="BQ576" s="446"/>
      <c r="BR576" s="446"/>
      <c r="BS576" s="446"/>
      <c r="BT576" s="446"/>
      <c r="BU576" s="562"/>
      <c r="BV576" s="446"/>
      <c r="BW576" s="446"/>
      <c r="BX576" s="446"/>
      <c r="BY576" s="446"/>
      <c r="BZ576" s="446"/>
      <c r="CA576" s="446"/>
      <c r="CB576" s="446"/>
      <c r="CC576" s="446"/>
      <c r="CD576" s="446"/>
      <c r="CE576" s="446"/>
      <c r="CF576" s="446"/>
      <c r="CG576" s="446"/>
      <c r="CH576" s="446"/>
      <c r="CI576" s="446"/>
      <c r="CJ576" s="446"/>
      <c r="CK576" s="446"/>
      <c r="CL576" s="446"/>
      <c r="CM576" s="446"/>
      <c r="CN576" s="446"/>
      <c r="CO576" s="446"/>
      <c r="CP576" s="446"/>
      <c r="CQ576" s="446"/>
      <c r="CR576" s="446"/>
      <c r="CS576" s="446"/>
      <c r="CT576" s="446"/>
      <c r="CU576" s="446"/>
      <c r="CV576" s="446"/>
      <c r="CW576" s="851"/>
      <c r="CX576" s="446"/>
      <c r="CY576" s="446"/>
      <c r="CZ576" s="446"/>
      <c r="DA576" s="446"/>
      <c r="DB576" s="446"/>
      <c r="DC576" s="446"/>
      <c r="DD576" s="446"/>
      <c r="DE576" s="446"/>
      <c r="DF576" s="446"/>
      <c r="DG576" s="446"/>
      <c r="DH576" s="446"/>
      <c r="DI576" s="446"/>
      <c r="DJ576" s="446"/>
      <c r="DK576" s="446"/>
      <c r="DL576" s="446"/>
      <c r="DM576" s="446"/>
      <c r="DN576" s="446"/>
      <c r="DO576" s="446"/>
      <c r="DP576" s="446"/>
      <c r="DQ576" s="446"/>
      <c r="DR576" s="446"/>
      <c r="DS576" s="446"/>
      <c r="DT576" s="446"/>
      <c r="DU576" s="446"/>
      <c r="DV576" s="446"/>
      <c r="DW576" s="446"/>
      <c r="DX576" s="446"/>
      <c r="DY576" s="446"/>
      <c r="DZ576" s="283"/>
    </row>
    <row r="577" spans="2:130" s="223" customFormat="1" x14ac:dyDescent="0.2">
      <c r="B577" s="851"/>
      <c r="C577" s="851"/>
      <c r="D577" s="851"/>
      <c r="E577" s="820"/>
      <c r="F577" s="820"/>
      <c r="G577" s="853"/>
      <c r="H577" s="853"/>
      <c r="I577" s="853"/>
      <c r="J577" s="853"/>
      <c r="K577" s="853"/>
      <c r="L577" s="853"/>
      <c r="M577" s="853"/>
      <c r="N577" s="853"/>
      <c r="O577" s="853"/>
      <c r="P577" s="853"/>
      <c r="Q577" s="853"/>
      <c r="R577" s="853"/>
      <c r="S577" s="853"/>
      <c r="T577" s="853"/>
      <c r="U577" s="853"/>
      <c r="V577" s="853"/>
      <c r="W577" s="853"/>
      <c r="X577" s="853"/>
      <c r="Y577" s="853"/>
      <c r="Z577" s="853"/>
      <c r="AA577" s="853"/>
      <c r="AB577" s="853"/>
      <c r="AC577" s="853"/>
      <c r="AD577" s="853"/>
      <c r="AE577" s="853"/>
      <c r="AF577" s="853"/>
      <c r="AG577" s="853"/>
      <c r="AH577" s="446"/>
      <c r="AI577" s="446"/>
      <c r="AJ577" s="446"/>
      <c r="AK577" s="446"/>
      <c r="AL577" s="446"/>
      <c r="AM577" s="446"/>
      <c r="AN577" s="446"/>
      <c r="AO577" s="446"/>
      <c r="AP577" s="446"/>
      <c r="AQ577" s="446"/>
      <c r="AR577" s="446"/>
      <c r="AS577" s="446"/>
      <c r="AT577" s="446"/>
      <c r="AU577" s="446"/>
      <c r="AV577" s="446"/>
      <c r="AW577" s="446"/>
      <c r="AX577" s="446"/>
      <c r="AY577" s="446"/>
      <c r="AZ577" s="446"/>
      <c r="BA577" s="446"/>
      <c r="BB577" s="446"/>
      <c r="BC577" s="446"/>
      <c r="BD577" s="446"/>
      <c r="BE577" s="446"/>
      <c r="BF577" s="446"/>
      <c r="BG577" s="446"/>
      <c r="BH577" s="446"/>
      <c r="BI577" s="446"/>
      <c r="BJ577" s="446"/>
      <c r="BK577" s="446"/>
      <c r="BL577" s="446"/>
      <c r="BM577" s="446"/>
      <c r="BN577" s="446"/>
      <c r="BO577" s="446"/>
      <c r="BP577" s="446"/>
      <c r="BQ577" s="446"/>
      <c r="BR577" s="446"/>
      <c r="BS577" s="446"/>
      <c r="BT577" s="446"/>
      <c r="BU577" s="562"/>
      <c r="BV577" s="446"/>
      <c r="BW577" s="446"/>
      <c r="BX577" s="446"/>
      <c r="BY577" s="446"/>
      <c r="BZ577" s="446"/>
      <c r="CA577" s="446"/>
      <c r="CB577" s="446"/>
      <c r="CC577" s="446"/>
      <c r="CD577" s="446"/>
      <c r="CE577" s="446"/>
      <c r="CF577" s="446"/>
      <c r="CG577" s="446"/>
      <c r="CH577" s="446"/>
      <c r="CI577" s="446"/>
      <c r="CJ577" s="446"/>
      <c r="CK577" s="446"/>
      <c r="CL577" s="446"/>
      <c r="CM577" s="446"/>
      <c r="CN577" s="446"/>
      <c r="CO577" s="446"/>
      <c r="CP577" s="446"/>
      <c r="CQ577" s="446"/>
      <c r="CR577" s="446"/>
      <c r="CS577" s="446"/>
      <c r="CT577" s="446"/>
      <c r="CU577" s="446"/>
      <c r="CV577" s="446"/>
      <c r="CW577" s="851"/>
      <c r="CX577" s="446"/>
      <c r="CY577" s="446"/>
      <c r="CZ577" s="446"/>
      <c r="DA577" s="446"/>
      <c r="DB577" s="446"/>
      <c r="DC577" s="446"/>
      <c r="DD577" s="446"/>
      <c r="DE577" s="446"/>
      <c r="DF577" s="446"/>
      <c r="DG577" s="446"/>
      <c r="DH577" s="446"/>
      <c r="DI577" s="446"/>
      <c r="DJ577" s="446"/>
      <c r="DK577" s="446"/>
      <c r="DL577" s="446"/>
      <c r="DM577" s="446"/>
      <c r="DN577" s="446"/>
      <c r="DO577" s="446"/>
      <c r="DP577" s="446"/>
      <c r="DQ577" s="446"/>
      <c r="DR577" s="446"/>
      <c r="DS577" s="446"/>
      <c r="DT577" s="446"/>
      <c r="DU577" s="446"/>
      <c r="DV577" s="446"/>
      <c r="DW577" s="446"/>
      <c r="DX577" s="446"/>
      <c r="DY577" s="446"/>
      <c r="DZ577" s="283"/>
    </row>
    <row r="578" spans="2:130" s="223" customFormat="1" x14ac:dyDescent="0.2">
      <c r="D578" s="856"/>
      <c r="E578" s="856"/>
      <c r="F578" s="856"/>
      <c r="G578" s="856"/>
      <c r="H578" s="856"/>
      <c r="I578" s="856"/>
      <c r="J578" s="856"/>
      <c r="K578" s="856"/>
      <c r="L578" s="856"/>
      <c r="M578" s="856"/>
      <c r="N578" s="857"/>
      <c r="O578" s="856"/>
      <c r="P578" s="856"/>
      <c r="Q578" s="858"/>
      <c r="R578" s="858"/>
      <c r="S578" s="876"/>
      <c r="T578" s="856"/>
      <c r="U578" s="856"/>
      <c r="V578" s="856"/>
      <c r="W578" s="856"/>
      <c r="X578" s="856"/>
      <c r="Y578" s="355"/>
      <c r="AB578" s="446"/>
      <c r="AC578" s="446"/>
      <c r="AD578" s="562"/>
      <c r="AE578" s="446"/>
      <c r="AF578" s="446"/>
      <c r="AG578" s="446"/>
      <c r="AH578" s="446"/>
      <c r="AI578" s="446"/>
      <c r="AJ578" s="446"/>
      <c r="AK578" s="446"/>
      <c r="AL578" s="446"/>
      <c r="AM578" s="446"/>
      <c r="AN578" s="446"/>
      <c r="AO578" s="446"/>
      <c r="AP578" s="446"/>
      <c r="AQ578" s="446"/>
      <c r="AR578" s="446"/>
      <c r="AS578" s="446"/>
      <c r="AT578" s="446"/>
      <c r="AU578" s="446"/>
      <c r="AV578" s="446"/>
      <c r="AW578" s="446"/>
      <c r="AX578" s="446"/>
      <c r="AY578" s="446"/>
      <c r="AZ578" s="446"/>
      <c r="BA578" s="446"/>
      <c r="BB578" s="446"/>
      <c r="BC578" s="446"/>
      <c r="BD578" s="446"/>
      <c r="BE578" s="446"/>
      <c r="BF578" s="446"/>
      <c r="BG578" s="446"/>
      <c r="BH578" s="446"/>
      <c r="BI578" s="446"/>
      <c r="BJ578" s="446"/>
      <c r="BK578" s="446"/>
      <c r="BL578" s="446"/>
      <c r="BM578" s="446"/>
      <c r="BN578" s="446"/>
      <c r="BO578" s="446"/>
      <c r="BP578" s="446"/>
      <c r="BQ578" s="446"/>
      <c r="BR578" s="446"/>
      <c r="BS578" s="446"/>
      <c r="BT578" s="446"/>
      <c r="BU578" s="562"/>
      <c r="BV578" s="446"/>
      <c r="BW578" s="446"/>
      <c r="BX578" s="446"/>
      <c r="BY578" s="446"/>
      <c r="BZ578" s="446"/>
      <c r="CA578" s="446"/>
      <c r="CB578" s="446"/>
      <c r="CC578" s="446"/>
      <c r="CD578" s="446"/>
      <c r="CE578" s="446"/>
      <c r="CF578" s="446"/>
      <c r="CG578" s="446"/>
      <c r="CH578" s="446"/>
      <c r="CI578" s="446"/>
      <c r="CJ578" s="446"/>
      <c r="CK578" s="446"/>
      <c r="CL578" s="446"/>
      <c r="CM578" s="446"/>
      <c r="CN578" s="446"/>
      <c r="CO578" s="446"/>
      <c r="CP578" s="446"/>
      <c r="CQ578" s="446"/>
      <c r="CR578" s="446"/>
      <c r="CS578" s="446"/>
      <c r="CT578" s="446"/>
      <c r="CU578" s="446"/>
      <c r="CV578" s="446"/>
      <c r="CW578" s="233"/>
      <c r="CX578" s="446"/>
      <c r="CY578" s="446"/>
      <c r="CZ578" s="446"/>
      <c r="DA578" s="446"/>
      <c r="DB578" s="446"/>
      <c r="DC578" s="446"/>
      <c r="DD578" s="446"/>
      <c r="DE578" s="446"/>
      <c r="DF578" s="446"/>
      <c r="DG578" s="446"/>
      <c r="DH578" s="446"/>
      <c r="DI578" s="446"/>
      <c r="DJ578" s="446"/>
      <c r="DK578" s="446"/>
      <c r="DL578" s="446"/>
      <c r="DM578" s="446"/>
      <c r="DN578" s="446"/>
      <c r="DO578" s="446"/>
      <c r="DP578" s="446"/>
      <c r="DQ578" s="446"/>
      <c r="DR578" s="446"/>
      <c r="DS578" s="446"/>
      <c r="DT578" s="446"/>
      <c r="DU578" s="446"/>
      <c r="DV578" s="446"/>
      <c r="DW578" s="446"/>
      <c r="DX578" s="446"/>
      <c r="DY578" s="446"/>
      <c r="DZ578" s="283"/>
    </row>
    <row r="579" spans="2:130" s="223" customFormat="1" x14ac:dyDescent="0.2">
      <c r="D579" s="856"/>
      <c r="E579" s="856"/>
      <c r="F579" s="856"/>
      <c r="G579" s="856"/>
      <c r="H579" s="856"/>
      <c r="I579" s="856"/>
      <c r="J579" s="856"/>
      <c r="K579" s="856"/>
      <c r="L579" s="856"/>
      <c r="M579" s="856"/>
      <c r="N579" s="857"/>
      <c r="O579" s="856"/>
      <c r="P579" s="856"/>
      <c r="Q579" s="858"/>
      <c r="R579" s="858"/>
      <c r="S579" s="876"/>
      <c r="T579" s="856"/>
      <c r="U579" s="856"/>
      <c r="V579" s="856"/>
      <c r="W579" s="856"/>
      <c r="X579" s="856"/>
      <c r="Y579" s="355"/>
      <c r="AB579" s="446"/>
      <c r="AC579" s="446"/>
      <c r="AD579" s="562"/>
      <c r="AE579" s="446"/>
      <c r="AF579" s="446"/>
      <c r="AG579" s="446"/>
      <c r="AH579" s="446"/>
      <c r="AI579" s="446"/>
      <c r="AJ579" s="446"/>
      <c r="AK579" s="446"/>
      <c r="AL579" s="446"/>
      <c r="AM579" s="446"/>
      <c r="AN579" s="446"/>
      <c r="AO579" s="446"/>
      <c r="AP579" s="446"/>
      <c r="AQ579" s="446"/>
      <c r="AR579" s="446"/>
      <c r="AS579" s="446"/>
      <c r="AT579" s="446"/>
      <c r="AU579" s="446"/>
      <c r="AV579" s="446"/>
      <c r="AW579" s="446"/>
      <c r="AX579" s="446"/>
      <c r="AY579" s="446"/>
      <c r="AZ579" s="446"/>
      <c r="BA579" s="446"/>
      <c r="BB579" s="446"/>
      <c r="BC579" s="446"/>
      <c r="BD579" s="446"/>
      <c r="BE579" s="446"/>
      <c r="BF579" s="446"/>
      <c r="BG579" s="446"/>
      <c r="BH579" s="446"/>
      <c r="BI579" s="446"/>
      <c r="BJ579" s="446"/>
      <c r="BK579" s="446"/>
      <c r="BL579" s="446"/>
      <c r="BM579" s="446"/>
      <c r="BN579" s="446"/>
      <c r="BO579" s="446"/>
      <c r="BP579" s="446"/>
      <c r="BQ579" s="446"/>
      <c r="BR579" s="446"/>
      <c r="BS579" s="446"/>
      <c r="BT579" s="446"/>
      <c r="BU579" s="562"/>
      <c r="BV579" s="446"/>
      <c r="BW579" s="446"/>
      <c r="BX579" s="446"/>
      <c r="BY579" s="446"/>
      <c r="BZ579" s="446"/>
      <c r="CA579" s="446"/>
      <c r="CB579" s="446"/>
      <c r="CC579" s="446"/>
      <c r="CD579" s="446"/>
      <c r="CE579" s="446"/>
      <c r="CF579" s="446"/>
      <c r="CG579" s="446"/>
      <c r="CH579" s="446"/>
      <c r="CI579" s="446"/>
      <c r="CJ579" s="446"/>
      <c r="CK579" s="446"/>
      <c r="CL579" s="446"/>
      <c r="CM579" s="446"/>
      <c r="CN579" s="446"/>
      <c r="CO579" s="446"/>
      <c r="CP579" s="446"/>
      <c r="CQ579" s="446"/>
      <c r="CR579" s="446"/>
      <c r="CS579" s="446"/>
      <c r="CT579" s="446"/>
      <c r="CU579" s="446"/>
      <c r="CV579" s="446"/>
      <c r="CW579" s="233"/>
      <c r="CX579" s="446"/>
      <c r="CY579" s="446"/>
      <c r="CZ579" s="446"/>
      <c r="DA579" s="446"/>
      <c r="DB579" s="446"/>
      <c r="DC579" s="446"/>
      <c r="DD579" s="446"/>
      <c r="DE579" s="446"/>
      <c r="DF579" s="446"/>
      <c r="DG579" s="446"/>
      <c r="DH579" s="446"/>
      <c r="DI579" s="446"/>
      <c r="DJ579" s="446"/>
      <c r="DK579" s="446"/>
      <c r="DL579" s="446"/>
      <c r="DM579" s="446"/>
      <c r="DN579" s="446"/>
      <c r="DO579" s="446"/>
      <c r="DP579" s="446"/>
      <c r="DQ579" s="446"/>
      <c r="DR579" s="446"/>
      <c r="DS579" s="446"/>
      <c r="DT579" s="446"/>
      <c r="DU579" s="446"/>
      <c r="DV579" s="446"/>
      <c r="DW579" s="446"/>
      <c r="DX579" s="446"/>
      <c r="DY579" s="446"/>
      <c r="DZ579" s="283"/>
    </row>
    <row r="580" spans="2:130" s="223" customFormat="1" x14ac:dyDescent="0.2">
      <c r="D580" s="856"/>
      <c r="E580" s="856"/>
      <c r="F580" s="856"/>
      <c r="G580" s="856"/>
      <c r="H580" s="856"/>
      <c r="I580" s="856"/>
      <c r="J580" s="856"/>
      <c r="K580" s="856"/>
      <c r="L580" s="856"/>
      <c r="M580" s="856"/>
      <c r="N580" s="857"/>
      <c r="O580" s="856"/>
      <c r="P580" s="856"/>
      <c r="Q580" s="858"/>
      <c r="R580" s="858"/>
      <c r="S580" s="876"/>
      <c r="T580" s="856"/>
      <c r="U580" s="856"/>
      <c r="V580" s="856"/>
      <c r="W580" s="856"/>
      <c r="X580" s="856"/>
      <c r="Y580" s="355"/>
      <c r="AB580" s="446"/>
      <c r="AC580" s="446"/>
      <c r="AD580" s="562"/>
      <c r="AE580" s="446"/>
      <c r="AF580" s="446"/>
      <c r="AG580" s="446"/>
      <c r="AH580" s="446"/>
      <c r="AI580" s="446"/>
      <c r="AJ580" s="446"/>
      <c r="AK580" s="446"/>
      <c r="AL580" s="446"/>
      <c r="AM580" s="446"/>
      <c r="AN580" s="446"/>
      <c r="AO580" s="446"/>
      <c r="AP580" s="446"/>
      <c r="AQ580" s="446"/>
      <c r="AR580" s="446"/>
      <c r="AS580" s="446"/>
      <c r="AT580" s="446"/>
      <c r="AU580" s="446"/>
      <c r="AV580" s="446"/>
      <c r="AW580" s="446"/>
      <c r="AX580" s="446"/>
      <c r="AY580" s="446"/>
      <c r="AZ580" s="446"/>
      <c r="BA580" s="446"/>
      <c r="BB580" s="446"/>
      <c r="BC580" s="446"/>
      <c r="BD580" s="446"/>
      <c r="BE580" s="446"/>
      <c r="BF580" s="446"/>
      <c r="BG580" s="446"/>
      <c r="BH580" s="446"/>
      <c r="BI580" s="446"/>
      <c r="BJ580" s="446"/>
      <c r="BK580" s="446"/>
      <c r="BL580" s="446"/>
      <c r="BM580" s="446"/>
      <c r="BN580" s="446"/>
      <c r="BO580" s="446"/>
      <c r="BP580" s="446"/>
      <c r="BQ580" s="446"/>
      <c r="BR580" s="446"/>
      <c r="BS580" s="446"/>
      <c r="BT580" s="446"/>
      <c r="BU580" s="562"/>
      <c r="BV580" s="446"/>
      <c r="BW580" s="446"/>
      <c r="BX580" s="446"/>
      <c r="BY580" s="446"/>
      <c r="BZ580" s="446"/>
      <c r="CA580" s="446"/>
      <c r="CB580" s="446"/>
      <c r="CC580" s="446"/>
      <c r="CD580" s="446"/>
      <c r="CE580" s="446"/>
      <c r="CF580" s="446"/>
      <c r="CG580" s="446"/>
      <c r="CH580" s="446"/>
      <c r="CI580" s="446"/>
      <c r="CJ580" s="446"/>
      <c r="CK580" s="446"/>
      <c r="CL580" s="446"/>
      <c r="CM580" s="446"/>
      <c r="CN580" s="446"/>
      <c r="CO580" s="446"/>
      <c r="CP580" s="446"/>
      <c r="CQ580" s="446"/>
      <c r="CR580" s="446"/>
      <c r="CS580" s="446"/>
      <c r="CT580" s="446"/>
      <c r="CU580" s="446"/>
      <c r="CV580" s="446"/>
      <c r="CW580" s="233"/>
      <c r="CX580" s="446"/>
      <c r="CY580" s="446"/>
      <c r="CZ580" s="446"/>
      <c r="DA580" s="446"/>
      <c r="DB580" s="446"/>
      <c r="DC580" s="446"/>
      <c r="DD580" s="446"/>
      <c r="DE580" s="446"/>
      <c r="DF580" s="446"/>
      <c r="DG580" s="446"/>
      <c r="DH580" s="446"/>
      <c r="DI580" s="446"/>
      <c r="DJ580" s="446"/>
      <c r="DK580" s="446"/>
      <c r="DL580" s="446"/>
      <c r="DM580" s="446"/>
      <c r="DN580" s="446"/>
      <c r="DO580" s="446"/>
      <c r="DP580" s="446"/>
      <c r="DQ580" s="446"/>
      <c r="DR580" s="446"/>
      <c r="DS580" s="446"/>
      <c r="DT580" s="446"/>
      <c r="DU580" s="446"/>
      <c r="DV580" s="446"/>
      <c r="DW580" s="446"/>
      <c r="DX580" s="446"/>
      <c r="DY580" s="446"/>
      <c r="DZ580" s="283"/>
    </row>
    <row r="581" spans="2:130" s="223" customFormat="1" x14ac:dyDescent="0.2">
      <c r="D581" s="856"/>
      <c r="E581" s="856"/>
      <c r="F581" s="856"/>
      <c r="G581" s="856"/>
      <c r="H581" s="856"/>
      <c r="I581" s="856"/>
      <c r="J581" s="856"/>
      <c r="K581" s="856"/>
      <c r="L581" s="856"/>
      <c r="M581" s="856"/>
      <c r="N581" s="857"/>
      <c r="O581" s="856"/>
      <c r="P581" s="856"/>
      <c r="Q581" s="858"/>
      <c r="R581" s="858"/>
      <c r="S581" s="876"/>
      <c r="T581" s="856"/>
      <c r="U581" s="856"/>
      <c r="V581" s="856"/>
      <c r="W581" s="856"/>
      <c r="X581" s="856"/>
      <c r="Y581" s="355"/>
      <c r="AB581" s="446"/>
      <c r="AC581" s="446"/>
      <c r="AD581" s="562"/>
      <c r="AE581" s="446"/>
      <c r="AF581" s="446"/>
      <c r="AG581" s="446"/>
      <c r="AH581" s="446"/>
      <c r="AI581" s="446"/>
      <c r="AJ581" s="446"/>
      <c r="AK581" s="446"/>
      <c r="AL581" s="446"/>
      <c r="AM581" s="446"/>
      <c r="AN581" s="446"/>
      <c r="AO581" s="446"/>
      <c r="AP581" s="446"/>
      <c r="AQ581" s="446"/>
      <c r="AR581" s="446"/>
      <c r="AS581" s="446"/>
      <c r="AT581" s="446"/>
      <c r="AU581" s="446"/>
      <c r="AV581" s="446"/>
      <c r="AW581" s="446"/>
      <c r="AX581" s="446"/>
      <c r="AY581" s="446"/>
      <c r="AZ581" s="446"/>
      <c r="BA581" s="446"/>
      <c r="BB581" s="446"/>
      <c r="BC581" s="446"/>
      <c r="BD581" s="446"/>
      <c r="BE581" s="446"/>
      <c r="BF581" s="446"/>
      <c r="BG581" s="446"/>
      <c r="BH581" s="446"/>
      <c r="BI581" s="446"/>
      <c r="BJ581" s="446"/>
      <c r="BK581" s="446"/>
      <c r="BL581" s="446"/>
      <c r="BM581" s="446"/>
      <c r="BN581" s="446"/>
      <c r="BO581" s="446"/>
      <c r="BP581" s="446"/>
      <c r="BQ581" s="446"/>
      <c r="BR581" s="446"/>
      <c r="BS581" s="446"/>
      <c r="BT581" s="446"/>
      <c r="BU581" s="562"/>
      <c r="BV581" s="446"/>
      <c r="BW581" s="446"/>
      <c r="BX581" s="446"/>
      <c r="BY581" s="446"/>
      <c r="BZ581" s="446"/>
      <c r="CA581" s="446"/>
      <c r="CB581" s="446"/>
      <c r="CC581" s="446"/>
      <c r="CD581" s="446"/>
      <c r="CE581" s="446"/>
      <c r="CF581" s="446"/>
      <c r="CG581" s="446"/>
      <c r="CH581" s="446"/>
      <c r="CI581" s="446"/>
      <c r="CJ581" s="446"/>
      <c r="CK581" s="446"/>
      <c r="CL581" s="446"/>
      <c r="CM581" s="446"/>
      <c r="CN581" s="446"/>
      <c r="CO581" s="446"/>
      <c r="CP581" s="446"/>
      <c r="CQ581" s="446"/>
      <c r="CR581" s="446"/>
      <c r="CS581" s="446"/>
      <c r="CT581" s="446"/>
      <c r="CU581" s="446"/>
      <c r="CV581" s="446"/>
      <c r="CW581" s="233"/>
      <c r="CX581" s="446"/>
      <c r="CY581" s="446"/>
      <c r="CZ581" s="446"/>
      <c r="DA581" s="446"/>
      <c r="DB581" s="446"/>
      <c r="DC581" s="446"/>
      <c r="DD581" s="446"/>
      <c r="DE581" s="446"/>
      <c r="DF581" s="446"/>
      <c r="DG581" s="446"/>
      <c r="DH581" s="446"/>
      <c r="DI581" s="446"/>
      <c r="DJ581" s="446"/>
      <c r="DK581" s="446"/>
      <c r="DL581" s="446"/>
      <c r="DM581" s="446"/>
      <c r="DN581" s="446"/>
      <c r="DO581" s="446"/>
      <c r="DP581" s="446"/>
      <c r="DQ581" s="446"/>
      <c r="DR581" s="446"/>
      <c r="DS581" s="446"/>
      <c r="DT581" s="446"/>
      <c r="DU581" s="446"/>
      <c r="DV581" s="446"/>
      <c r="DW581" s="446"/>
      <c r="DX581" s="446"/>
      <c r="DY581" s="446"/>
      <c r="DZ581" s="283"/>
    </row>
    <row r="582" spans="2:130" s="223" customFormat="1" x14ac:dyDescent="0.2">
      <c r="D582" s="856"/>
      <c r="E582" s="856"/>
      <c r="F582" s="856"/>
      <c r="G582" s="856"/>
      <c r="H582" s="856"/>
      <c r="I582" s="856"/>
      <c r="J582" s="856"/>
      <c r="K582" s="856"/>
      <c r="L582" s="856"/>
      <c r="M582" s="856"/>
      <c r="N582" s="857"/>
      <c r="O582" s="856"/>
      <c r="P582" s="856"/>
      <c r="Q582" s="858"/>
      <c r="R582" s="858"/>
      <c r="S582" s="876"/>
      <c r="T582" s="856"/>
      <c r="U582" s="856"/>
      <c r="V582" s="856"/>
      <c r="W582" s="856"/>
      <c r="X582" s="856"/>
      <c r="Y582" s="355"/>
      <c r="AB582" s="446"/>
      <c r="AC582" s="446"/>
      <c r="AD582" s="562"/>
      <c r="AE582" s="446"/>
      <c r="AF582" s="446"/>
      <c r="AG582" s="446"/>
      <c r="AH582" s="446"/>
      <c r="AI582" s="446"/>
      <c r="AJ582" s="446"/>
      <c r="AK582" s="446"/>
      <c r="AL582" s="446"/>
      <c r="AM582" s="446"/>
      <c r="AN582" s="446"/>
      <c r="AO582" s="446"/>
      <c r="AP582" s="446"/>
      <c r="AQ582" s="446"/>
      <c r="AR582" s="446"/>
      <c r="AS582" s="446"/>
      <c r="AT582" s="446"/>
      <c r="AU582" s="446"/>
      <c r="AV582" s="446"/>
      <c r="AW582" s="446"/>
      <c r="AX582" s="446"/>
      <c r="AY582" s="446"/>
      <c r="AZ582" s="446"/>
      <c r="BA582" s="446"/>
      <c r="BB582" s="446"/>
      <c r="BC582" s="446"/>
      <c r="BD582" s="446"/>
      <c r="BE582" s="446"/>
      <c r="BF582" s="446"/>
      <c r="BG582" s="446"/>
      <c r="BH582" s="446"/>
      <c r="BI582" s="446"/>
      <c r="BJ582" s="446"/>
      <c r="BK582" s="446"/>
      <c r="BL582" s="446"/>
      <c r="BM582" s="446"/>
      <c r="BN582" s="446"/>
      <c r="BO582" s="446"/>
      <c r="BP582" s="446"/>
      <c r="BQ582" s="446"/>
      <c r="BR582" s="446"/>
      <c r="BS582" s="446"/>
      <c r="BT582" s="446"/>
      <c r="BU582" s="562"/>
      <c r="BV582" s="446"/>
      <c r="BW582" s="446"/>
      <c r="BX582" s="446"/>
      <c r="BY582" s="446"/>
      <c r="BZ582" s="446"/>
      <c r="CA582" s="446"/>
      <c r="CB582" s="446"/>
      <c r="CC582" s="446"/>
      <c r="CD582" s="446"/>
      <c r="CE582" s="446"/>
      <c r="CF582" s="446"/>
      <c r="CG582" s="446"/>
      <c r="CH582" s="446"/>
      <c r="CI582" s="446"/>
      <c r="CJ582" s="446"/>
      <c r="CK582" s="446"/>
      <c r="CL582" s="446"/>
      <c r="CM582" s="446"/>
      <c r="CN582" s="446"/>
      <c r="CO582" s="446"/>
      <c r="CP582" s="446"/>
      <c r="CQ582" s="446"/>
      <c r="CR582" s="446"/>
      <c r="CS582" s="446"/>
      <c r="CT582" s="446"/>
      <c r="CU582" s="446"/>
      <c r="CV582" s="446"/>
      <c r="CW582" s="233"/>
      <c r="CX582" s="446"/>
      <c r="CY582" s="446"/>
      <c r="CZ582" s="446"/>
      <c r="DA582" s="446"/>
      <c r="DB582" s="446"/>
      <c r="DC582" s="446"/>
      <c r="DD582" s="446"/>
      <c r="DE582" s="446"/>
      <c r="DF582" s="446"/>
      <c r="DG582" s="446"/>
      <c r="DH582" s="446"/>
      <c r="DI582" s="446"/>
      <c r="DJ582" s="446"/>
      <c r="DK582" s="446"/>
      <c r="DL582" s="446"/>
      <c r="DM582" s="446"/>
      <c r="DN582" s="446"/>
      <c r="DO582" s="446"/>
      <c r="DP582" s="446"/>
      <c r="DQ582" s="446"/>
      <c r="DR582" s="446"/>
      <c r="DS582" s="446"/>
      <c r="DT582" s="446"/>
      <c r="DU582" s="446"/>
      <c r="DV582" s="446"/>
      <c r="DW582" s="446"/>
      <c r="DX582" s="446"/>
      <c r="DY582" s="446"/>
      <c r="DZ582" s="283"/>
    </row>
    <row r="583" spans="2:130" s="223" customFormat="1" x14ac:dyDescent="0.2">
      <c r="D583" s="856"/>
      <c r="E583" s="856"/>
      <c r="F583" s="856"/>
      <c r="G583" s="856"/>
      <c r="H583" s="856"/>
      <c r="I583" s="856"/>
      <c r="J583" s="856"/>
      <c r="K583" s="856"/>
      <c r="L583" s="856"/>
      <c r="M583" s="856"/>
      <c r="N583" s="857"/>
      <c r="O583" s="856"/>
      <c r="P583" s="856"/>
      <c r="Q583" s="858"/>
      <c r="R583" s="858"/>
      <c r="S583" s="876"/>
      <c r="T583" s="856"/>
      <c r="U583" s="856"/>
      <c r="V583" s="856"/>
      <c r="W583" s="856"/>
      <c r="X583" s="856"/>
      <c r="Y583" s="355"/>
      <c r="AB583" s="446"/>
      <c r="AC583" s="446"/>
      <c r="AD583" s="562"/>
      <c r="AE583" s="446"/>
      <c r="AF583" s="446"/>
      <c r="AG583" s="446"/>
      <c r="AH583" s="446"/>
      <c r="AI583" s="446"/>
      <c r="AJ583" s="446"/>
      <c r="AK583" s="446"/>
      <c r="AL583" s="446"/>
      <c r="AM583" s="446"/>
      <c r="AN583" s="446"/>
      <c r="AO583" s="446"/>
      <c r="AP583" s="446"/>
      <c r="AQ583" s="446"/>
      <c r="AR583" s="446"/>
      <c r="AS583" s="446"/>
      <c r="AT583" s="446"/>
      <c r="AU583" s="446"/>
      <c r="AV583" s="446"/>
      <c r="AW583" s="446"/>
      <c r="AX583" s="446"/>
      <c r="AY583" s="446"/>
      <c r="AZ583" s="446"/>
      <c r="BA583" s="446"/>
      <c r="BB583" s="446"/>
      <c r="BC583" s="446"/>
      <c r="BD583" s="446"/>
      <c r="BE583" s="446"/>
      <c r="BF583" s="446"/>
      <c r="BG583" s="446"/>
      <c r="BH583" s="446"/>
      <c r="BI583" s="446"/>
      <c r="BJ583" s="446"/>
      <c r="BK583" s="446"/>
      <c r="BL583" s="446"/>
      <c r="BM583" s="446"/>
      <c r="BN583" s="446"/>
      <c r="BO583" s="446"/>
      <c r="BP583" s="446"/>
      <c r="BQ583" s="446"/>
      <c r="BR583" s="446"/>
      <c r="BS583" s="446"/>
      <c r="BT583" s="446"/>
      <c r="BU583" s="562"/>
      <c r="BV583" s="446"/>
      <c r="BW583" s="446"/>
      <c r="BX583" s="446"/>
      <c r="BY583" s="446"/>
      <c r="BZ583" s="446"/>
      <c r="CA583" s="446"/>
      <c r="CB583" s="446"/>
      <c r="CC583" s="446"/>
      <c r="CD583" s="446"/>
      <c r="CE583" s="446"/>
      <c r="CF583" s="446"/>
      <c r="CG583" s="446"/>
      <c r="CH583" s="446"/>
      <c r="CI583" s="446"/>
      <c r="CJ583" s="446"/>
      <c r="CK583" s="446"/>
      <c r="CL583" s="446"/>
      <c r="CM583" s="446"/>
      <c r="CN583" s="446"/>
      <c r="CO583" s="446"/>
      <c r="CP583" s="446"/>
      <c r="CQ583" s="446"/>
      <c r="CR583" s="446"/>
      <c r="CS583" s="446"/>
      <c r="CT583" s="446"/>
      <c r="CU583" s="446"/>
      <c r="CV583" s="446"/>
      <c r="CW583" s="233"/>
      <c r="CX583" s="446"/>
      <c r="CY583" s="446"/>
      <c r="CZ583" s="446"/>
      <c r="DA583" s="446"/>
      <c r="DB583" s="446"/>
      <c r="DC583" s="446"/>
      <c r="DD583" s="446"/>
      <c r="DE583" s="446"/>
      <c r="DF583" s="446"/>
      <c r="DG583" s="446"/>
      <c r="DH583" s="446"/>
      <c r="DI583" s="446"/>
      <c r="DJ583" s="446"/>
      <c r="DK583" s="446"/>
      <c r="DL583" s="446"/>
      <c r="DM583" s="446"/>
      <c r="DN583" s="446"/>
      <c r="DO583" s="446"/>
      <c r="DP583" s="446"/>
      <c r="DQ583" s="446"/>
      <c r="DR583" s="446"/>
      <c r="DS583" s="446"/>
      <c r="DT583" s="446"/>
      <c r="DU583" s="446"/>
      <c r="DV583" s="446"/>
      <c r="DW583" s="446"/>
      <c r="DX583" s="446"/>
      <c r="DY583" s="446"/>
      <c r="DZ583" s="283"/>
    </row>
    <row r="584" spans="2:130" s="223" customFormat="1" x14ac:dyDescent="0.2">
      <c r="D584" s="856"/>
      <c r="E584" s="856"/>
      <c r="F584" s="856"/>
      <c r="G584" s="856"/>
      <c r="H584" s="856"/>
      <c r="I584" s="856"/>
      <c r="J584" s="856"/>
      <c r="K584" s="856"/>
      <c r="L584" s="856"/>
      <c r="M584" s="856"/>
      <c r="N584" s="857"/>
      <c r="O584" s="856"/>
      <c r="P584" s="856"/>
      <c r="Q584" s="858"/>
      <c r="R584" s="858"/>
      <c r="S584" s="876"/>
      <c r="T584" s="856"/>
      <c r="U584" s="856"/>
      <c r="V584" s="856"/>
      <c r="W584" s="856"/>
      <c r="X584" s="856"/>
      <c r="Y584" s="355"/>
      <c r="AB584" s="446"/>
      <c r="AC584" s="446"/>
      <c r="AD584" s="562"/>
      <c r="AE584" s="446"/>
      <c r="AF584" s="446"/>
      <c r="AG584" s="446"/>
      <c r="AH584" s="446"/>
      <c r="AI584" s="446"/>
      <c r="AJ584" s="446"/>
      <c r="AK584" s="446"/>
      <c r="AL584" s="446"/>
      <c r="AM584" s="446"/>
      <c r="AN584" s="446"/>
      <c r="AO584" s="446"/>
      <c r="AP584" s="446"/>
      <c r="AQ584" s="446"/>
      <c r="AR584" s="446"/>
      <c r="AS584" s="446"/>
      <c r="AT584" s="446"/>
      <c r="AU584" s="446"/>
      <c r="AV584" s="446"/>
      <c r="AW584" s="446"/>
      <c r="AX584" s="446"/>
      <c r="AY584" s="446"/>
      <c r="AZ584" s="446"/>
      <c r="BA584" s="446"/>
      <c r="BB584" s="446"/>
      <c r="BC584" s="446"/>
      <c r="BD584" s="446"/>
      <c r="BE584" s="446"/>
      <c r="BF584" s="446"/>
      <c r="BG584" s="446"/>
      <c r="BH584" s="446"/>
      <c r="BI584" s="446"/>
      <c r="BJ584" s="446"/>
      <c r="BK584" s="446"/>
      <c r="BL584" s="446"/>
      <c r="BM584" s="446"/>
      <c r="BN584" s="446"/>
      <c r="BO584" s="446"/>
      <c r="BP584" s="446"/>
      <c r="BQ584" s="446"/>
      <c r="BR584" s="446"/>
      <c r="BS584" s="446"/>
      <c r="BT584" s="446"/>
      <c r="BU584" s="562"/>
      <c r="BV584" s="446"/>
      <c r="BW584" s="446"/>
      <c r="BX584" s="446"/>
      <c r="BY584" s="446"/>
      <c r="BZ584" s="446"/>
      <c r="CA584" s="446"/>
      <c r="CB584" s="446"/>
      <c r="CC584" s="446"/>
      <c r="CD584" s="446"/>
      <c r="CE584" s="446"/>
      <c r="CF584" s="446"/>
      <c r="CG584" s="446"/>
      <c r="CH584" s="446"/>
      <c r="CI584" s="446"/>
      <c r="CJ584" s="446"/>
      <c r="CK584" s="446"/>
      <c r="CL584" s="446"/>
      <c r="CM584" s="446"/>
      <c r="CN584" s="446"/>
      <c r="CO584" s="446"/>
      <c r="CP584" s="446"/>
      <c r="CQ584" s="446"/>
      <c r="CR584" s="446"/>
      <c r="CS584" s="446"/>
      <c r="CT584" s="446"/>
      <c r="CU584" s="446"/>
      <c r="CV584" s="446"/>
      <c r="CW584" s="233"/>
      <c r="CX584" s="446"/>
      <c r="CY584" s="446"/>
      <c r="CZ584" s="446"/>
      <c r="DA584" s="446"/>
      <c r="DB584" s="446"/>
      <c r="DC584" s="446"/>
      <c r="DD584" s="446"/>
      <c r="DE584" s="446"/>
      <c r="DF584" s="446"/>
      <c r="DG584" s="446"/>
      <c r="DH584" s="446"/>
      <c r="DI584" s="446"/>
      <c r="DJ584" s="446"/>
      <c r="DK584" s="446"/>
      <c r="DL584" s="446"/>
      <c r="DM584" s="446"/>
      <c r="DN584" s="446"/>
      <c r="DO584" s="446"/>
      <c r="DP584" s="446"/>
      <c r="DQ584" s="446"/>
      <c r="DR584" s="446"/>
      <c r="DS584" s="446"/>
      <c r="DT584" s="446"/>
      <c r="DU584" s="446"/>
      <c r="DV584" s="446"/>
      <c r="DW584" s="446"/>
      <c r="DX584" s="446"/>
      <c r="DY584" s="446"/>
      <c r="DZ584" s="283"/>
    </row>
    <row r="585" spans="2:130" s="223" customFormat="1" x14ac:dyDescent="0.2">
      <c r="D585" s="856"/>
      <c r="E585" s="856"/>
      <c r="F585" s="856"/>
      <c r="G585" s="856"/>
      <c r="H585" s="856"/>
      <c r="I585" s="856"/>
      <c r="J585" s="856"/>
      <c r="K585" s="856"/>
      <c r="L585" s="856"/>
      <c r="M585" s="856"/>
      <c r="N585" s="857"/>
      <c r="O585" s="856"/>
      <c r="P585" s="856"/>
      <c r="Q585" s="858"/>
      <c r="R585" s="858"/>
      <c r="S585" s="876"/>
      <c r="T585" s="856"/>
      <c r="U585" s="856"/>
      <c r="V585" s="856"/>
      <c r="W585" s="856"/>
      <c r="X585" s="856"/>
      <c r="Y585" s="355"/>
      <c r="AB585" s="446"/>
      <c r="AC585" s="446"/>
      <c r="AD585" s="562"/>
      <c r="AE585" s="446"/>
      <c r="AF585" s="446"/>
      <c r="AG585" s="446"/>
      <c r="AH585" s="446"/>
      <c r="AI585" s="446"/>
      <c r="AJ585" s="446"/>
      <c r="AK585" s="446"/>
      <c r="AL585" s="446"/>
      <c r="AM585" s="446"/>
      <c r="AN585" s="446"/>
      <c r="AO585" s="446"/>
      <c r="AP585" s="446"/>
      <c r="AQ585" s="446"/>
      <c r="AR585" s="446"/>
      <c r="AS585" s="446"/>
      <c r="AT585" s="446"/>
      <c r="AU585" s="446"/>
      <c r="AV585" s="446"/>
      <c r="AW585" s="446"/>
      <c r="AX585" s="446"/>
      <c r="AY585" s="446"/>
      <c r="AZ585" s="446"/>
      <c r="BA585" s="446"/>
      <c r="BB585" s="446"/>
      <c r="BC585" s="446"/>
      <c r="BD585" s="446"/>
      <c r="BE585" s="446"/>
      <c r="BF585" s="446"/>
      <c r="BG585" s="446"/>
      <c r="BH585" s="446"/>
      <c r="BI585" s="446"/>
      <c r="BJ585" s="446"/>
      <c r="BK585" s="446"/>
      <c r="BL585" s="446"/>
      <c r="BM585" s="446"/>
      <c r="BN585" s="446"/>
      <c r="BO585" s="446"/>
      <c r="BP585" s="446"/>
      <c r="BQ585" s="446"/>
      <c r="BR585" s="446"/>
      <c r="BS585" s="446"/>
      <c r="BT585" s="446"/>
      <c r="BU585" s="562"/>
      <c r="BV585" s="446"/>
      <c r="BW585" s="446"/>
      <c r="BX585" s="446"/>
      <c r="BY585" s="446"/>
      <c r="BZ585" s="446"/>
      <c r="CA585" s="446"/>
      <c r="CB585" s="446"/>
      <c r="CC585" s="446"/>
      <c r="CD585" s="446"/>
      <c r="CE585" s="446"/>
      <c r="CF585" s="446"/>
      <c r="CG585" s="446"/>
      <c r="CH585" s="446"/>
      <c r="CI585" s="446"/>
      <c r="CJ585" s="446"/>
      <c r="CK585" s="446"/>
      <c r="CL585" s="446"/>
      <c r="CM585" s="446"/>
      <c r="CN585" s="446"/>
      <c r="CO585" s="446"/>
      <c r="CP585" s="446"/>
      <c r="CQ585" s="446"/>
      <c r="CR585" s="446"/>
      <c r="CS585" s="446"/>
      <c r="CT585" s="446"/>
      <c r="CU585" s="446"/>
      <c r="CV585" s="446"/>
      <c r="CW585" s="233"/>
      <c r="CX585" s="446"/>
      <c r="CY585" s="446"/>
      <c r="CZ585" s="446"/>
      <c r="DA585" s="446"/>
      <c r="DB585" s="446"/>
      <c r="DC585" s="446"/>
      <c r="DD585" s="446"/>
      <c r="DE585" s="446"/>
      <c r="DF585" s="446"/>
      <c r="DG585" s="446"/>
      <c r="DH585" s="446"/>
      <c r="DI585" s="446"/>
      <c r="DJ585" s="446"/>
      <c r="DK585" s="446"/>
      <c r="DL585" s="446"/>
      <c r="DM585" s="446"/>
      <c r="DN585" s="446"/>
      <c r="DO585" s="446"/>
      <c r="DP585" s="446"/>
      <c r="DQ585" s="446"/>
      <c r="DR585" s="446"/>
      <c r="DS585" s="446"/>
      <c r="DT585" s="446"/>
      <c r="DU585" s="446"/>
      <c r="DV585" s="446"/>
      <c r="DW585" s="446"/>
      <c r="DX585" s="446"/>
      <c r="DY585" s="446"/>
      <c r="DZ585" s="283"/>
    </row>
    <row r="586" spans="2:130" s="223" customFormat="1" x14ac:dyDescent="0.2">
      <c r="D586" s="856"/>
      <c r="E586" s="856"/>
      <c r="F586" s="856"/>
      <c r="G586" s="856"/>
      <c r="H586" s="856"/>
      <c r="I586" s="856"/>
      <c r="J586" s="856"/>
      <c r="K586" s="856"/>
      <c r="L586" s="856"/>
      <c r="M586" s="856"/>
      <c r="N586" s="857"/>
      <c r="O586" s="856"/>
      <c r="P586" s="856"/>
      <c r="Q586" s="858"/>
      <c r="R586" s="858"/>
      <c r="S586" s="876"/>
      <c r="T586" s="856"/>
      <c r="U586" s="856"/>
      <c r="V586" s="856"/>
      <c r="W586" s="856"/>
      <c r="X586" s="856"/>
      <c r="Y586" s="355"/>
      <c r="AB586" s="446"/>
      <c r="AC586" s="446"/>
      <c r="AD586" s="562"/>
      <c r="AE586" s="446"/>
      <c r="AF586" s="446"/>
      <c r="AG586" s="446"/>
      <c r="AH586" s="446"/>
      <c r="AI586" s="446"/>
      <c r="AJ586" s="446"/>
      <c r="AK586" s="446"/>
      <c r="AL586" s="446"/>
      <c r="AM586" s="446"/>
      <c r="AN586" s="446"/>
      <c r="AO586" s="446"/>
      <c r="AP586" s="446"/>
      <c r="AQ586" s="446"/>
      <c r="AR586" s="446"/>
      <c r="AS586" s="446"/>
      <c r="AT586" s="446"/>
      <c r="AU586" s="446"/>
      <c r="AV586" s="446"/>
      <c r="AW586" s="446"/>
      <c r="AX586" s="446"/>
      <c r="AY586" s="446"/>
      <c r="AZ586" s="446"/>
      <c r="BA586" s="446"/>
      <c r="BB586" s="446"/>
      <c r="BC586" s="446"/>
      <c r="BD586" s="446"/>
      <c r="BE586" s="446"/>
      <c r="BF586" s="446"/>
      <c r="BG586" s="446"/>
      <c r="BH586" s="446"/>
      <c r="BI586" s="446"/>
      <c r="BJ586" s="446"/>
      <c r="BK586" s="446"/>
      <c r="BL586" s="446"/>
      <c r="BM586" s="446"/>
      <c r="BN586" s="446"/>
      <c r="BO586" s="446"/>
      <c r="BP586" s="446"/>
      <c r="BQ586" s="446"/>
      <c r="BR586" s="446"/>
      <c r="BS586" s="446"/>
      <c r="BT586" s="446"/>
      <c r="BU586" s="562"/>
      <c r="BV586" s="446"/>
      <c r="BW586" s="446"/>
      <c r="BX586" s="446"/>
      <c r="BY586" s="446"/>
      <c r="BZ586" s="446"/>
      <c r="CA586" s="446"/>
      <c r="CB586" s="446"/>
      <c r="CC586" s="446"/>
      <c r="CD586" s="446"/>
      <c r="CE586" s="446"/>
      <c r="CF586" s="446"/>
      <c r="CG586" s="446"/>
      <c r="CH586" s="446"/>
      <c r="CI586" s="446"/>
      <c r="CJ586" s="446"/>
      <c r="CK586" s="446"/>
      <c r="CL586" s="446"/>
      <c r="CM586" s="446"/>
      <c r="CN586" s="446"/>
      <c r="CO586" s="446"/>
      <c r="CP586" s="446"/>
      <c r="CQ586" s="446"/>
      <c r="CR586" s="446"/>
      <c r="CS586" s="446"/>
      <c r="CT586" s="446"/>
      <c r="CU586" s="446"/>
      <c r="CV586" s="446"/>
      <c r="CW586" s="233"/>
      <c r="CX586" s="446"/>
      <c r="CY586" s="446"/>
      <c r="CZ586" s="446"/>
      <c r="DA586" s="446"/>
      <c r="DB586" s="446"/>
      <c r="DC586" s="446"/>
      <c r="DD586" s="446"/>
      <c r="DE586" s="446"/>
      <c r="DF586" s="446"/>
      <c r="DG586" s="446"/>
      <c r="DH586" s="446"/>
      <c r="DI586" s="446"/>
      <c r="DJ586" s="446"/>
      <c r="DK586" s="446"/>
      <c r="DL586" s="446"/>
      <c r="DM586" s="446"/>
      <c r="DN586" s="446"/>
      <c r="DO586" s="446"/>
      <c r="DP586" s="446"/>
      <c r="DQ586" s="446"/>
      <c r="DR586" s="446"/>
      <c r="DS586" s="446"/>
      <c r="DT586" s="446"/>
      <c r="DU586" s="446"/>
      <c r="DV586" s="446"/>
      <c r="DW586" s="446"/>
      <c r="DX586" s="446"/>
      <c r="DY586" s="446"/>
      <c r="DZ586" s="283"/>
    </row>
    <row r="587" spans="2:130" s="223" customFormat="1" x14ac:dyDescent="0.2">
      <c r="D587" s="856"/>
      <c r="E587" s="856"/>
      <c r="F587" s="856"/>
      <c r="G587" s="856"/>
      <c r="H587" s="856"/>
      <c r="I587" s="856"/>
      <c r="J587" s="856"/>
      <c r="K587" s="856"/>
      <c r="L587" s="856"/>
      <c r="M587" s="856"/>
      <c r="N587" s="857"/>
      <c r="O587" s="856"/>
      <c r="P587" s="856"/>
      <c r="Q587" s="858"/>
      <c r="R587" s="858"/>
      <c r="S587" s="876"/>
      <c r="T587" s="856"/>
      <c r="U587" s="856"/>
      <c r="V587" s="856"/>
      <c r="W587" s="856"/>
      <c r="X587" s="856"/>
      <c r="Y587" s="355"/>
      <c r="AB587" s="446"/>
      <c r="AC587" s="446"/>
      <c r="AD587" s="562"/>
      <c r="AE587" s="446"/>
      <c r="AF587" s="446"/>
      <c r="AG587" s="446"/>
      <c r="AH587" s="446"/>
      <c r="AI587" s="446"/>
      <c r="AJ587" s="446"/>
      <c r="AK587" s="446"/>
      <c r="AL587" s="446"/>
      <c r="AM587" s="446"/>
      <c r="AN587" s="446"/>
      <c r="AO587" s="446"/>
      <c r="AP587" s="446"/>
      <c r="AQ587" s="446"/>
      <c r="AR587" s="446"/>
      <c r="AS587" s="446"/>
      <c r="AT587" s="446"/>
      <c r="AU587" s="446"/>
      <c r="AV587" s="446"/>
      <c r="AW587" s="446"/>
      <c r="AX587" s="446"/>
      <c r="AY587" s="446"/>
      <c r="AZ587" s="446"/>
      <c r="BA587" s="446"/>
      <c r="BB587" s="446"/>
      <c r="BC587" s="446"/>
      <c r="BD587" s="446"/>
      <c r="BE587" s="446"/>
      <c r="BF587" s="446"/>
      <c r="BG587" s="446"/>
      <c r="BH587" s="446"/>
      <c r="BI587" s="446"/>
      <c r="BJ587" s="446"/>
      <c r="BK587" s="446"/>
      <c r="BL587" s="446"/>
      <c r="BM587" s="446"/>
      <c r="BN587" s="446"/>
      <c r="BO587" s="446"/>
      <c r="BP587" s="446"/>
      <c r="BQ587" s="446"/>
      <c r="BR587" s="446"/>
      <c r="BS587" s="446"/>
      <c r="BT587" s="446"/>
      <c r="BU587" s="562"/>
      <c r="BV587" s="446"/>
      <c r="BW587" s="446"/>
      <c r="BX587" s="446"/>
      <c r="BY587" s="446"/>
      <c r="BZ587" s="446"/>
      <c r="CA587" s="446"/>
      <c r="CB587" s="446"/>
      <c r="CC587" s="446"/>
      <c r="CD587" s="446"/>
      <c r="CE587" s="446"/>
      <c r="CF587" s="446"/>
      <c r="CG587" s="446"/>
      <c r="CH587" s="446"/>
      <c r="CI587" s="446"/>
      <c r="CJ587" s="446"/>
      <c r="CK587" s="446"/>
      <c r="CL587" s="446"/>
      <c r="CM587" s="446"/>
      <c r="CN587" s="446"/>
      <c r="CO587" s="446"/>
      <c r="CP587" s="446"/>
      <c r="CQ587" s="446"/>
      <c r="CR587" s="446"/>
      <c r="CS587" s="446"/>
      <c r="CT587" s="446"/>
      <c r="CU587" s="446"/>
      <c r="CV587" s="446"/>
      <c r="CW587" s="233"/>
      <c r="CX587" s="446"/>
      <c r="CY587" s="446"/>
      <c r="CZ587" s="446"/>
      <c r="DA587" s="446"/>
      <c r="DB587" s="446"/>
      <c r="DC587" s="446"/>
      <c r="DD587" s="446"/>
      <c r="DE587" s="446"/>
      <c r="DF587" s="446"/>
      <c r="DG587" s="446"/>
      <c r="DH587" s="446"/>
      <c r="DI587" s="446"/>
      <c r="DJ587" s="446"/>
      <c r="DK587" s="446"/>
      <c r="DL587" s="446"/>
      <c r="DM587" s="446"/>
      <c r="DN587" s="446"/>
      <c r="DO587" s="446"/>
      <c r="DP587" s="446"/>
      <c r="DQ587" s="446"/>
      <c r="DR587" s="446"/>
      <c r="DS587" s="446"/>
      <c r="DT587" s="446"/>
      <c r="DU587" s="446"/>
      <c r="DV587" s="446"/>
      <c r="DW587" s="446"/>
      <c r="DX587" s="446"/>
      <c r="DY587" s="446"/>
      <c r="DZ587" s="283"/>
    </row>
    <row r="588" spans="2:130" s="223" customFormat="1" x14ac:dyDescent="0.2">
      <c r="D588" s="856"/>
      <c r="E588" s="856"/>
      <c r="F588" s="856"/>
      <c r="G588" s="856"/>
      <c r="H588" s="856"/>
      <c r="I588" s="856"/>
      <c r="J588" s="856"/>
      <c r="K588" s="856"/>
      <c r="L588" s="856"/>
      <c r="M588" s="856"/>
      <c r="N588" s="857"/>
      <c r="O588" s="856"/>
      <c r="P588" s="856"/>
      <c r="Q588" s="858"/>
      <c r="R588" s="858"/>
      <c r="S588" s="876"/>
      <c r="T588" s="856"/>
      <c r="U588" s="856"/>
      <c r="V588" s="856"/>
      <c r="W588" s="856"/>
      <c r="X588" s="856"/>
      <c r="Y588" s="355"/>
      <c r="AB588" s="446"/>
      <c r="AC588" s="446"/>
      <c r="AD588" s="562"/>
      <c r="AE588" s="446"/>
      <c r="AF588" s="446"/>
      <c r="AG588" s="446"/>
      <c r="AH588" s="446"/>
      <c r="AI588" s="446"/>
      <c r="AJ588" s="446"/>
      <c r="AK588" s="446"/>
      <c r="AL588" s="446"/>
      <c r="AM588" s="446"/>
      <c r="AN588" s="446"/>
      <c r="AO588" s="446"/>
      <c r="AP588" s="446"/>
      <c r="AQ588" s="446"/>
      <c r="AR588" s="446"/>
      <c r="AS588" s="446"/>
      <c r="AT588" s="446"/>
      <c r="AU588" s="446"/>
      <c r="AV588" s="446"/>
      <c r="AW588" s="446"/>
      <c r="AX588" s="446"/>
      <c r="AY588" s="446"/>
      <c r="AZ588" s="446"/>
      <c r="BA588" s="446"/>
      <c r="BB588" s="446"/>
      <c r="BC588" s="446"/>
      <c r="BD588" s="446"/>
      <c r="BE588" s="446"/>
      <c r="BF588" s="446"/>
      <c r="BG588" s="446"/>
      <c r="BH588" s="446"/>
      <c r="BI588" s="446"/>
      <c r="BJ588" s="446"/>
      <c r="BK588" s="446"/>
      <c r="BL588" s="446"/>
      <c r="BM588" s="446"/>
      <c r="BN588" s="446"/>
      <c r="BO588" s="446"/>
      <c r="BP588" s="446"/>
      <c r="BQ588" s="446"/>
      <c r="BR588" s="446"/>
      <c r="BS588" s="446"/>
      <c r="BT588" s="446"/>
      <c r="BU588" s="562"/>
      <c r="BV588" s="446"/>
      <c r="BW588" s="446"/>
      <c r="BX588" s="446"/>
      <c r="BY588" s="446"/>
      <c r="BZ588" s="446"/>
      <c r="CA588" s="446"/>
      <c r="CB588" s="446"/>
      <c r="CC588" s="446"/>
      <c r="CD588" s="446"/>
      <c r="CE588" s="446"/>
      <c r="CF588" s="446"/>
      <c r="CG588" s="446"/>
      <c r="CH588" s="446"/>
      <c r="CI588" s="446"/>
      <c r="CJ588" s="446"/>
      <c r="CK588" s="446"/>
      <c r="CL588" s="446"/>
      <c r="CM588" s="446"/>
      <c r="CN588" s="446"/>
      <c r="CO588" s="446"/>
      <c r="CP588" s="446"/>
      <c r="CQ588" s="446"/>
      <c r="CR588" s="446"/>
      <c r="CS588" s="446"/>
      <c r="CT588" s="446"/>
      <c r="CU588" s="446"/>
      <c r="CV588" s="446"/>
      <c r="CW588" s="233"/>
      <c r="CX588" s="446"/>
      <c r="CY588" s="446"/>
      <c r="CZ588" s="446"/>
      <c r="DA588" s="446"/>
      <c r="DB588" s="446"/>
      <c r="DC588" s="446"/>
      <c r="DD588" s="446"/>
      <c r="DE588" s="446"/>
      <c r="DF588" s="446"/>
      <c r="DG588" s="446"/>
      <c r="DH588" s="446"/>
      <c r="DI588" s="446"/>
      <c r="DJ588" s="446"/>
      <c r="DK588" s="446"/>
      <c r="DL588" s="446"/>
      <c r="DM588" s="446"/>
      <c r="DN588" s="446"/>
      <c r="DO588" s="446"/>
      <c r="DP588" s="446"/>
      <c r="DQ588" s="446"/>
      <c r="DR588" s="446"/>
      <c r="DS588" s="446"/>
      <c r="DT588" s="446"/>
      <c r="DU588" s="446"/>
      <c r="DV588" s="446"/>
      <c r="DW588" s="446"/>
      <c r="DX588" s="446"/>
      <c r="DY588" s="446"/>
      <c r="DZ588" s="283"/>
    </row>
    <row r="589" spans="2:130" s="223" customFormat="1" x14ac:dyDescent="0.2">
      <c r="D589" s="856"/>
      <c r="E589" s="856"/>
      <c r="F589" s="856"/>
      <c r="G589" s="856"/>
      <c r="H589" s="856"/>
      <c r="I589" s="856"/>
      <c r="J589" s="856"/>
      <c r="K589" s="856"/>
      <c r="L589" s="856"/>
      <c r="M589" s="856"/>
      <c r="N589" s="857"/>
      <c r="O589" s="856"/>
      <c r="P589" s="856"/>
      <c r="Q589" s="858"/>
      <c r="R589" s="858"/>
      <c r="S589" s="876"/>
      <c r="T589" s="856"/>
      <c r="U589" s="856"/>
      <c r="V589" s="856"/>
      <c r="W589" s="856"/>
      <c r="X589" s="856"/>
      <c r="Y589" s="355"/>
      <c r="AB589" s="446"/>
      <c r="AC589" s="446"/>
      <c r="AD589" s="562"/>
      <c r="AE589" s="446"/>
      <c r="AF589" s="446"/>
      <c r="AG589" s="446"/>
      <c r="AH589" s="446"/>
      <c r="AI589" s="446"/>
      <c r="AJ589" s="446"/>
      <c r="AK589" s="446"/>
      <c r="AL589" s="446"/>
      <c r="AM589" s="446"/>
      <c r="AN589" s="446"/>
      <c r="AO589" s="446"/>
      <c r="AP589" s="446"/>
      <c r="AQ589" s="446"/>
      <c r="AR589" s="446"/>
      <c r="AS589" s="446"/>
      <c r="AT589" s="446"/>
      <c r="AU589" s="446"/>
      <c r="AV589" s="446"/>
      <c r="AW589" s="446"/>
      <c r="AX589" s="446"/>
      <c r="AY589" s="446"/>
      <c r="AZ589" s="446"/>
      <c r="BA589" s="446"/>
      <c r="BB589" s="446"/>
      <c r="BC589" s="446"/>
      <c r="BD589" s="446"/>
      <c r="BE589" s="446"/>
      <c r="BF589" s="446"/>
      <c r="BG589" s="446"/>
      <c r="BH589" s="446"/>
      <c r="BI589" s="446"/>
      <c r="BJ589" s="446"/>
      <c r="BK589" s="446"/>
      <c r="BL589" s="446"/>
      <c r="BM589" s="446"/>
      <c r="BN589" s="446"/>
      <c r="BO589" s="446"/>
      <c r="BP589" s="446"/>
      <c r="BQ589" s="446"/>
      <c r="BR589" s="446"/>
      <c r="BS589" s="446"/>
      <c r="BT589" s="446"/>
      <c r="BU589" s="562"/>
      <c r="BV589" s="446"/>
      <c r="BW589" s="446"/>
      <c r="BX589" s="446"/>
      <c r="BY589" s="446"/>
      <c r="BZ589" s="446"/>
      <c r="CA589" s="446"/>
      <c r="CB589" s="446"/>
      <c r="CC589" s="446"/>
      <c r="CD589" s="446"/>
      <c r="CE589" s="446"/>
      <c r="CF589" s="446"/>
      <c r="CG589" s="446"/>
      <c r="CH589" s="446"/>
      <c r="CI589" s="446"/>
      <c r="CJ589" s="446"/>
      <c r="CK589" s="446"/>
      <c r="CL589" s="446"/>
      <c r="CM589" s="446"/>
      <c r="CN589" s="446"/>
      <c r="CO589" s="446"/>
      <c r="CP589" s="446"/>
      <c r="CQ589" s="446"/>
      <c r="CR589" s="446"/>
      <c r="CS589" s="446"/>
      <c r="CT589" s="446"/>
      <c r="CU589" s="446"/>
      <c r="CV589" s="446"/>
      <c r="CW589" s="233"/>
      <c r="CX589" s="446"/>
      <c r="CY589" s="446"/>
      <c r="CZ589" s="446"/>
      <c r="DA589" s="446"/>
      <c r="DB589" s="446"/>
      <c r="DC589" s="446"/>
      <c r="DD589" s="446"/>
      <c r="DE589" s="446"/>
      <c r="DF589" s="446"/>
      <c r="DG589" s="446"/>
      <c r="DH589" s="446"/>
      <c r="DI589" s="446"/>
      <c r="DJ589" s="446"/>
      <c r="DK589" s="446"/>
      <c r="DL589" s="446"/>
      <c r="DM589" s="446"/>
      <c r="DN589" s="446"/>
      <c r="DO589" s="446"/>
      <c r="DP589" s="446"/>
      <c r="DQ589" s="446"/>
      <c r="DR589" s="446"/>
      <c r="DS589" s="446"/>
      <c r="DT589" s="446"/>
      <c r="DU589" s="446"/>
      <c r="DV589" s="446"/>
      <c r="DW589" s="446"/>
      <c r="DX589" s="446"/>
      <c r="DY589" s="446"/>
      <c r="DZ589" s="283"/>
    </row>
    <row r="590" spans="2:130" s="223" customFormat="1" x14ac:dyDescent="0.2">
      <c r="D590" s="856"/>
      <c r="E590" s="856"/>
      <c r="F590" s="856"/>
      <c r="G590" s="856"/>
      <c r="H590" s="856"/>
      <c r="I590" s="856"/>
      <c r="J590" s="856"/>
      <c r="K590" s="856"/>
      <c r="L590" s="856"/>
      <c r="M590" s="856"/>
      <c r="N590" s="857"/>
      <c r="O590" s="856"/>
      <c r="P590" s="856"/>
      <c r="Q590" s="858"/>
      <c r="R590" s="858"/>
      <c r="S590" s="876"/>
      <c r="T590" s="856"/>
      <c r="U590" s="856"/>
      <c r="V590" s="856"/>
      <c r="W590" s="856"/>
      <c r="X590" s="856"/>
      <c r="Y590" s="355"/>
      <c r="AB590" s="446"/>
      <c r="AC590" s="446"/>
      <c r="AD590" s="562"/>
      <c r="AE590" s="446"/>
      <c r="AF590" s="446"/>
      <c r="AG590" s="446"/>
      <c r="AH590" s="446"/>
      <c r="AI590" s="446"/>
      <c r="AJ590" s="446"/>
      <c r="AK590" s="446"/>
      <c r="AL590" s="446"/>
      <c r="AM590" s="446"/>
      <c r="AN590" s="446"/>
      <c r="AO590" s="446"/>
      <c r="AP590" s="446"/>
      <c r="AQ590" s="446"/>
      <c r="AR590" s="446"/>
      <c r="AS590" s="446"/>
      <c r="AT590" s="446"/>
      <c r="AU590" s="446"/>
      <c r="AV590" s="446"/>
      <c r="AW590" s="446"/>
      <c r="AX590" s="446"/>
      <c r="AY590" s="446"/>
      <c r="AZ590" s="446"/>
      <c r="BA590" s="446"/>
      <c r="BB590" s="446"/>
      <c r="BC590" s="446"/>
      <c r="BD590" s="446"/>
      <c r="BE590" s="446"/>
      <c r="BF590" s="446"/>
      <c r="BG590" s="446"/>
      <c r="BH590" s="446"/>
      <c r="BI590" s="446"/>
      <c r="BJ590" s="446"/>
      <c r="BK590" s="446"/>
      <c r="BL590" s="446"/>
      <c r="BM590" s="446"/>
      <c r="BN590" s="446"/>
      <c r="BO590" s="446"/>
      <c r="BP590" s="446"/>
      <c r="BQ590" s="446"/>
      <c r="BR590" s="446"/>
      <c r="BS590" s="446"/>
      <c r="BT590" s="446"/>
      <c r="BU590" s="562"/>
      <c r="BV590" s="446"/>
      <c r="BW590" s="446"/>
      <c r="BX590" s="446"/>
      <c r="BY590" s="446"/>
      <c r="BZ590" s="446"/>
      <c r="CA590" s="446"/>
      <c r="CB590" s="446"/>
      <c r="CC590" s="446"/>
      <c r="CD590" s="446"/>
      <c r="CE590" s="446"/>
      <c r="CF590" s="446"/>
      <c r="CG590" s="446"/>
      <c r="CH590" s="446"/>
      <c r="CI590" s="446"/>
      <c r="CJ590" s="446"/>
      <c r="CK590" s="446"/>
      <c r="CL590" s="446"/>
      <c r="CM590" s="446"/>
      <c r="CN590" s="446"/>
      <c r="CO590" s="446"/>
      <c r="CP590" s="446"/>
      <c r="CQ590" s="446"/>
      <c r="CR590" s="446"/>
      <c r="CS590" s="446"/>
      <c r="CT590" s="446"/>
      <c r="CU590" s="446"/>
      <c r="CV590" s="446"/>
      <c r="CW590" s="233"/>
      <c r="CX590" s="446"/>
      <c r="CY590" s="446"/>
      <c r="CZ590" s="446"/>
      <c r="DA590" s="446"/>
      <c r="DB590" s="446"/>
      <c r="DC590" s="446"/>
      <c r="DD590" s="446"/>
      <c r="DE590" s="446"/>
      <c r="DF590" s="446"/>
      <c r="DG590" s="446"/>
      <c r="DH590" s="446"/>
      <c r="DI590" s="446"/>
      <c r="DJ590" s="446"/>
      <c r="DK590" s="446"/>
      <c r="DL590" s="446"/>
      <c r="DM590" s="446"/>
      <c r="DN590" s="446"/>
      <c r="DO590" s="446"/>
      <c r="DP590" s="446"/>
      <c r="DQ590" s="446"/>
      <c r="DR590" s="446"/>
      <c r="DS590" s="446"/>
      <c r="DT590" s="446"/>
      <c r="DU590" s="446"/>
      <c r="DV590" s="446"/>
      <c r="DW590" s="446"/>
      <c r="DX590" s="446"/>
      <c r="DY590" s="446"/>
      <c r="DZ590" s="283"/>
    </row>
    <row r="591" spans="2:130" s="223" customFormat="1" x14ac:dyDescent="0.2">
      <c r="D591" s="856"/>
      <c r="E591" s="856"/>
      <c r="F591" s="856"/>
      <c r="G591" s="856"/>
      <c r="H591" s="856"/>
      <c r="I591" s="856"/>
      <c r="J591" s="856"/>
      <c r="K591" s="856"/>
      <c r="L591" s="856"/>
      <c r="M591" s="856"/>
      <c r="N591" s="857"/>
      <c r="O591" s="856"/>
      <c r="P591" s="856"/>
      <c r="Q591" s="858"/>
      <c r="R591" s="858"/>
      <c r="S591" s="876"/>
      <c r="T591" s="856"/>
      <c r="U591" s="856"/>
      <c r="V591" s="856"/>
      <c r="W591" s="856"/>
      <c r="X591" s="856"/>
      <c r="Y591" s="355"/>
      <c r="AB591" s="446"/>
      <c r="AC591" s="446"/>
      <c r="AD591" s="562"/>
      <c r="AE591" s="446"/>
      <c r="AF591" s="446"/>
      <c r="AG591" s="446"/>
      <c r="AH591" s="446"/>
      <c r="AI591" s="446"/>
      <c r="AJ591" s="446"/>
      <c r="AK591" s="446"/>
      <c r="AL591" s="446"/>
      <c r="AM591" s="446"/>
      <c r="AN591" s="446"/>
      <c r="AO591" s="446"/>
      <c r="AP591" s="446"/>
      <c r="AQ591" s="446"/>
      <c r="AR591" s="446"/>
      <c r="AS591" s="446"/>
      <c r="AT591" s="446"/>
      <c r="AU591" s="446"/>
      <c r="AV591" s="446"/>
      <c r="AW591" s="446"/>
      <c r="AX591" s="446"/>
      <c r="AY591" s="446"/>
      <c r="AZ591" s="446"/>
      <c r="BA591" s="446"/>
      <c r="BB591" s="446"/>
      <c r="BC591" s="446"/>
      <c r="BD591" s="446"/>
      <c r="BE591" s="446"/>
      <c r="BF591" s="446"/>
      <c r="BG591" s="446"/>
      <c r="BH591" s="446"/>
      <c r="BI591" s="446"/>
      <c r="BJ591" s="446"/>
      <c r="BK591" s="446"/>
      <c r="BL591" s="446"/>
      <c r="BM591" s="446"/>
      <c r="BN591" s="446"/>
      <c r="BO591" s="446"/>
      <c r="BP591" s="446"/>
      <c r="BQ591" s="446"/>
      <c r="BR591" s="446"/>
      <c r="BS591" s="446"/>
      <c r="BT591" s="446"/>
      <c r="BU591" s="562"/>
      <c r="BV591" s="446"/>
      <c r="BW591" s="446"/>
      <c r="BX591" s="446"/>
      <c r="BY591" s="446"/>
      <c r="BZ591" s="446"/>
      <c r="CA591" s="446"/>
      <c r="CB591" s="446"/>
      <c r="CC591" s="446"/>
      <c r="CD591" s="446"/>
      <c r="CE591" s="446"/>
      <c r="CF591" s="446"/>
      <c r="CG591" s="446"/>
      <c r="CH591" s="446"/>
      <c r="CI591" s="446"/>
      <c r="CJ591" s="446"/>
      <c r="CK591" s="446"/>
      <c r="CL591" s="446"/>
      <c r="CM591" s="446"/>
      <c r="CN591" s="446"/>
      <c r="CO591" s="446"/>
      <c r="CP591" s="446"/>
      <c r="CQ591" s="446"/>
      <c r="CR591" s="446"/>
      <c r="CS591" s="446"/>
      <c r="CT591" s="446"/>
      <c r="CU591" s="446"/>
      <c r="CV591" s="446"/>
      <c r="CW591" s="233"/>
      <c r="CX591" s="446"/>
      <c r="CY591" s="446"/>
      <c r="CZ591" s="446"/>
      <c r="DA591" s="446"/>
      <c r="DB591" s="446"/>
      <c r="DC591" s="446"/>
      <c r="DD591" s="446"/>
      <c r="DE591" s="446"/>
      <c r="DF591" s="446"/>
      <c r="DG591" s="446"/>
      <c r="DH591" s="446"/>
      <c r="DI591" s="446"/>
      <c r="DJ591" s="446"/>
      <c r="DK591" s="446"/>
      <c r="DL591" s="446"/>
      <c r="DM591" s="446"/>
      <c r="DN591" s="446"/>
      <c r="DO591" s="446"/>
      <c r="DP591" s="446"/>
      <c r="DQ591" s="446"/>
      <c r="DR591" s="446"/>
      <c r="DS591" s="446"/>
      <c r="DT591" s="446"/>
      <c r="DU591" s="446"/>
      <c r="DV591" s="446"/>
      <c r="DW591" s="446"/>
      <c r="DX591" s="446"/>
      <c r="DY591" s="446"/>
      <c r="DZ591" s="283"/>
    </row>
    <row r="592" spans="2:130" s="223" customFormat="1" x14ac:dyDescent="0.2">
      <c r="D592" s="856"/>
      <c r="E592" s="856"/>
      <c r="F592" s="856"/>
      <c r="G592" s="856"/>
      <c r="H592" s="856"/>
      <c r="I592" s="856"/>
      <c r="J592" s="856"/>
      <c r="K592" s="856"/>
      <c r="L592" s="856"/>
      <c r="M592" s="856"/>
      <c r="N592" s="857"/>
      <c r="O592" s="856"/>
      <c r="P592" s="856"/>
      <c r="Q592" s="858"/>
      <c r="R592" s="858"/>
      <c r="S592" s="876"/>
      <c r="T592" s="856"/>
      <c r="U592" s="856"/>
      <c r="V592" s="856"/>
      <c r="W592" s="856"/>
      <c r="X592" s="856"/>
      <c r="Y592" s="355"/>
      <c r="AB592" s="446"/>
      <c r="AC592" s="446"/>
      <c r="AD592" s="562"/>
      <c r="AE592" s="446"/>
      <c r="AF592" s="446"/>
      <c r="AG592" s="446"/>
      <c r="AH592" s="446"/>
      <c r="AI592" s="446"/>
      <c r="AJ592" s="446"/>
      <c r="AK592" s="446"/>
      <c r="AL592" s="446"/>
      <c r="AM592" s="446"/>
      <c r="AN592" s="446"/>
      <c r="AO592" s="446"/>
      <c r="AP592" s="446"/>
      <c r="AQ592" s="446"/>
      <c r="AR592" s="446"/>
      <c r="AS592" s="446"/>
      <c r="AT592" s="446"/>
      <c r="AU592" s="446"/>
      <c r="AV592" s="446"/>
      <c r="AW592" s="446"/>
      <c r="AX592" s="446"/>
      <c r="AY592" s="446"/>
      <c r="AZ592" s="446"/>
      <c r="BA592" s="446"/>
      <c r="BB592" s="446"/>
      <c r="BC592" s="446"/>
      <c r="BD592" s="446"/>
      <c r="BE592" s="446"/>
      <c r="BF592" s="446"/>
      <c r="BG592" s="446"/>
      <c r="BH592" s="446"/>
      <c r="BI592" s="446"/>
      <c r="BJ592" s="446"/>
      <c r="BK592" s="446"/>
      <c r="BL592" s="446"/>
      <c r="BM592" s="446"/>
      <c r="BN592" s="446"/>
      <c r="BO592" s="446"/>
      <c r="BP592" s="446"/>
      <c r="BQ592" s="446"/>
      <c r="BR592" s="446"/>
      <c r="BS592" s="446"/>
      <c r="BT592" s="446"/>
      <c r="BU592" s="562"/>
      <c r="BV592" s="446"/>
      <c r="BW592" s="446"/>
      <c r="BX592" s="446"/>
      <c r="BY592" s="446"/>
      <c r="BZ592" s="446"/>
      <c r="CA592" s="446"/>
      <c r="CB592" s="446"/>
      <c r="CC592" s="446"/>
      <c r="CD592" s="446"/>
      <c r="CE592" s="446"/>
      <c r="CF592" s="446"/>
      <c r="CG592" s="446"/>
      <c r="CH592" s="446"/>
      <c r="CI592" s="446"/>
      <c r="CJ592" s="446"/>
      <c r="CK592" s="446"/>
      <c r="CL592" s="446"/>
      <c r="CM592" s="446"/>
      <c r="CN592" s="446"/>
      <c r="CO592" s="446"/>
      <c r="CP592" s="446"/>
      <c r="CQ592" s="446"/>
      <c r="CR592" s="446"/>
      <c r="CS592" s="446"/>
      <c r="CT592" s="446"/>
      <c r="CU592" s="446"/>
      <c r="CV592" s="446"/>
      <c r="CW592" s="233"/>
      <c r="CX592" s="446"/>
      <c r="CY592" s="446"/>
      <c r="CZ592" s="446"/>
      <c r="DA592" s="446"/>
      <c r="DB592" s="446"/>
      <c r="DC592" s="446"/>
      <c r="DD592" s="446"/>
      <c r="DE592" s="446"/>
      <c r="DF592" s="446"/>
      <c r="DG592" s="446"/>
      <c r="DH592" s="446"/>
      <c r="DI592" s="446"/>
      <c r="DJ592" s="446"/>
      <c r="DK592" s="446"/>
      <c r="DL592" s="446"/>
      <c r="DM592" s="446"/>
      <c r="DN592" s="446"/>
      <c r="DO592" s="446"/>
      <c r="DP592" s="446"/>
      <c r="DQ592" s="446"/>
      <c r="DR592" s="446"/>
      <c r="DS592" s="446"/>
      <c r="DT592" s="446"/>
      <c r="DU592" s="446"/>
      <c r="DV592" s="446"/>
      <c r="DW592" s="446"/>
      <c r="DX592" s="446"/>
      <c r="DY592" s="446"/>
      <c r="DZ592" s="283"/>
    </row>
    <row r="593" spans="4:130" s="223" customFormat="1" x14ac:dyDescent="0.2">
      <c r="D593" s="856"/>
      <c r="E593" s="856"/>
      <c r="F593" s="856"/>
      <c r="G593" s="856"/>
      <c r="H593" s="856"/>
      <c r="I593" s="856"/>
      <c r="J593" s="856"/>
      <c r="K593" s="856"/>
      <c r="L593" s="856"/>
      <c r="M593" s="856"/>
      <c r="N593" s="857"/>
      <c r="O593" s="856"/>
      <c r="P593" s="856"/>
      <c r="Q593" s="858"/>
      <c r="R593" s="858"/>
      <c r="S593" s="876"/>
      <c r="T593" s="856"/>
      <c r="U593" s="856"/>
      <c r="V593" s="856"/>
      <c r="W593" s="856"/>
      <c r="X593" s="856"/>
      <c r="Y593" s="355"/>
      <c r="AB593" s="446"/>
      <c r="AC593" s="446"/>
      <c r="AD593" s="562"/>
      <c r="AE593" s="446"/>
      <c r="AF593" s="446"/>
      <c r="AG593" s="446"/>
      <c r="AH593" s="446"/>
      <c r="AI593" s="446"/>
      <c r="AJ593" s="446"/>
      <c r="AK593" s="446"/>
      <c r="AL593" s="446"/>
      <c r="AM593" s="446"/>
      <c r="AN593" s="446"/>
      <c r="AO593" s="446"/>
      <c r="AP593" s="446"/>
      <c r="AQ593" s="446"/>
      <c r="AR593" s="446"/>
      <c r="AS593" s="446"/>
      <c r="AT593" s="446"/>
      <c r="AU593" s="446"/>
      <c r="AV593" s="446"/>
      <c r="AW593" s="446"/>
      <c r="AX593" s="446"/>
      <c r="AY593" s="446"/>
      <c r="AZ593" s="446"/>
      <c r="BA593" s="446"/>
      <c r="BB593" s="446"/>
      <c r="BC593" s="446"/>
      <c r="BD593" s="446"/>
      <c r="BE593" s="446"/>
      <c r="BF593" s="446"/>
      <c r="BG593" s="446"/>
      <c r="BH593" s="446"/>
      <c r="BI593" s="446"/>
      <c r="BJ593" s="446"/>
      <c r="BK593" s="446"/>
      <c r="BL593" s="446"/>
      <c r="BM593" s="446"/>
      <c r="BN593" s="446"/>
      <c r="BO593" s="446"/>
      <c r="BP593" s="446"/>
      <c r="BQ593" s="446"/>
      <c r="BR593" s="446"/>
      <c r="BS593" s="446"/>
      <c r="BT593" s="446"/>
      <c r="BU593" s="562"/>
      <c r="BV593" s="446"/>
      <c r="BW593" s="446"/>
      <c r="BX593" s="446"/>
      <c r="BY593" s="446"/>
      <c r="BZ593" s="446"/>
      <c r="CA593" s="446"/>
      <c r="CB593" s="446"/>
      <c r="CC593" s="446"/>
      <c r="CD593" s="446"/>
      <c r="CE593" s="446"/>
      <c r="CF593" s="446"/>
      <c r="CG593" s="446"/>
      <c r="CH593" s="446"/>
      <c r="CI593" s="446"/>
      <c r="CJ593" s="446"/>
      <c r="CK593" s="446"/>
      <c r="CL593" s="446"/>
      <c r="CM593" s="446"/>
      <c r="CN593" s="446"/>
      <c r="CO593" s="446"/>
      <c r="CP593" s="446"/>
      <c r="CQ593" s="446"/>
      <c r="CR593" s="446"/>
      <c r="CS593" s="446"/>
      <c r="CT593" s="446"/>
      <c r="CU593" s="446"/>
      <c r="CV593" s="446"/>
      <c r="CW593" s="233"/>
      <c r="CX593" s="446"/>
      <c r="CY593" s="446"/>
      <c r="CZ593" s="446"/>
      <c r="DA593" s="446"/>
      <c r="DB593" s="446"/>
      <c r="DC593" s="446"/>
      <c r="DD593" s="446"/>
      <c r="DE593" s="446"/>
      <c r="DF593" s="446"/>
      <c r="DG593" s="446"/>
      <c r="DH593" s="446"/>
      <c r="DI593" s="446"/>
      <c r="DJ593" s="446"/>
      <c r="DK593" s="446"/>
      <c r="DL593" s="446"/>
      <c r="DM593" s="446"/>
      <c r="DN593" s="446"/>
      <c r="DO593" s="446"/>
      <c r="DP593" s="446"/>
      <c r="DQ593" s="446"/>
      <c r="DR593" s="446"/>
      <c r="DS593" s="446"/>
      <c r="DT593" s="446"/>
      <c r="DU593" s="446"/>
      <c r="DV593" s="446"/>
      <c r="DW593" s="446"/>
      <c r="DX593" s="446"/>
      <c r="DY593" s="446"/>
      <c r="DZ593" s="283"/>
    </row>
    <row r="594" spans="4:130" s="223" customFormat="1" x14ac:dyDescent="0.2">
      <c r="D594" s="856"/>
      <c r="E594" s="856"/>
      <c r="F594" s="856"/>
      <c r="G594" s="856"/>
      <c r="H594" s="856"/>
      <c r="I594" s="856"/>
      <c r="J594" s="856"/>
      <c r="K594" s="856"/>
      <c r="L594" s="856"/>
      <c r="M594" s="856"/>
      <c r="N594" s="857"/>
      <c r="O594" s="856"/>
      <c r="P594" s="856"/>
      <c r="Q594" s="858"/>
      <c r="R594" s="858"/>
      <c r="S594" s="876"/>
      <c r="T594" s="856"/>
      <c r="U594" s="856"/>
      <c r="V594" s="856"/>
      <c r="W594" s="856"/>
      <c r="X594" s="856"/>
      <c r="Y594" s="355"/>
      <c r="AB594" s="446"/>
      <c r="AC594" s="446"/>
      <c r="AD594" s="562"/>
      <c r="AE594" s="446"/>
      <c r="AF594" s="446"/>
      <c r="AG594" s="446"/>
      <c r="AH594" s="446"/>
      <c r="AI594" s="446"/>
      <c r="AJ594" s="446"/>
      <c r="AK594" s="446"/>
      <c r="AL594" s="446"/>
      <c r="AM594" s="446"/>
      <c r="AN594" s="446"/>
      <c r="AO594" s="446"/>
      <c r="AP594" s="446"/>
      <c r="AQ594" s="446"/>
      <c r="AR594" s="446"/>
      <c r="AS594" s="446"/>
      <c r="AT594" s="446"/>
      <c r="AU594" s="446"/>
      <c r="AV594" s="446"/>
      <c r="AW594" s="446"/>
      <c r="AX594" s="446"/>
      <c r="AY594" s="446"/>
      <c r="AZ594" s="446"/>
      <c r="BA594" s="446"/>
      <c r="BB594" s="446"/>
      <c r="BC594" s="446"/>
      <c r="BD594" s="446"/>
      <c r="BE594" s="446"/>
      <c r="BF594" s="446"/>
      <c r="BG594" s="446"/>
      <c r="BH594" s="446"/>
      <c r="BI594" s="446"/>
      <c r="BJ594" s="446"/>
      <c r="BK594" s="446"/>
      <c r="BL594" s="446"/>
      <c r="BM594" s="446"/>
      <c r="BN594" s="446"/>
      <c r="BO594" s="446"/>
      <c r="BP594" s="446"/>
      <c r="BQ594" s="446"/>
      <c r="BR594" s="446"/>
      <c r="BS594" s="446"/>
      <c r="BT594" s="446"/>
      <c r="BU594" s="562"/>
      <c r="BV594" s="446"/>
      <c r="BW594" s="446"/>
      <c r="BX594" s="446"/>
      <c r="BY594" s="446"/>
      <c r="BZ594" s="446"/>
      <c r="CA594" s="446"/>
      <c r="CB594" s="446"/>
      <c r="CC594" s="446"/>
      <c r="CD594" s="446"/>
      <c r="CE594" s="446"/>
      <c r="CF594" s="446"/>
      <c r="CG594" s="446"/>
      <c r="CH594" s="446"/>
      <c r="CI594" s="446"/>
      <c r="CJ594" s="446"/>
      <c r="CK594" s="446"/>
      <c r="CL594" s="446"/>
      <c r="CM594" s="446"/>
      <c r="CN594" s="446"/>
      <c r="CO594" s="446"/>
      <c r="CP594" s="446"/>
      <c r="CQ594" s="446"/>
      <c r="CR594" s="446"/>
      <c r="CS594" s="446"/>
      <c r="CT594" s="446"/>
      <c r="CU594" s="446"/>
      <c r="CV594" s="446"/>
      <c r="CW594" s="233"/>
      <c r="CX594" s="446"/>
      <c r="CY594" s="446"/>
      <c r="CZ594" s="446"/>
      <c r="DA594" s="446"/>
      <c r="DB594" s="446"/>
      <c r="DC594" s="446"/>
      <c r="DD594" s="446"/>
      <c r="DE594" s="446"/>
      <c r="DF594" s="446"/>
      <c r="DG594" s="446"/>
      <c r="DH594" s="446"/>
      <c r="DI594" s="446"/>
      <c r="DJ594" s="446"/>
      <c r="DK594" s="446"/>
      <c r="DL594" s="446"/>
      <c r="DM594" s="446"/>
      <c r="DN594" s="446"/>
      <c r="DO594" s="446"/>
      <c r="DP594" s="446"/>
      <c r="DQ594" s="446"/>
      <c r="DR594" s="446"/>
      <c r="DS594" s="446"/>
      <c r="DT594" s="446"/>
      <c r="DU594" s="446"/>
      <c r="DV594" s="446"/>
      <c r="DW594" s="446"/>
      <c r="DX594" s="446"/>
      <c r="DY594" s="446"/>
      <c r="DZ594" s="283"/>
    </row>
    <row r="595" spans="4:130" s="223" customFormat="1" x14ac:dyDescent="0.2">
      <c r="D595" s="856"/>
      <c r="E595" s="856"/>
      <c r="F595" s="856"/>
      <c r="G595" s="856"/>
      <c r="H595" s="856"/>
      <c r="I595" s="856"/>
      <c r="J595" s="856"/>
      <c r="K595" s="856"/>
      <c r="L595" s="856"/>
      <c r="M595" s="856"/>
      <c r="N595" s="857"/>
      <c r="O595" s="856"/>
      <c r="P595" s="856"/>
      <c r="Q595" s="858"/>
      <c r="R595" s="858"/>
      <c r="S595" s="876"/>
      <c r="T595" s="856"/>
      <c r="U595" s="856"/>
      <c r="V595" s="856"/>
      <c r="W595" s="856"/>
      <c r="X595" s="856"/>
      <c r="Y595" s="355"/>
      <c r="AB595" s="446"/>
      <c r="AC595" s="446"/>
      <c r="AD595" s="562"/>
      <c r="AE595" s="446"/>
      <c r="AF595" s="446"/>
      <c r="AG595" s="446"/>
      <c r="AH595" s="446"/>
      <c r="AI595" s="446"/>
      <c r="AJ595" s="446"/>
      <c r="AK595" s="446"/>
      <c r="AL595" s="446"/>
      <c r="AM595" s="446"/>
      <c r="AN595" s="446"/>
      <c r="AO595" s="446"/>
      <c r="AP595" s="446"/>
      <c r="AQ595" s="446"/>
      <c r="AR595" s="446"/>
      <c r="AS595" s="446"/>
      <c r="AT595" s="446"/>
      <c r="AU595" s="446"/>
      <c r="AV595" s="446"/>
      <c r="AW595" s="446"/>
      <c r="AX595" s="446"/>
      <c r="AY595" s="446"/>
      <c r="AZ595" s="446"/>
      <c r="BA595" s="446"/>
      <c r="BB595" s="446"/>
      <c r="BC595" s="446"/>
      <c r="BD595" s="446"/>
      <c r="BE595" s="446"/>
      <c r="BF595" s="446"/>
      <c r="BG595" s="446"/>
      <c r="BH595" s="446"/>
      <c r="BI595" s="446"/>
      <c r="BJ595" s="446"/>
      <c r="BK595" s="446"/>
      <c r="BL595" s="446"/>
      <c r="BM595" s="446"/>
      <c r="BN595" s="446"/>
      <c r="BO595" s="446"/>
      <c r="BP595" s="446"/>
      <c r="BQ595" s="446"/>
      <c r="BR595" s="446"/>
      <c r="BS595" s="446"/>
      <c r="BT595" s="446"/>
      <c r="BU595" s="562"/>
      <c r="BV595" s="446"/>
      <c r="BW595" s="446"/>
      <c r="BX595" s="446"/>
      <c r="BY595" s="446"/>
      <c r="BZ595" s="446"/>
      <c r="CA595" s="446"/>
      <c r="CB595" s="446"/>
      <c r="CC595" s="446"/>
      <c r="CD595" s="446"/>
      <c r="CE595" s="446"/>
      <c r="CF595" s="446"/>
      <c r="CG595" s="446"/>
      <c r="CH595" s="446"/>
      <c r="CI595" s="446"/>
      <c r="CJ595" s="446"/>
      <c r="CK595" s="446"/>
      <c r="CL595" s="446"/>
      <c r="CM595" s="446"/>
      <c r="CN595" s="446"/>
      <c r="CO595" s="446"/>
      <c r="CP595" s="446"/>
      <c r="CQ595" s="446"/>
      <c r="CR595" s="446"/>
      <c r="CS595" s="446"/>
      <c r="CT595" s="446"/>
      <c r="CU595" s="446"/>
      <c r="CV595" s="446"/>
      <c r="CW595" s="233"/>
      <c r="CX595" s="446"/>
      <c r="CY595" s="446"/>
      <c r="CZ595" s="446"/>
      <c r="DA595" s="446"/>
      <c r="DB595" s="446"/>
      <c r="DC595" s="446"/>
      <c r="DD595" s="446"/>
      <c r="DE595" s="446"/>
      <c r="DF595" s="446"/>
      <c r="DG595" s="446"/>
      <c r="DH595" s="446"/>
      <c r="DI595" s="446"/>
      <c r="DJ595" s="446"/>
      <c r="DK595" s="446"/>
      <c r="DL595" s="446"/>
      <c r="DM595" s="446"/>
      <c r="DN595" s="446"/>
      <c r="DO595" s="446"/>
      <c r="DP595" s="446"/>
      <c r="DQ595" s="446"/>
      <c r="DR595" s="446"/>
      <c r="DS595" s="446"/>
      <c r="DT595" s="446"/>
      <c r="DU595" s="446"/>
      <c r="DV595" s="446"/>
      <c r="DW595" s="446"/>
      <c r="DX595" s="446"/>
      <c r="DY595" s="446"/>
      <c r="DZ595" s="283"/>
    </row>
    <row r="596" spans="4:130" s="223" customFormat="1" x14ac:dyDescent="0.2">
      <c r="D596" s="856"/>
      <c r="E596" s="856"/>
      <c r="F596" s="856"/>
      <c r="G596" s="856"/>
      <c r="H596" s="856"/>
      <c r="I596" s="856"/>
      <c r="J596" s="856"/>
      <c r="K596" s="856"/>
      <c r="L596" s="856"/>
      <c r="M596" s="856"/>
      <c r="N596" s="857"/>
      <c r="O596" s="856"/>
      <c r="P596" s="856"/>
      <c r="Q596" s="858"/>
      <c r="R596" s="858"/>
      <c r="S596" s="876"/>
      <c r="T596" s="856"/>
      <c r="U596" s="856"/>
      <c r="V596" s="856"/>
      <c r="W596" s="856"/>
      <c r="X596" s="856"/>
      <c r="Y596" s="355"/>
      <c r="AB596" s="446"/>
      <c r="AC596" s="446"/>
      <c r="AD596" s="562"/>
      <c r="AE596" s="446"/>
      <c r="AF596" s="446"/>
      <c r="AG596" s="446"/>
      <c r="AH596" s="446"/>
      <c r="AI596" s="446"/>
      <c r="AJ596" s="446"/>
      <c r="AK596" s="446"/>
      <c r="AL596" s="446"/>
      <c r="AM596" s="446"/>
      <c r="AN596" s="446"/>
      <c r="AO596" s="446"/>
      <c r="AP596" s="446"/>
      <c r="AQ596" s="446"/>
      <c r="AR596" s="446"/>
      <c r="AS596" s="446"/>
      <c r="AT596" s="446"/>
      <c r="AU596" s="446"/>
      <c r="AV596" s="446"/>
      <c r="AW596" s="446"/>
      <c r="AX596" s="446"/>
      <c r="AY596" s="446"/>
      <c r="AZ596" s="446"/>
      <c r="BA596" s="446"/>
      <c r="BB596" s="446"/>
      <c r="BC596" s="446"/>
      <c r="BD596" s="446"/>
      <c r="BE596" s="446"/>
      <c r="BF596" s="446"/>
      <c r="BG596" s="446"/>
      <c r="BH596" s="446"/>
      <c r="BI596" s="446"/>
      <c r="BJ596" s="446"/>
      <c r="BK596" s="446"/>
      <c r="BL596" s="446"/>
      <c r="BM596" s="446"/>
      <c r="BN596" s="446"/>
      <c r="BO596" s="446"/>
      <c r="BP596" s="446"/>
      <c r="BQ596" s="446"/>
      <c r="BR596" s="446"/>
      <c r="BS596" s="446"/>
      <c r="BT596" s="446"/>
      <c r="BU596" s="562"/>
      <c r="BV596" s="446"/>
      <c r="BW596" s="446"/>
      <c r="BX596" s="446"/>
      <c r="BY596" s="446"/>
      <c r="BZ596" s="446"/>
      <c r="CA596" s="446"/>
      <c r="CB596" s="446"/>
      <c r="CC596" s="446"/>
      <c r="CD596" s="446"/>
      <c r="CE596" s="446"/>
      <c r="CF596" s="446"/>
      <c r="CG596" s="446"/>
      <c r="CH596" s="446"/>
      <c r="CI596" s="446"/>
      <c r="CJ596" s="446"/>
      <c r="CK596" s="446"/>
      <c r="CL596" s="446"/>
      <c r="CM596" s="446"/>
      <c r="CN596" s="446"/>
      <c r="CO596" s="446"/>
      <c r="CP596" s="446"/>
      <c r="CQ596" s="446"/>
      <c r="CR596" s="446"/>
      <c r="CS596" s="446"/>
      <c r="CT596" s="446"/>
      <c r="CU596" s="446"/>
      <c r="CV596" s="446"/>
      <c r="CW596" s="233"/>
      <c r="CX596" s="446"/>
      <c r="CY596" s="446"/>
      <c r="CZ596" s="446"/>
      <c r="DA596" s="446"/>
      <c r="DB596" s="446"/>
      <c r="DC596" s="446"/>
      <c r="DD596" s="446"/>
      <c r="DE596" s="446"/>
      <c r="DF596" s="446"/>
      <c r="DG596" s="446"/>
      <c r="DH596" s="446"/>
      <c r="DI596" s="446"/>
      <c r="DJ596" s="446"/>
      <c r="DK596" s="446"/>
      <c r="DL596" s="446"/>
      <c r="DM596" s="446"/>
      <c r="DN596" s="446"/>
      <c r="DO596" s="446"/>
      <c r="DP596" s="446"/>
      <c r="DQ596" s="446"/>
      <c r="DR596" s="446"/>
      <c r="DS596" s="446"/>
      <c r="DT596" s="446"/>
      <c r="DU596" s="446"/>
      <c r="DV596" s="446"/>
      <c r="DW596" s="446"/>
      <c r="DX596" s="446"/>
      <c r="DY596" s="446"/>
      <c r="DZ596" s="283"/>
    </row>
    <row r="597" spans="4:130" s="223" customFormat="1" x14ac:dyDescent="0.2">
      <c r="D597" s="856"/>
      <c r="E597" s="856"/>
      <c r="F597" s="856"/>
      <c r="G597" s="856"/>
      <c r="H597" s="856"/>
      <c r="I597" s="856"/>
      <c r="J597" s="856"/>
      <c r="K597" s="856"/>
      <c r="L597" s="856"/>
      <c r="M597" s="856"/>
      <c r="N597" s="857"/>
      <c r="O597" s="856"/>
      <c r="P597" s="856"/>
      <c r="Q597" s="858"/>
      <c r="R597" s="858"/>
      <c r="S597" s="876"/>
      <c r="T597" s="856"/>
      <c r="U597" s="856"/>
      <c r="V597" s="856"/>
      <c r="W597" s="856"/>
      <c r="X597" s="856"/>
      <c r="Y597" s="355"/>
      <c r="AB597" s="446"/>
      <c r="AC597" s="446"/>
      <c r="AD597" s="562"/>
      <c r="AE597" s="446"/>
      <c r="AF597" s="446"/>
      <c r="AG597" s="446"/>
      <c r="AH597" s="446"/>
      <c r="AI597" s="446"/>
      <c r="AJ597" s="446"/>
      <c r="AK597" s="446"/>
      <c r="AL597" s="446"/>
      <c r="AM597" s="446"/>
      <c r="AN597" s="446"/>
      <c r="AO597" s="446"/>
      <c r="AP597" s="446"/>
      <c r="AQ597" s="446"/>
      <c r="AR597" s="446"/>
      <c r="AS597" s="446"/>
      <c r="AT597" s="446"/>
      <c r="AU597" s="446"/>
      <c r="AV597" s="446"/>
      <c r="AW597" s="446"/>
      <c r="AX597" s="446"/>
      <c r="AY597" s="446"/>
      <c r="AZ597" s="446"/>
      <c r="BA597" s="446"/>
      <c r="BB597" s="446"/>
      <c r="BC597" s="446"/>
      <c r="BD597" s="446"/>
      <c r="BE597" s="446"/>
      <c r="BF597" s="446"/>
      <c r="BG597" s="446"/>
      <c r="BH597" s="446"/>
      <c r="BI597" s="446"/>
      <c r="BJ597" s="446"/>
      <c r="BK597" s="446"/>
      <c r="BL597" s="446"/>
      <c r="BM597" s="446"/>
      <c r="BN597" s="446"/>
      <c r="BO597" s="446"/>
      <c r="BP597" s="446"/>
      <c r="BQ597" s="446"/>
      <c r="BR597" s="446"/>
      <c r="BS597" s="446"/>
      <c r="BT597" s="446"/>
      <c r="BU597" s="562"/>
      <c r="BV597" s="446"/>
      <c r="BW597" s="446"/>
      <c r="BX597" s="446"/>
      <c r="BY597" s="446"/>
      <c r="BZ597" s="446"/>
      <c r="CA597" s="446"/>
      <c r="CB597" s="446"/>
      <c r="CC597" s="446"/>
      <c r="CD597" s="446"/>
      <c r="CE597" s="446"/>
      <c r="CF597" s="446"/>
      <c r="CG597" s="446"/>
      <c r="CH597" s="446"/>
      <c r="CI597" s="446"/>
      <c r="CJ597" s="446"/>
      <c r="CK597" s="446"/>
      <c r="CL597" s="446"/>
      <c r="CM597" s="446"/>
      <c r="CN597" s="446"/>
      <c r="CO597" s="446"/>
      <c r="CP597" s="446"/>
      <c r="CQ597" s="446"/>
      <c r="CR597" s="446"/>
      <c r="CS597" s="446"/>
      <c r="CT597" s="446"/>
      <c r="CU597" s="446"/>
      <c r="CV597" s="446"/>
      <c r="CW597" s="233"/>
      <c r="CX597" s="446"/>
      <c r="CY597" s="446"/>
      <c r="CZ597" s="446"/>
      <c r="DA597" s="446"/>
      <c r="DB597" s="446"/>
      <c r="DC597" s="446"/>
      <c r="DD597" s="446"/>
      <c r="DE597" s="446"/>
      <c r="DF597" s="446"/>
      <c r="DG597" s="446"/>
      <c r="DH597" s="446"/>
      <c r="DI597" s="446"/>
      <c r="DJ597" s="446"/>
      <c r="DK597" s="446"/>
      <c r="DL597" s="446"/>
      <c r="DM597" s="446"/>
      <c r="DN597" s="446"/>
      <c r="DO597" s="446"/>
      <c r="DP597" s="446"/>
      <c r="DQ597" s="446"/>
      <c r="DR597" s="446"/>
      <c r="DS597" s="446"/>
      <c r="DT597" s="446"/>
      <c r="DU597" s="446"/>
      <c r="DV597" s="446"/>
      <c r="DW597" s="446"/>
      <c r="DX597" s="446"/>
      <c r="DY597" s="446"/>
      <c r="DZ597" s="283"/>
    </row>
    <row r="598" spans="4:130" s="223" customFormat="1" x14ac:dyDescent="0.2">
      <c r="D598" s="856"/>
      <c r="E598" s="856"/>
      <c r="F598" s="856"/>
      <c r="G598" s="856"/>
      <c r="H598" s="856"/>
      <c r="I598" s="856"/>
      <c r="J598" s="856"/>
      <c r="K598" s="856"/>
      <c r="L598" s="856"/>
      <c r="M598" s="856"/>
      <c r="N598" s="857"/>
      <c r="O598" s="856"/>
      <c r="P598" s="856"/>
      <c r="Q598" s="858"/>
      <c r="R598" s="858"/>
      <c r="S598" s="876"/>
      <c r="T598" s="856"/>
      <c r="U598" s="856"/>
      <c r="V598" s="856"/>
      <c r="W598" s="856"/>
      <c r="X598" s="856"/>
      <c r="Y598" s="355"/>
      <c r="AB598" s="446"/>
      <c r="AC598" s="446"/>
      <c r="AD598" s="562"/>
      <c r="AE598" s="446"/>
      <c r="AF598" s="446"/>
      <c r="AG598" s="446"/>
      <c r="AH598" s="446"/>
      <c r="AI598" s="446"/>
      <c r="AJ598" s="446"/>
      <c r="AK598" s="446"/>
      <c r="AL598" s="446"/>
      <c r="AM598" s="446"/>
      <c r="AN598" s="446"/>
      <c r="AO598" s="446"/>
      <c r="AP598" s="446"/>
      <c r="AQ598" s="446"/>
      <c r="AR598" s="446"/>
      <c r="AS598" s="446"/>
      <c r="AT598" s="446"/>
      <c r="AU598" s="446"/>
      <c r="AV598" s="446"/>
      <c r="AW598" s="446"/>
      <c r="AX598" s="446"/>
      <c r="AY598" s="446"/>
      <c r="AZ598" s="446"/>
      <c r="BA598" s="446"/>
      <c r="BB598" s="446"/>
      <c r="BC598" s="446"/>
      <c r="BD598" s="446"/>
      <c r="BE598" s="446"/>
      <c r="BF598" s="446"/>
      <c r="BG598" s="446"/>
      <c r="BH598" s="446"/>
      <c r="BI598" s="446"/>
      <c r="BJ598" s="446"/>
      <c r="BK598" s="446"/>
      <c r="BL598" s="446"/>
      <c r="BM598" s="446"/>
      <c r="BN598" s="446"/>
      <c r="BO598" s="446"/>
      <c r="BP598" s="446"/>
      <c r="BQ598" s="446"/>
      <c r="BR598" s="446"/>
      <c r="BS598" s="446"/>
      <c r="BT598" s="446"/>
      <c r="BU598" s="562"/>
      <c r="BV598" s="446"/>
      <c r="BW598" s="446"/>
      <c r="BX598" s="446"/>
      <c r="BY598" s="446"/>
      <c r="BZ598" s="446"/>
      <c r="CA598" s="446"/>
      <c r="CB598" s="446"/>
      <c r="CC598" s="446"/>
      <c r="CD598" s="446"/>
      <c r="CE598" s="446"/>
      <c r="CF598" s="446"/>
      <c r="CG598" s="446"/>
      <c r="CH598" s="446"/>
      <c r="CI598" s="446"/>
      <c r="CJ598" s="446"/>
      <c r="CK598" s="446"/>
      <c r="CL598" s="446"/>
      <c r="CM598" s="446"/>
      <c r="CN598" s="446"/>
      <c r="CO598" s="446"/>
      <c r="CP598" s="446"/>
      <c r="CQ598" s="446"/>
      <c r="CR598" s="446"/>
      <c r="CS598" s="446"/>
      <c r="CT598" s="446"/>
      <c r="CU598" s="446"/>
      <c r="CV598" s="446"/>
      <c r="CW598" s="233"/>
      <c r="CX598" s="446"/>
      <c r="CY598" s="446"/>
      <c r="CZ598" s="446"/>
      <c r="DA598" s="446"/>
      <c r="DB598" s="446"/>
      <c r="DC598" s="446"/>
      <c r="DD598" s="446"/>
      <c r="DE598" s="446"/>
      <c r="DF598" s="446"/>
      <c r="DG598" s="446"/>
      <c r="DH598" s="446"/>
      <c r="DI598" s="446"/>
      <c r="DJ598" s="446"/>
      <c r="DK598" s="446"/>
      <c r="DL598" s="446"/>
      <c r="DM598" s="446"/>
      <c r="DN598" s="446"/>
      <c r="DO598" s="446"/>
      <c r="DP598" s="446"/>
      <c r="DQ598" s="446"/>
      <c r="DR598" s="446"/>
      <c r="DS598" s="446"/>
      <c r="DT598" s="446"/>
      <c r="DU598" s="446"/>
      <c r="DV598" s="446"/>
      <c r="DW598" s="446"/>
      <c r="DX598" s="446"/>
      <c r="DY598" s="446"/>
      <c r="DZ598" s="283"/>
    </row>
    <row r="599" spans="4:130" s="223" customFormat="1" x14ac:dyDescent="0.2">
      <c r="D599" s="856"/>
      <c r="E599" s="856"/>
      <c r="F599" s="856"/>
      <c r="G599" s="856"/>
      <c r="H599" s="856"/>
      <c r="I599" s="856"/>
      <c r="J599" s="856"/>
      <c r="K599" s="856"/>
      <c r="L599" s="856"/>
      <c r="M599" s="856"/>
      <c r="N599" s="857"/>
      <c r="O599" s="856"/>
      <c r="P599" s="856"/>
      <c r="Q599" s="858"/>
      <c r="R599" s="858"/>
      <c r="S599" s="876"/>
      <c r="T599" s="856"/>
      <c r="U599" s="856"/>
      <c r="V599" s="856"/>
      <c r="W599" s="856"/>
      <c r="X599" s="856"/>
      <c r="Y599" s="355"/>
      <c r="AB599" s="446"/>
      <c r="AC599" s="446"/>
      <c r="AD599" s="562"/>
      <c r="AE599" s="446"/>
      <c r="AF599" s="446"/>
      <c r="AG599" s="446"/>
      <c r="AH599" s="446"/>
      <c r="AI599" s="446"/>
      <c r="AJ599" s="446"/>
      <c r="AK599" s="446"/>
      <c r="AL599" s="446"/>
      <c r="AM599" s="446"/>
      <c r="AN599" s="446"/>
      <c r="AO599" s="446"/>
      <c r="AP599" s="446"/>
      <c r="AQ599" s="446"/>
      <c r="AR599" s="446"/>
      <c r="AS599" s="446"/>
      <c r="AT599" s="446"/>
      <c r="AU599" s="446"/>
      <c r="AV599" s="446"/>
      <c r="AW599" s="446"/>
      <c r="AX599" s="446"/>
      <c r="AY599" s="446"/>
      <c r="AZ599" s="446"/>
      <c r="BA599" s="446"/>
      <c r="BB599" s="446"/>
      <c r="BC599" s="446"/>
      <c r="BD599" s="446"/>
      <c r="BE599" s="446"/>
      <c r="BF599" s="446"/>
      <c r="BG599" s="446"/>
      <c r="BH599" s="446"/>
      <c r="BI599" s="446"/>
      <c r="BJ599" s="446"/>
      <c r="BK599" s="446"/>
      <c r="BL599" s="446"/>
      <c r="BM599" s="446"/>
      <c r="BN599" s="446"/>
      <c r="BO599" s="446"/>
      <c r="BP599" s="446"/>
      <c r="BQ599" s="446"/>
      <c r="BR599" s="446"/>
      <c r="BS599" s="446"/>
      <c r="BT599" s="446"/>
      <c r="BU599" s="562"/>
      <c r="BV599" s="446"/>
      <c r="BW599" s="446"/>
      <c r="BX599" s="446"/>
      <c r="BY599" s="446"/>
      <c r="BZ599" s="446"/>
      <c r="CA599" s="446"/>
      <c r="CB599" s="446"/>
      <c r="CC599" s="446"/>
      <c r="CD599" s="446"/>
      <c r="CE599" s="446"/>
      <c r="CF599" s="446"/>
      <c r="CG599" s="446"/>
      <c r="CH599" s="446"/>
      <c r="CI599" s="446"/>
      <c r="CJ599" s="446"/>
      <c r="CK599" s="446"/>
      <c r="CL599" s="446"/>
      <c r="CM599" s="446"/>
      <c r="CN599" s="446"/>
      <c r="CO599" s="446"/>
      <c r="CP599" s="446"/>
      <c r="CQ599" s="446"/>
      <c r="CR599" s="446"/>
      <c r="CS599" s="446"/>
      <c r="CT599" s="446"/>
      <c r="CU599" s="446"/>
      <c r="CV599" s="446"/>
      <c r="CW599" s="233"/>
      <c r="CX599" s="446"/>
      <c r="CY599" s="446"/>
      <c r="CZ599" s="446"/>
      <c r="DA599" s="446"/>
      <c r="DB599" s="446"/>
      <c r="DC599" s="446"/>
      <c r="DD599" s="446"/>
      <c r="DE599" s="446"/>
      <c r="DF599" s="446"/>
      <c r="DG599" s="446"/>
      <c r="DH599" s="446"/>
      <c r="DI599" s="446"/>
      <c r="DJ599" s="446"/>
      <c r="DK599" s="446"/>
      <c r="DL599" s="446"/>
      <c r="DM599" s="446"/>
      <c r="DN599" s="446"/>
      <c r="DO599" s="446"/>
      <c r="DP599" s="446"/>
      <c r="DQ599" s="446"/>
      <c r="DR599" s="446"/>
      <c r="DS599" s="446"/>
      <c r="DT599" s="446"/>
      <c r="DU599" s="446"/>
      <c r="DV599" s="446"/>
      <c r="DW599" s="446"/>
      <c r="DX599" s="446"/>
      <c r="DY599" s="446"/>
      <c r="DZ599" s="283"/>
    </row>
    <row r="600" spans="4:130" s="223" customFormat="1" x14ac:dyDescent="0.2">
      <c r="D600" s="856"/>
      <c r="E600" s="856"/>
      <c r="F600" s="856"/>
      <c r="G600" s="856"/>
      <c r="H600" s="856"/>
      <c r="I600" s="856"/>
      <c r="J600" s="856"/>
      <c r="K600" s="856"/>
      <c r="L600" s="856"/>
      <c r="M600" s="856"/>
      <c r="N600" s="857"/>
      <c r="O600" s="856"/>
      <c r="P600" s="856"/>
      <c r="Q600" s="858"/>
      <c r="R600" s="858"/>
      <c r="S600" s="876"/>
      <c r="T600" s="856"/>
      <c r="U600" s="856"/>
      <c r="V600" s="856"/>
      <c r="W600" s="856"/>
      <c r="X600" s="856"/>
      <c r="Y600" s="355"/>
      <c r="AB600" s="446"/>
      <c r="AC600" s="446"/>
      <c r="AD600" s="562"/>
      <c r="AE600" s="446"/>
      <c r="AF600" s="446"/>
      <c r="AG600" s="446"/>
      <c r="AH600" s="446"/>
      <c r="AI600" s="446"/>
      <c r="AJ600" s="446"/>
      <c r="AK600" s="446"/>
      <c r="AL600" s="446"/>
      <c r="AM600" s="446"/>
      <c r="AN600" s="446"/>
      <c r="AO600" s="446"/>
      <c r="AP600" s="446"/>
      <c r="AQ600" s="446"/>
      <c r="AR600" s="446"/>
      <c r="AS600" s="446"/>
      <c r="AT600" s="446"/>
      <c r="AU600" s="446"/>
      <c r="AV600" s="446"/>
      <c r="AW600" s="446"/>
      <c r="AX600" s="446"/>
      <c r="AY600" s="446"/>
      <c r="AZ600" s="446"/>
      <c r="BA600" s="446"/>
      <c r="BB600" s="446"/>
      <c r="BC600" s="446"/>
      <c r="BD600" s="446"/>
      <c r="BE600" s="446"/>
      <c r="BF600" s="446"/>
      <c r="BG600" s="446"/>
      <c r="BH600" s="446"/>
      <c r="BI600" s="446"/>
      <c r="BJ600" s="446"/>
      <c r="BK600" s="446"/>
      <c r="BL600" s="446"/>
      <c r="BM600" s="446"/>
      <c r="BN600" s="446"/>
      <c r="BO600" s="446"/>
      <c r="BP600" s="446"/>
      <c r="BQ600" s="446"/>
      <c r="BR600" s="446"/>
      <c r="BS600" s="446"/>
      <c r="BT600" s="446"/>
      <c r="BU600" s="562"/>
      <c r="BV600" s="446"/>
      <c r="BW600" s="446"/>
      <c r="BX600" s="446"/>
      <c r="BY600" s="446"/>
      <c r="BZ600" s="446"/>
      <c r="CA600" s="446"/>
      <c r="CB600" s="446"/>
      <c r="CC600" s="446"/>
      <c r="CD600" s="446"/>
      <c r="CE600" s="446"/>
      <c r="CF600" s="446"/>
      <c r="CG600" s="446"/>
      <c r="CH600" s="446"/>
      <c r="CI600" s="446"/>
      <c r="CJ600" s="446"/>
      <c r="CK600" s="446"/>
      <c r="CL600" s="446"/>
      <c r="CM600" s="446"/>
      <c r="CN600" s="446"/>
      <c r="CO600" s="446"/>
      <c r="CP600" s="446"/>
      <c r="CQ600" s="446"/>
      <c r="CR600" s="446"/>
      <c r="CS600" s="446"/>
      <c r="CT600" s="446"/>
      <c r="CU600" s="446"/>
      <c r="CV600" s="446"/>
      <c r="CW600" s="233"/>
      <c r="CX600" s="446"/>
      <c r="CY600" s="446"/>
      <c r="CZ600" s="446"/>
      <c r="DA600" s="446"/>
      <c r="DB600" s="446"/>
      <c r="DC600" s="446"/>
      <c r="DD600" s="446"/>
      <c r="DE600" s="446"/>
      <c r="DF600" s="446"/>
      <c r="DG600" s="446"/>
      <c r="DH600" s="446"/>
      <c r="DI600" s="446"/>
      <c r="DJ600" s="446"/>
      <c r="DK600" s="446"/>
      <c r="DL600" s="446"/>
      <c r="DM600" s="446"/>
      <c r="DN600" s="446"/>
      <c r="DO600" s="446"/>
      <c r="DP600" s="446"/>
      <c r="DQ600" s="446"/>
      <c r="DR600" s="446"/>
      <c r="DS600" s="446"/>
      <c r="DT600" s="446"/>
      <c r="DU600" s="446"/>
      <c r="DV600" s="446"/>
      <c r="DW600" s="446"/>
      <c r="DX600" s="446"/>
      <c r="DY600" s="446"/>
      <c r="DZ600" s="283"/>
    </row>
    <row r="601" spans="4:130" s="223" customFormat="1" x14ac:dyDescent="0.2">
      <c r="D601" s="856"/>
      <c r="E601" s="856"/>
      <c r="F601" s="856"/>
      <c r="G601" s="856"/>
      <c r="H601" s="856"/>
      <c r="I601" s="856"/>
      <c r="J601" s="856"/>
      <c r="K601" s="856"/>
      <c r="L601" s="856"/>
      <c r="M601" s="856"/>
      <c r="N601" s="857"/>
      <c r="O601" s="856"/>
      <c r="P601" s="856"/>
      <c r="Q601" s="858"/>
      <c r="R601" s="858"/>
      <c r="S601" s="876"/>
      <c r="T601" s="856"/>
      <c r="U601" s="856"/>
      <c r="V601" s="856"/>
      <c r="W601" s="856"/>
      <c r="X601" s="856"/>
      <c r="Y601" s="355"/>
      <c r="AB601" s="446"/>
      <c r="AC601" s="446"/>
      <c r="AD601" s="562"/>
      <c r="AE601" s="446"/>
      <c r="AF601" s="446"/>
      <c r="AG601" s="446"/>
      <c r="AH601" s="446"/>
      <c r="AI601" s="446"/>
      <c r="AJ601" s="446"/>
      <c r="AK601" s="446"/>
      <c r="AL601" s="446"/>
      <c r="AM601" s="446"/>
      <c r="AN601" s="446"/>
      <c r="AO601" s="446"/>
      <c r="AP601" s="446"/>
      <c r="AQ601" s="446"/>
      <c r="AR601" s="446"/>
      <c r="AS601" s="446"/>
      <c r="AT601" s="446"/>
      <c r="AU601" s="446"/>
      <c r="AV601" s="446"/>
      <c r="AW601" s="446"/>
      <c r="AX601" s="446"/>
      <c r="AY601" s="446"/>
      <c r="AZ601" s="446"/>
      <c r="BA601" s="446"/>
      <c r="BB601" s="446"/>
      <c r="BC601" s="446"/>
      <c r="BD601" s="446"/>
      <c r="BE601" s="446"/>
      <c r="BF601" s="446"/>
      <c r="BG601" s="446"/>
      <c r="BH601" s="446"/>
      <c r="BI601" s="446"/>
      <c r="BJ601" s="446"/>
      <c r="BK601" s="446"/>
      <c r="BL601" s="446"/>
      <c r="BM601" s="446"/>
      <c r="BN601" s="446"/>
      <c r="BO601" s="446"/>
      <c r="BP601" s="446"/>
      <c r="BQ601" s="446"/>
      <c r="BR601" s="446"/>
      <c r="BS601" s="446"/>
      <c r="BT601" s="446"/>
      <c r="BU601" s="562"/>
      <c r="BV601" s="446"/>
      <c r="BW601" s="446"/>
      <c r="BX601" s="446"/>
      <c r="BY601" s="446"/>
      <c r="BZ601" s="446"/>
      <c r="CA601" s="446"/>
      <c r="CB601" s="446"/>
      <c r="CC601" s="446"/>
      <c r="CD601" s="446"/>
      <c r="CE601" s="446"/>
      <c r="CF601" s="446"/>
      <c r="CG601" s="446"/>
      <c r="CH601" s="446"/>
      <c r="CI601" s="446"/>
      <c r="CJ601" s="446"/>
      <c r="CK601" s="446"/>
      <c r="CL601" s="446"/>
      <c r="CM601" s="446"/>
      <c r="CN601" s="446"/>
      <c r="CO601" s="446"/>
      <c r="CP601" s="446"/>
      <c r="CQ601" s="446"/>
      <c r="CR601" s="446"/>
      <c r="CS601" s="446"/>
      <c r="CT601" s="446"/>
      <c r="CU601" s="446"/>
      <c r="CV601" s="446"/>
      <c r="CW601" s="233"/>
      <c r="CX601" s="446"/>
      <c r="CY601" s="446"/>
      <c r="CZ601" s="446"/>
      <c r="DA601" s="446"/>
      <c r="DB601" s="446"/>
      <c r="DC601" s="446"/>
      <c r="DD601" s="446"/>
      <c r="DE601" s="446"/>
      <c r="DF601" s="446"/>
      <c r="DG601" s="446"/>
      <c r="DH601" s="446"/>
      <c r="DI601" s="446"/>
      <c r="DJ601" s="446"/>
      <c r="DK601" s="446"/>
      <c r="DL601" s="446"/>
      <c r="DM601" s="446"/>
      <c r="DN601" s="446"/>
      <c r="DO601" s="446"/>
      <c r="DP601" s="446"/>
      <c r="DQ601" s="446"/>
      <c r="DR601" s="446"/>
      <c r="DS601" s="446"/>
      <c r="DT601" s="446"/>
      <c r="DU601" s="446"/>
      <c r="DV601" s="446"/>
      <c r="DW601" s="446"/>
      <c r="DX601" s="446"/>
      <c r="DY601" s="446"/>
      <c r="DZ601" s="283"/>
    </row>
    <row r="602" spans="4:130" s="223" customFormat="1" x14ac:dyDescent="0.2">
      <c r="D602" s="856"/>
      <c r="E602" s="856"/>
      <c r="F602" s="856"/>
      <c r="G602" s="856"/>
      <c r="H602" s="856"/>
      <c r="I602" s="856"/>
      <c r="J602" s="856"/>
      <c r="K602" s="856"/>
      <c r="L602" s="856"/>
      <c r="M602" s="856"/>
      <c r="N602" s="857"/>
      <c r="O602" s="856"/>
      <c r="P602" s="856"/>
      <c r="Q602" s="858"/>
      <c r="R602" s="858"/>
      <c r="S602" s="876"/>
      <c r="T602" s="856"/>
      <c r="U602" s="856"/>
      <c r="V602" s="856"/>
      <c r="W602" s="856"/>
      <c r="X602" s="856"/>
      <c r="Y602" s="355"/>
      <c r="AB602" s="446"/>
      <c r="AC602" s="446"/>
      <c r="AD602" s="562"/>
      <c r="AE602" s="446"/>
      <c r="AF602" s="446"/>
      <c r="AG602" s="446"/>
      <c r="AH602" s="446"/>
      <c r="AI602" s="446"/>
      <c r="AJ602" s="446"/>
      <c r="AK602" s="446"/>
      <c r="AL602" s="446"/>
      <c r="AM602" s="446"/>
      <c r="AN602" s="446"/>
      <c r="AO602" s="446"/>
      <c r="AP602" s="446"/>
      <c r="AQ602" s="446"/>
      <c r="AR602" s="446"/>
      <c r="AS602" s="446"/>
      <c r="AT602" s="446"/>
      <c r="AU602" s="446"/>
      <c r="AV602" s="446"/>
      <c r="AW602" s="446"/>
      <c r="AX602" s="446"/>
      <c r="AY602" s="446"/>
      <c r="AZ602" s="446"/>
      <c r="BA602" s="446"/>
      <c r="BB602" s="446"/>
      <c r="BC602" s="446"/>
      <c r="BD602" s="446"/>
      <c r="BE602" s="446"/>
      <c r="BF602" s="446"/>
      <c r="BG602" s="446"/>
      <c r="BH602" s="446"/>
      <c r="BI602" s="446"/>
      <c r="BJ602" s="446"/>
      <c r="BK602" s="446"/>
      <c r="BL602" s="446"/>
      <c r="BM602" s="446"/>
      <c r="BN602" s="446"/>
      <c r="BO602" s="446"/>
      <c r="BP602" s="446"/>
      <c r="BQ602" s="446"/>
      <c r="BR602" s="446"/>
      <c r="BS602" s="446"/>
      <c r="BT602" s="446"/>
      <c r="BU602" s="562"/>
      <c r="BV602" s="446"/>
      <c r="BW602" s="446"/>
      <c r="BX602" s="446"/>
      <c r="BY602" s="446"/>
      <c r="BZ602" s="446"/>
      <c r="CA602" s="446"/>
      <c r="CB602" s="446"/>
      <c r="CC602" s="446"/>
      <c r="CD602" s="446"/>
      <c r="CE602" s="446"/>
      <c r="CF602" s="446"/>
      <c r="CG602" s="446"/>
      <c r="CH602" s="446"/>
      <c r="CI602" s="446"/>
      <c r="CJ602" s="446"/>
      <c r="CK602" s="446"/>
      <c r="CL602" s="446"/>
      <c r="CM602" s="446"/>
      <c r="CN602" s="446"/>
      <c r="CO602" s="446"/>
      <c r="CP602" s="446"/>
      <c r="CQ602" s="446"/>
      <c r="CR602" s="446"/>
      <c r="CS602" s="446"/>
      <c r="CT602" s="446"/>
      <c r="CU602" s="446"/>
      <c r="CV602" s="446"/>
      <c r="CW602" s="233"/>
      <c r="CX602" s="446"/>
      <c r="CY602" s="446"/>
      <c r="CZ602" s="446"/>
      <c r="DA602" s="446"/>
      <c r="DB602" s="446"/>
      <c r="DC602" s="446"/>
      <c r="DD602" s="446"/>
      <c r="DE602" s="446"/>
      <c r="DF602" s="446"/>
      <c r="DG602" s="446"/>
      <c r="DH602" s="446"/>
      <c r="DI602" s="446"/>
      <c r="DJ602" s="446"/>
      <c r="DK602" s="446"/>
      <c r="DL602" s="446"/>
      <c r="DM602" s="446"/>
      <c r="DN602" s="446"/>
      <c r="DO602" s="446"/>
      <c r="DP602" s="446"/>
      <c r="DQ602" s="446"/>
      <c r="DR602" s="446"/>
      <c r="DS602" s="446"/>
      <c r="DT602" s="446"/>
      <c r="DU602" s="446"/>
      <c r="DV602" s="446"/>
      <c r="DW602" s="446"/>
      <c r="DX602" s="446"/>
      <c r="DY602" s="446"/>
      <c r="DZ602" s="283"/>
    </row>
    <row r="603" spans="4:130" s="223" customFormat="1" x14ac:dyDescent="0.2">
      <c r="D603" s="856"/>
      <c r="E603" s="856"/>
      <c r="F603" s="856"/>
      <c r="G603" s="856"/>
      <c r="H603" s="856"/>
      <c r="I603" s="856"/>
      <c r="J603" s="856"/>
      <c r="K603" s="856"/>
      <c r="L603" s="856"/>
      <c r="M603" s="856"/>
      <c r="N603" s="857"/>
      <c r="O603" s="856"/>
      <c r="P603" s="856"/>
      <c r="Q603" s="858"/>
      <c r="R603" s="858"/>
      <c r="S603" s="876"/>
      <c r="T603" s="856"/>
      <c r="U603" s="856"/>
      <c r="V603" s="856"/>
      <c r="W603" s="856"/>
      <c r="X603" s="856"/>
      <c r="Y603" s="355"/>
      <c r="AB603" s="446"/>
      <c r="AC603" s="446"/>
      <c r="AD603" s="562"/>
      <c r="AE603" s="446"/>
      <c r="AF603" s="446"/>
      <c r="AG603" s="446"/>
      <c r="AH603" s="446"/>
      <c r="AI603" s="446"/>
      <c r="AJ603" s="446"/>
      <c r="AK603" s="446"/>
      <c r="AL603" s="446"/>
      <c r="AM603" s="446"/>
      <c r="AN603" s="446"/>
      <c r="AO603" s="446"/>
      <c r="AP603" s="446"/>
      <c r="AQ603" s="446"/>
      <c r="AR603" s="446"/>
      <c r="AS603" s="446"/>
      <c r="AT603" s="446"/>
      <c r="AU603" s="446"/>
      <c r="AV603" s="446"/>
      <c r="AW603" s="446"/>
      <c r="AX603" s="446"/>
      <c r="AY603" s="446"/>
      <c r="AZ603" s="446"/>
      <c r="BA603" s="446"/>
      <c r="BB603" s="446"/>
      <c r="BC603" s="446"/>
      <c r="BD603" s="446"/>
      <c r="BE603" s="446"/>
      <c r="BF603" s="446"/>
      <c r="BG603" s="446"/>
      <c r="BH603" s="446"/>
      <c r="BI603" s="446"/>
      <c r="BJ603" s="446"/>
      <c r="BK603" s="446"/>
      <c r="BL603" s="446"/>
      <c r="BM603" s="446"/>
      <c r="BN603" s="446"/>
      <c r="BO603" s="446"/>
      <c r="BP603" s="446"/>
      <c r="BQ603" s="446"/>
      <c r="BR603" s="446"/>
      <c r="BS603" s="446"/>
      <c r="BT603" s="446"/>
      <c r="BU603" s="562"/>
      <c r="BV603" s="446"/>
      <c r="BW603" s="446"/>
      <c r="BX603" s="446"/>
      <c r="BY603" s="446"/>
      <c r="BZ603" s="446"/>
      <c r="CA603" s="446"/>
      <c r="CB603" s="446"/>
      <c r="CC603" s="446"/>
      <c r="CD603" s="446"/>
      <c r="CE603" s="446"/>
      <c r="CF603" s="446"/>
      <c r="CG603" s="446"/>
      <c r="CH603" s="446"/>
      <c r="CI603" s="446"/>
      <c r="CJ603" s="446"/>
      <c r="CK603" s="446"/>
      <c r="CL603" s="446"/>
      <c r="CM603" s="446"/>
      <c r="CN603" s="446"/>
      <c r="CO603" s="446"/>
      <c r="CP603" s="446"/>
      <c r="CQ603" s="446"/>
      <c r="CR603" s="446"/>
      <c r="CS603" s="446"/>
      <c r="CT603" s="446"/>
      <c r="CU603" s="446"/>
      <c r="CV603" s="446"/>
      <c r="CW603" s="233"/>
      <c r="CX603" s="446"/>
      <c r="CY603" s="446"/>
      <c r="CZ603" s="446"/>
      <c r="DA603" s="446"/>
      <c r="DB603" s="446"/>
      <c r="DC603" s="446"/>
      <c r="DD603" s="446"/>
      <c r="DE603" s="446"/>
      <c r="DF603" s="446"/>
      <c r="DG603" s="446"/>
      <c r="DH603" s="446"/>
      <c r="DI603" s="446"/>
      <c r="DJ603" s="446"/>
      <c r="DK603" s="446"/>
      <c r="DL603" s="446"/>
      <c r="DM603" s="446"/>
      <c r="DN603" s="446"/>
      <c r="DO603" s="446"/>
      <c r="DP603" s="446"/>
      <c r="DQ603" s="446"/>
      <c r="DR603" s="446"/>
      <c r="DS603" s="446"/>
      <c r="DT603" s="446"/>
      <c r="DU603" s="446"/>
      <c r="DV603" s="446"/>
      <c r="DW603" s="446"/>
      <c r="DX603" s="446"/>
      <c r="DY603" s="446"/>
      <c r="DZ603" s="283"/>
    </row>
    <row r="604" spans="4:130" s="223" customFormat="1" x14ac:dyDescent="0.2">
      <c r="D604" s="856"/>
      <c r="E604" s="856"/>
      <c r="F604" s="856"/>
      <c r="G604" s="856"/>
      <c r="H604" s="856"/>
      <c r="I604" s="856"/>
      <c r="J604" s="856"/>
      <c r="K604" s="856"/>
      <c r="L604" s="856"/>
      <c r="M604" s="856"/>
      <c r="N604" s="857"/>
      <c r="O604" s="856"/>
      <c r="P604" s="856"/>
      <c r="Q604" s="858"/>
      <c r="R604" s="858"/>
      <c r="S604" s="876"/>
      <c r="T604" s="856"/>
      <c r="U604" s="856"/>
      <c r="V604" s="856"/>
      <c r="W604" s="856"/>
      <c r="X604" s="856"/>
      <c r="Y604" s="355"/>
      <c r="AB604" s="446"/>
      <c r="AC604" s="446"/>
      <c r="AD604" s="562"/>
      <c r="AE604" s="446"/>
      <c r="AF604" s="446"/>
      <c r="AG604" s="446"/>
      <c r="AH604" s="446"/>
      <c r="AI604" s="446"/>
      <c r="AJ604" s="446"/>
      <c r="AK604" s="446"/>
      <c r="AL604" s="446"/>
      <c r="AM604" s="446"/>
      <c r="AN604" s="446"/>
      <c r="AO604" s="446"/>
      <c r="AP604" s="446"/>
      <c r="AQ604" s="446"/>
      <c r="AR604" s="446"/>
      <c r="AS604" s="446"/>
      <c r="AT604" s="446"/>
      <c r="AU604" s="446"/>
      <c r="AV604" s="446"/>
      <c r="AW604" s="446"/>
      <c r="AX604" s="446"/>
      <c r="AY604" s="446"/>
      <c r="AZ604" s="446"/>
      <c r="BA604" s="446"/>
      <c r="BB604" s="446"/>
      <c r="BC604" s="446"/>
      <c r="BD604" s="446"/>
      <c r="BE604" s="446"/>
      <c r="BF604" s="446"/>
      <c r="BG604" s="446"/>
      <c r="BH604" s="446"/>
      <c r="BI604" s="446"/>
      <c r="BJ604" s="446"/>
      <c r="BK604" s="446"/>
      <c r="BL604" s="446"/>
      <c r="BM604" s="446"/>
      <c r="BN604" s="446"/>
      <c r="BO604" s="446"/>
      <c r="BP604" s="446"/>
      <c r="BQ604" s="446"/>
      <c r="BR604" s="446"/>
      <c r="BS604" s="446"/>
      <c r="BT604" s="446"/>
      <c r="BU604" s="562"/>
      <c r="BV604" s="446"/>
      <c r="BW604" s="446"/>
      <c r="BX604" s="446"/>
      <c r="BY604" s="446"/>
      <c r="BZ604" s="446"/>
      <c r="CA604" s="446"/>
      <c r="CB604" s="446"/>
      <c r="CC604" s="446"/>
      <c r="CD604" s="446"/>
      <c r="CE604" s="446"/>
      <c r="CF604" s="446"/>
      <c r="CG604" s="446"/>
      <c r="CH604" s="446"/>
      <c r="CI604" s="446"/>
      <c r="CJ604" s="446"/>
      <c r="CK604" s="446"/>
      <c r="CL604" s="446"/>
      <c r="CM604" s="446"/>
      <c r="CN604" s="446"/>
      <c r="CO604" s="446"/>
      <c r="CP604" s="446"/>
      <c r="CQ604" s="446"/>
      <c r="CR604" s="446"/>
      <c r="CS604" s="446"/>
      <c r="CT604" s="446"/>
      <c r="CU604" s="446"/>
      <c r="CV604" s="446"/>
      <c r="CW604" s="233"/>
      <c r="CX604" s="446"/>
      <c r="CY604" s="446"/>
      <c r="CZ604" s="446"/>
      <c r="DA604" s="446"/>
      <c r="DB604" s="446"/>
      <c r="DC604" s="446"/>
      <c r="DD604" s="446"/>
      <c r="DE604" s="446"/>
      <c r="DF604" s="446"/>
      <c r="DG604" s="446"/>
      <c r="DH604" s="446"/>
      <c r="DI604" s="446"/>
      <c r="DJ604" s="446"/>
      <c r="DK604" s="446"/>
      <c r="DL604" s="446"/>
      <c r="DM604" s="446"/>
      <c r="DN604" s="446"/>
      <c r="DO604" s="446"/>
      <c r="DP604" s="446"/>
      <c r="DQ604" s="446"/>
      <c r="DR604" s="446"/>
      <c r="DS604" s="446"/>
      <c r="DT604" s="446"/>
      <c r="DU604" s="446"/>
      <c r="DV604" s="446"/>
      <c r="DW604" s="446"/>
      <c r="DX604" s="446"/>
      <c r="DY604" s="446"/>
      <c r="DZ604" s="283"/>
    </row>
    <row r="605" spans="4:130" s="223" customFormat="1" x14ac:dyDescent="0.2">
      <c r="D605" s="856"/>
      <c r="E605" s="856"/>
      <c r="F605" s="856"/>
      <c r="G605" s="856"/>
      <c r="H605" s="856"/>
      <c r="I605" s="856"/>
      <c r="J605" s="856"/>
      <c r="K605" s="856"/>
      <c r="L605" s="856"/>
      <c r="M605" s="856"/>
      <c r="N605" s="857"/>
      <c r="O605" s="856"/>
      <c r="P605" s="856"/>
      <c r="Q605" s="858"/>
      <c r="R605" s="858"/>
      <c r="S605" s="876"/>
      <c r="T605" s="856"/>
      <c r="U605" s="856"/>
      <c r="V605" s="856"/>
      <c r="W605" s="856"/>
      <c r="X605" s="856"/>
      <c r="Y605" s="355"/>
      <c r="AB605" s="446"/>
      <c r="AC605" s="446"/>
      <c r="AD605" s="562"/>
      <c r="AE605" s="446"/>
      <c r="AF605" s="446"/>
      <c r="AG605" s="446"/>
      <c r="AH605" s="446"/>
      <c r="AI605" s="446"/>
      <c r="AJ605" s="446"/>
      <c r="AK605" s="446"/>
      <c r="AL605" s="446"/>
      <c r="AM605" s="446"/>
      <c r="AN605" s="446"/>
      <c r="AO605" s="446"/>
      <c r="AP605" s="446"/>
      <c r="AQ605" s="446"/>
      <c r="AR605" s="446"/>
      <c r="AS605" s="446"/>
      <c r="AT605" s="446"/>
      <c r="AU605" s="446"/>
      <c r="AV605" s="446"/>
      <c r="AW605" s="446"/>
      <c r="AX605" s="446"/>
      <c r="AY605" s="446"/>
      <c r="AZ605" s="446"/>
      <c r="BA605" s="446"/>
      <c r="BB605" s="446"/>
      <c r="BC605" s="446"/>
      <c r="BD605" s="446"/>
      <c r="BE605" s="446"/>
      <c r="BF605" s="446"/>
      <c r="BG605" s="446"/>
      <c r="BH605" s="446"/>
      <c r="BI605" s="446"/>
      <c r="BJ605" s="446"/>
      <c r="BK605" s="446"/>
      <c r="BL605" s="446"/>
      <c r="BM605" s="446"/>
      <c r="BN605" s="446"/>
      <c r="BO605" s="446"/>
      <c r="BP605" s="446"/>
      <c r="BQ605" s="446"/>
      <c r="BR605" s="446"/>
      <c r="BS605" s="446"/>
      <c r="BT605" s="446"/>
      <c r="BU605" s="562"/>
      <c r="BV605" s="446"/>
      <c r="BW605" s="446"/>
      <c r="BX605" s="446"/>
      <c r="BY605" s="446"/>
      <c r="BZ605" s="446"/>
      <c r="CA605" s="446"/>
      <c r="CB605" s="446"/>
      <c r="CC605" s="446"/>
      <c r="CD605" s="446"/>
      <c r="CE605" s="446"/>
      <c r="CF605" s="446"/>
      <c r="CG605" s="446"/>
      <c r="CH605" s="446"/>
      <c r="CI605" s="446"/>
      <c r="CJ605" s="446"/>
      <c r="CK605" s="446"/>
      <c r="CL605" s="446"/>
      <c r="CM605" s="446"/>
      <c r="CN605" s="446"/>
      <c r="CO605" s="446"/>
      <c r="CP605" s="446"/>
      <c r="CQ605" s="446"/>
      <c r="CR605" s="446"/>
      <c r="CS605" s="446"/>
      <c r="CT605" s="446"/>
      <c r="CU605" s="446"/>
      <c r="CV605" s="446"/>
      <c r="CW605" s="233"/>
      <c r="CX605" s="446"/>
      <c r="CY605" s="446"/>
      <c r="CZ605" s="446"/>
      <c r="DA605" s="446"/>
      <c r="DB605" s="446"/>
      <c r="DC605" s="446"/>
      <c r="DD605" s="446"/>
      <c r="DE605" s="446"/>
      <c r="DF605" s="446"/>
      <c r="DG605" s="446"/>
      <c r="DH605" s="446"/>
      <c r="DI605" s="446"/>
      <c r="DJ605" s="446"/>
      <c r="DK605" s="446"/>
      <c r="DL605" s="446"/>
      <c r="DM605" s="446"/>
      <c r="DN605" s="446"/>
      <c r="DO605" s="446"/>
      <c r="DP605" s="446"/>
      <c r="DQ605" s="446"/>
      <c r="DR605" s="446"/>
      <c r="DS605" s="446"/>
      <c r="DT605" s="446"/>
      <c r="DU605" s="446"/>
      <c r="DV605" s="446"/>
      <c r="DW605" s="446"/>
      <c r="DX605" s="446"/>
      <c r="DY605" s="446"/>
      <c r="DZ605" s="283"/>
    </row>
    <row r="606" spans="4:130" s="223" customFormat="1" x14ac:dyDescent="0.2">
      <c r="D606" s="856"/>
      <c r="E606" s="856"/>
      <c r="F606" s="856"/>
      <c r="G606" s="856"/>
      <c r="H606" s="856"/>
      <c r="I606" s="856"/>
      <c r="J606" s="856"/>
      <c r="K606" s="856"/>
      <c r="L606" s="856"/>
      <c r="M606" s="856"/>
      <c r="N606" s="857"/>
      <c r="O606" s="856"/>
      <c r="P606" s="856"/>
      <c r="Q606" s="858"/>
      <c r="R606" s="858"/>
      <c r="S606" s="876"/>
      <c r="T606" s="856"/>
      <c r="U606" s="856"/>
      <c r="V606" s="856"/>
      <c r="W606" s="856"/>
      <c r="X606" s="856"/>
      <c r="Y606" s="355"/>
      <c r="AB606" s="446"/>
      <c r="AC606" s="446"/>
      <c r="AD606" s="562"/>
      <c r="AE606" s="446"/>
      <c r="AF606" s="446"/>
      <c r="AG606" s="446"/>
      <c r="AH606" s="446"/>
      <c r="AI606" s="446"/>
      <c r="AJ606" s="446"/>
      <c r="AK606" s="446"/>
      <c r="AL606" s="446"/>
      <c r="AM606" s="446"/>
      <c r="AN606" s="446"/>
      <c r="AO606" s="446"/>
      <c r="AP606" s="446"/>
      <c r="AQ606" s="446"/>
      <c r="AR606" s="446"/>
      <c r="AS606" s="446"/>
      <c r="AT606" s="446"/>
      <c r="AU606" s="446"/>
      <c r="AV606" s="446"/>
      <c r="AW606" s="446"/>
      <c r="AX606" s="446"/>
      <c r="AY606" s="446"/>
      <c r="AZ606" s="446"/>
      <c r="BA606" s="446"/>
      <c r="BB606" s="446"/>
      <c r="BC606" s="446"/>
      <c r="BD606" s="446"/>
      <c r="BE606" s="446"/>
      <c r="BF606" s="446"/>
      <c r="BG606" s="446"/>
      <c r="BH606" s="446"/>
      <c r="BI606" s="446"/>
      <c r="BJ606" s="446"/>
      <c r="BK606" s="446"/>
      <c r="BL606" s="446"/>
      <c r="BM606" s="446"/>
      <c r="BN606" s="446"/>
      <c r="BO606" s="446"/>
      <c r="BP606" s="446"/>
      <c r="BQ606" s="446"/>
      <c r="BR606" s="446"/>
      <c r="BS606" s="446"/>
      <c r="BT606" s="446"/>
      <c r="BU606" s="562"/>
      <c r="BV606" s="446"/>
      <c r="BW606" s="446"/>
      <c r="BX606" s="446"/>
      <c r="BY606" s="446"/>
      <c r="BZ606" s="446"/>
      <c r="CA606" s="446"/>
      <c r="CB606" s="446"/>
      <c r="CC606" s="446"/>
      <c r="CD606" s="446"/>
      <c r="CE606" s="446"/>
      <c r="CF606" s="446"/>
      <c r="CG606" s="446"/>
      <c r="CH606" s="446"/>
      <c r="CI606" s="446"/>
      <c r="CJ606" s="446"/>
      <c r="CK606" s="446"/>
      <c r="CL606" s="446"/>
      <c r="CM606" s="446"/>
      <c r="CN606" s="446"/>
      <c r="CO606" s="446"/>
      <c r="CP606" s="446"/>
      <c r="CQ606" s="446"/>
      <c r="CR606" s="446"/>
      <c r="CS606" s="446"/>
      <c r="CT606" s="446"/>
      <c r="CU606" s="446"/>
      <c r="CV606" s="446"/>
      <c r="CW606" s="233"/>
      <c r="CX606" s="446"/>
      <c r="CY606" s="446"/>
      <c r="CZ606" s="446"/>
      <c r="DA606" s="446"/>
      <c r="DB606" s="446"/>
      <c r="DC606" s="446"/>
      <c r="DD606" s="446"/>
      <c r="DE606" s="446"/>
      <c r="DF606" s="446"/>
      <c r="DG606" s="446"/>
      <c r="DH606" s="446"/>
      <c r="DI606" s="446"/>
      <c r="DJ606" s="446"/>
      <c r="DK606" s="446"/>
      <c r="DL606" s="446"/>
      <c r="DM606" s="446"/>
      <c r="DN606" s="446"/>
      <c r="DO606" s="446"/>
      <c r="DP606" s="446"/>
      <c r="DQ606" s="446"/>
      <c r="DR606" s="446"/>
      <c r="DS606" s="446"/>
      <c r="DT606" s="446"/>
      <c r="DU606" s="446"/>
      <c r="DV606" s="446"/>
      <c r="DW606" s="446"/>
      <c r="DX606" s="446"/>
      <c r="DY606" s="446"/>
      <c r="DZ606" s="283"/>
    </row>
    <row r="607" spans="4:130" s="223" customFormat="1" x14ac:dyDescent="0.2">
      <c r="D607" s="856"/>
      <c r="E607" s="856"/>
      <c r="F607" s="856"/>
      <c r="G607" s="856"/>
      <c r="H607" s="856"/>
      <c r="I607" s="856"/>
      <c r="J607" s="856"/>
      <c r="K607" s="856"/>
      <c r="L607" s="856"/>
      <c r="M607" s="856"/>
      <c r="N607" s="857"/>
      <c r="O607" s="856"/>
      <c r="P607" s="856"/>
      <c r="Q607" s="858"/>
      <c r="R607" s="858"/>
      <c r="S607" s="876"/>
      <c r="T607" s="856"/>
      <c r="U607" s="856"/>
      <c r="V607" s="856"/>
      <c r="W607" s="856"/>
      <c r="X607" s="856"/>
      <c r="Y607" s="355"/>
      <c r="AB607" s="446"/>
      <c r="AC607" s="446"/>
      <c r="AD607" s="562"/>
      <c r="AE607" s="446"/>
      <c r="AF607" s="446"/>
      <c r="AG607" s="446"/>
      <c r="AH607" s="446"/>
      <c r="AI607" s="446"/>
      <c r="AJ607" s="446"/>
      <c r="AK607" s="446"/>
      <c r="AL607" s="446"/>
      <c r="AM607" s="446"/>
      <c r="AN607" s="446"/>
      <c r="AO607" s="446"/>
      <c r="AP607" s="446"/>
      <c r="AQ607" s="446"/>
      <c r="AR607" s="446"/>
      <c r="AS607" s="446"/>
      <c r="AT607" s="446"/>
      <c r="AU607" s="446"/>
      <c r="AV607" s="446"/>
      <c r="AW607" s="446"/>
      <c r="AX607" s="446"/>
      <c r="AY607" s="446"/>
      <c r="AZ607" s="446"/>
      <c r="BA607" s="446"/>
      <c r="BB607" s="446"/>
      <c r="BC607" s="446"/>
      <c r="BD607" s="446"/>
      <c r="BE607" s="446"/>
      <c r="BF607" s="446"/>
      <c r="BG607" s="446"/>
      <c r="BH607" s="446"/>
      <c r="BI607" s="446"/>
      <c r="BJ607" s="446"/>
      <c r="BK607" s="446"/>
      <c r="BL607" s="446"/>
      <c r="BM607" s="446"/>
      <c r="BN607" s="446"/>
      <c r="BO607" s="446"/>
      <c r="BP607" s="446"/>
      <c r="BQ607" s="446"/>
      <c r="BR607" s="446"/>
      <c r="BS607" s="446"/>
      <c r="BT607" s="446"/>
      <c r="BU607" s="562"/>
      <c r="BV607" s="446"/>
      <c r="BW607" s="446"/>
      <c r="BX607" s="446"/>
      <c r="BY607" s="446"/>
      <c r="BZ607" s="446"/>
      <c r="CA607" s="446"/>
      <c r="CB607" s="446"/>
      <c r="CC607" s="446"/>
      <c r="CD607" s="446"/>
      <c r="CE607" s="446"/>
      <c r="CF607" s="446"/>
      <c r="CG607" s="446"/>
      <c r="CH607" s="446"/>
      <c r="CI607" s="446"/>
      <c r="CJ607" s="446"/>
      <c r="CK607" s="446"/>
      <c r="CL607" s="446"/>
      <c r="CM607" s="446"/>
      <c r="CN607" s="446"/>
      <c r="CO607" s="446"/>
      <c r="CP607" s="446"/>
      <c r="CQ607" s="446"/>
      <c r="CR607" s="446"/>
      <c r="CS607" s="446"/>
      <c r="CT607" s="446"/>
      <c r="CU607" s="446"/>
      <c r="CV607" s="446"/>
      <c r="CW607" s="233"/>
      <c r="CX607" s="446"/>
      <c r="CY607" s="446"/>
      <c r="CZ607" s="446"/>
      <c r="DA607" s="446"/>
      <c r="DB607" s="446"/>
      <c r="DC607" s="446"/>
      <c r="DD607" s="446"/>
      <c r="DE607" s="446"/>
      <c r="DF607" s="446"/>
      <c r="DG607" s="446"/>
      <c r="DH607" s="446"/>
      <c r="DI607" s="446"/>
      <c r="DJ607" s="446"/>
      <c r="DK607" s="446"/>
      <c r="DL607" s="446"/>
      <c r="DM607" s="446"/>
      <c r="DN607" s="446"/>
      <c r="DO607" s="446"/>
      <c r="DP607" s="446"/>
      <c r="DQ607" s="446"/>
      <c r="DR607" s="446"/>
      <c r="DS607" s="446"/>
      <c r="DT607" s="446"/>
      <c r="DU607" s="446"/>
      <c r="DV607" s="446"/>
      <c r="DW607" s="446"/>
      <c r="DX607" s="446"/>
      <c r="DY607" s="446"/>
      <c r="DZ607" s="283"/>
    </row>
    <row r="608" spans="4:130" s="223" customFormat="1" x14ac:dyDescent="0.2">
      <c r="D608" s="856"/>
      <c r="E608" s="856"/>
      <c r="F608" s="856"/>
      <c r="G608" s="856"/>
      <c r="H608" s="856"/>
      <c r="I608" s="856"/>
      <c r="J608" s="856"/>
      <c r="K608" s="856"/>
      <c r="L608" s="856"/>
      <c r="M608" s="856"/>
      <c r="N608" s="857"/>
      <c r="O608" s="856"/>
      <c r="P608" s="856"/>
      <c r="Q608" s="858"/>
      <c r="R608" s="858"/>
      <c r="S608" s="876"/>
      <c r="T608" s="856"/>
      <c r="U608" s="856"/>
      <c r="V608" s="856"/>
      <c r="W608" s="856"/>
      <c r="X608" s="856"/>
      <c r="Y608" s="355"/>
      <c r="AB608" s="446"/>
      <c r="AC608" s="446"/>
      <c r="AD608" s="562"/>
      <c r="AE608" s="446"/>
      <c r="AF608" s="446"/>
      <c r="AG608" s="446"/>
      <c r="AH608" s="446"/>
      <c r="AI608" s="446"/>
      <c r="AJ608" s="446"/>
      <c r="AK608" s="446"/>
      <c r="AL608" s="446"/>
      <c r="AM608" s="446"/>
      <c r="AN608" s="446"/>
      <c r="AO608" s="446"/>
      <c r="AP608" s="446"/>
      <c r="AQ608" s="446"/>
      <c r="AR608" s="446"/>
      <c r="AS608" s="446"/>
      <c r="AT608" s="446"/>
      <c r="AU608" s="446"/>
      <c r="AV608" s="446"/>
      <c r="AW608" s="446"/>
      <c r="AX608" s="446"/>
      <c r="AY608" s="446"/>
      <c r="AZ608" s="446"/>
      <c r="BA608" s="446"/>
      <c r="BB608" s="446"/>
      <c r="BC608" s="446"/>
      <c r="BD608" s="446"/>
      <c r="BE608" s="446"/>
      <c r="BF608" s="446"/>
      <c r="BG608" s="446"/>
      <c r="BH608" s="446"/>
      <c r="BI608" s="446"/>
      <c r="BJ608" s="446"/>
      <c r="BK608" s="446"/>
      <c r="BL608" s="446"/>
      <c r="BM608" s="446"/>
      <c r="BN608" s="446"/>
      <c r="BO608" s="446"/>
      <c r="BP608" s="446"/>
      <c r="BQ608" s="446"/>
      <c r="BR608" s="446"/>
      <c r="BS608" s="446"/>
      <c r="BT608" s="446"/>
      <c r="BU608" s="562"/>
      <c r="BV608" s="446"/>
      <c r="BW608" s="446"/>
      <c r="BX608" s="446"/>
      <c r="BY608" s="446"/>
      <c r="BZ608" s="446"/>
      <c r="CA608" s="446"/>
      <c r="CB608" s="446"/>
      <c r="CC608" s="446"/>
      <c r="CD608" s="446"/>
      <c r="CE608" s="446"/>
      <c r="CF608" s="446"/>
      <c r="CG608" s="446"/>
      <c r="CH608" s="446"/>
      <c r="CI608" s="446"/>
      <c r="CJ608" s="446"/>
      <c r="CK608" s="446"/>
      <c r="CL608" s="446"/>
      <c r="CM608" s="446"/>
      <c r="CN608" s="446"/>
      <c r="CO608" s="446"/>
      <c r="CP608" s="446"/>
      <c r="CQ608" s="446"/>
      <c r="CR608" s="446"/>
      <c r="CS608" s="446"/>
      <c r="CT608" s="446"/>
      <c r="CU608" s="446"/>
      <c r="CV608" s="446"/>
      <c r="CW608" s="233"/>
      <c r="CX608" s="446"/>
      <c r="CY608" s="446"/>
      <c r="CZ608" s="446"/>
      <c r="DA608" s="446"/>
      <c r="DB608" s="446"/>
      <c r="DC608" s="446"/>
      <c r="DD608" s="446"/>
      <c r="DE608" s="446"/>
      <c r="DF608" s="446"/>
      <c r="DG608" s="446"/>
      <c r="DH608" s="446"/>
      <c r="DI608" s="446"/>
      <c r="DJ608" s="446"/>
      <c r="DK608" s="446"/>
      <c r="DL608" s="446"/>
      <c r="DM608" s="446"/>
      <c r="DN608" s="446"/>
      <c r="DO608" s="446"/>
      <c r="DP608" s="446"/>
      <c r="DQ608" s="446"/>
      <c r="DR608" s="446"/>
      <c r="DS608" s="446"/>
      <c r="DT608" s="446"/>
      <c r="DU608" s="446"/>
      <c r="DV608" s="446"/>
      <c r="DW608" s="446"/>
      <c r="DX608" s="446"/>
      <c r="DY608" s="446"/>
      <c r="DZ608" s="283"/>
    </row>
    <row r="609" spans="4:130" s="223" customFormat="1" x14ac:dyDescent="0.2">
      <c r="D609" s="856"/>
      <c r="E609" s="856"/>
      <c r="F609" s="856"/>
      <c r="G609" s="856"/>
      <c r="H609" s="856"/>
      <c r="I609" s="856"/>
      <c r="J609" s="856"/>
      <c r="K609" s="856"/>
      <c r="L609" s="856"/>
      <c r="M609" s="856"/>
      <c r="N609" s="857"/>
      <c r="O609" s="856"/>
      <c r="P609" s="856"/>
      <c r="Q609" s="858"/>
      <c r="R609" s="858"/>
      <c r="S609" s="876"/>
      <c r="T609" s="856"/>
      <c r="U609" s="856"/>
      <c r="V609" s="856"/>
      <c r="W609" s="856"/>
      <c r="X609" s="856"/>
      <c r="Y609" s="355"/>
      <c r="AB609" s="446"/>
      <c r="AC609" s="446"/>
      <c r="AD609" s="562"/>
      <c r="AE609" s="446"/>
      <c r="AF609" s="446"/>
      <c r="AG609" s="446"/>
      <c r="AH609" s="446"/>
      <c r="AI609" s="446"/>
      <c r="AJ609" s="446"/>
      <c r="AK609" s="446"/>
      <c r="AL609" s="446"/>
      <c r="AM609" s="446"/>
      <c r="AN609" s="446"/>
      <c r="AO609" s="446"/>
      <c r="AP609" s="446"/>
      <c r="AQ609" s="446"/>
      <c r="AR609" s="446"/>
      <c r="AS609" s="446"/>
      <c r="AT609" s="446"/>
      <c r="AU609" s="446"/>
      <c r="AV609" s="446"/>
      <c r="AW609" s="446"/>
      <c r="AX609" s="446"/>
      <c r="AY609" s="446"/>
      <c r="AZ609" s="446"/>
      <c r="BA609" s="446"/>
      <c r="BB609" s="446"/>
      <c r="BC609" s="446"/>
      <c r="BD609" s="446"/>
      <c r="BE609" s="446"/>
      <c r="BF609" s="446"/>
      <c r="BG609" s="446"/>
      <c r="BH609" s="446"/>
      <c r="BI609" s="446"/>
      <c r="BJ609" s="446"/>
      <c r="BK609" s="446"/>
      <c r="BL609" s="446"/>
      <c r="BM609" s="446"/>
      <c r="BN609" s="446"/>
      <c r="BO609" s="446"/>
      <c r="BP609" s="446"/>
      <c r="BQ609" s="446"/>
      <c r="BR609" s="446"/>
      <c r="BS609" s="446"/>
      <c r="BT609" s="446"/>
      <c r="BU609" s="562"/>
      <c r="BV609" s="446"/>
      <c r="BW609" s="446"/>
      <c r="BX609" s="446"/>
      <c r="BY609" s="446"/>
      <c r="BZ609" s="446"/>
      <c r="CA609" s="446"/>
      <c r="CB609" s="446"/>
      <c r="CC609" s="446"/>
      <c r="CD609" s="446"/>
      <c r="CE609" s="446"/>
      <c r="CF609" s="446"/>
      <c r="CG609" s="446"/>
      <c r="CH609" s="446"/>
      <c r="CI609" s="446"/>
      <c r="CJ609" s="446"/>
      <c r="CK609" s="446"/>
      <c r="CL609" s="446"/>
      <c r="CM609" s="446"/>
      <c r="CN609" s="446"/>
      <c r="CO609" s="446"/>
      <c r="CP609" s="446"/>
      <c r="CQ609" s="446"/>
      <c r="CR609" s="446"/>
      <c r="CS609" s="446"/>
      <c r="CT609" s="446"/>
      <c r="CU609" s="446"/>
      <c r="CV609" s="446"/>
      <c r="CW609" s="233"/>
      <c r="CX609" s="446"/>
      <c r="CY609" s="446"/>
      <c r="CZ609" s="446"/>
      <c r="DA609" s="446"/>
      <c r="DB609" s="446"/>
      <c r="DC609" s="446"/>
      <c r="DD609" s="446"/>
      <c r="DE609" s="446"/>
      <c r="DF609" s="446"/>
      <c r="DG609" s="446"/>
      <c r="DH609" s="446"/>
      <c r="DI609" s="446"/>
      <c r="DJ609" s="446"/>
      <c r="DK609" s="446"/>
      <c r="DL609" s="446"/>
      <c r="DM609" s="446"/>
      <c r="DN609" s="446"/>
      <c r="DO609" s="446"/>
      <c r="DP609" s="446"/>
      <c r="DQ609" s="446"/>
      <c r="DR609" s="446"/>
      <c r="DS609" s="446"/>
      <c r="DT609" s="446"/>
      <c r="DU609" s="446"/>
      <c r="DV609" s="446"/>
      <c r="DW609" s="446"/>
      <c r="DX609" s="446"/>
      <c r="DY609" s="446"/>
      <c r="DZ609" s="283"/>
    </row>
    <row r="610" spans="4:130" s="223" customFormat="1" x14ac:dyDescent="0.2">
      <c r="D610" s="856"/>
      <c r="E610" s="856"/>
      <c r="F610" s="856"/>
      <c r="G610" s="856"/>
      <c r="H610" s="856"/>
      <c r="I610" s="856"/>
      <c r="J610" s="856"/>
      <c r="K610" s="856"/>
      <c r="L610" s="856"/>
      <c r="M610" s="856"/>
      <c r="N610" s="857"/>
      <c r="O610" s="856"/>
      <c r="P610" s="856"/>
      <c r="Q610" s="858"/>
      <c r="R610" s="858"/>
      <c r="S610" s="876"/>
      <c r="T610" s="856"/>
      <c r="U610" s="856"/>
      <c r="V610" s="856"/>
      <c r="W610" s="856"/>
      <c r="X610" s="856"/>
      <c r="Y610" s="355"/>
      <c r="AB610" s="446"/>
      <c r="AC610" s="446"/>
      <c r="AD610" s="562"/>
      <c r="AE610" s="446"/>
      <c r="AF610" s="446"/>
      <c r="AG610" s="446"/>
      <c r="AH610" s="446"/>
      <c r="AI610" s="446"/>
      <c r="AJ610" s="446"/>
      <c r="AK610" s="446"/>
      <c r="AL610" s="446"/>
      <c r="AM610" s="446"/>
      <c r="AN610" s="446"/>
      <c r="AO610" s="446"/>
      <c r="AP610" s="446"/>
      <c r="AQ610" s="446"/>
      <c r="AR610" s="446"/>
      <c r="AS610" s="446"/>
      <c r="AT610" s="446"/>
      <c r="AU610" s="446"/>
      <c r="AV610" s="446"/>
      <c r="AW610" s="446"/>
      <c r="AX610" s="446"/>
      <c r="AY610" s="446"/>
      <c r="AZ610" s="446"/>
      <c r="BA610" s="446"/>
      <c r="BB610" s="446"/>
      <c r="BC610" s="446"/>
      <c r="BD610" s="446"/>
      <c r="BE610" s="446"/>
      <c r="BF610" s="446"/>
      <c r="BG610" s="446"/>
      <c r="BH610" s="446"/>
      <c r="BI610" s="446"/>
      <c r="BJ610" s="446"/>
      <c r="BK610" s="446"/>
      <c r="BL610" s="446"/>
      <c r="BM610" s="446"/>
      <c r="BN610" s="446"/>
      <c r="BO610" s="446"/>
      <c r="BP610" s="446"/>
      <c r="BQ610" s="446"/>
      <c r="BR610" s="446"/>
      <c r="BS610" s="446"/>
      <c r="BT610" s="446"/>
      <c r="BU610" s="562"/>
      <c r="BV610" s="446"/>
      <c r="BW610" s="446"/>
      <c r="BX610" s="446"/>
      <c r="BY610" s="446"/>
      <c r="BZ610" s="446"/>
      <c r="CA610" s="446"/>
      <c r="CB610" s="446"/>
      <c r="CC610" s="446"/>
      <c r="CD610" s="446"/>
      <c r="CE610" s="446"/>
      <c r="CF610" s="446"/>
      <c r="CG610" s="446"/>
      <c r="CH610" s="446"/>
      <c r="CI610" s="446"/>
      <c r="CJ610" s="446"/>
      <c r="CK610" s="446"/>
      <c r="CL610" s="446"/>
      <c r="CM610" s="446"/>
      <c r="CN610" s="446"/>
      <c r="CO610" s="446"/>
      <c r="CP610" s="446"/>
      <c r="CQ610" s="446"/>
      <c r="CR610" s="446"/>
      <c r="CS610" s="446"/>
      <c r="CT610" s="446"/>
      <c r="CU610" s="446"/>
      <c r="CV610" s="446"/>
      <c r="CW610" s="233"/>
      <c r="CX610" s="446"/>
      <c r="CY610" s="446"/>
      <c r="CZ610" s="446"/>
      <c r="DA610" s="446"/>
      <c r="DB610" s="446"/>
      <c r="DC610" s="446"/>
      <c r="DD610" s="446"/>
      <c r="DE610" s="446"/>
      <c r="DF610" s="446"/>
      <c r="DG610" s="446"/>
      <c r="DH610" s="446"/>
      <c r="DI610" s="446"/>
      <c r="DJ610" s="446"/>
      <c r="DK610" s="446"/>
      <c r="DL610" s="446"/>
      <c r="DM610" s="446"/>
      <c r="DN610" s="446"/>
      <c r="DO610" s="446"/>
      <c r="DP610" s="446"/>
      <c r="DQ610" s="446"/>
      <c r="DR610" s="446"/>
      <c r="DS610" s="446"/>
      <c r="DT610" s="446"/>
      <c r="DU610" s="446"/>
      <c r="DV610" s="446"/>
      <c r="DW610" s="446"/>
      <c r="DX610" s="446"/>
      <c r="DY610" s="446"/>
      <c r="DZ610" s="283"/>
    </row>
    <row r="611" spans="4:130" s="223" customFormat="1" x14ac:dyDescent="0.2">
      <c r="D611" s="856"/>
      <c r="E611" s="856"/>
      <c r="F611" s="856"/>
      <c r="G611" s="856"/>
      <c r="H611" s="856"/>
      <c r="I611" s="856"/>
      <c r="J611" s="856"/>
      <c r="K611" s="856"/>
      <c r="L611" s="856"/>
      <c r="M611" s="856"/>
      <c r="N611" s="857"/>
      <c r="O611" s="856"/>
      <c r="P611" s="856"/>
      <c r="Q611" s="858"/>
      <c r="R611" s="858"/>
      <c r="S611" s="876"/>
      <c r="T611" s="856"/>
      <c r="U611" s="856"/>
      <c r="V611" s="856"/>
      <c r="W611" s="856"/>
      <c r="X611" s="856"/>
      <c r="Y611" s="355"/>
      <c r="AB611" s="446"/>
      <c r="AC611" s="446"/>
      <c r="AD611" s="562"/>
      <c r="AE611" s="446"/>
      <c r="AF611" s="446"/>
      <c r="AG611" s="446"/>
      <c r="AH611" s="446"/>
      <c r="AI611" s="446"/>
      <c r="AJ611" s="446"/>
      <c r="AK611" s="446"/>
      <c r="AL611" s="446"/>
      <c r="AM611" s="446"/>
      <c r="AN611" s="446"/>
      <c r="AO611" s="446"/>
      <c r="AP611" s="446"/>
      <c r="AQ611" s="446"/>
      <c r="AR611" s="446"/>
      <c r="AS611" s="446"/>
      <c r="AT611" s="446"/>
      <c r="AU611" s="446"/>
      <c r="AV611" s="446"/>
      <c r="AW611" s="446"/>
      <c r="AX611" s="446"/>
      <c r="AY611" s="446"/>
      <c r="AZ611" s="446"/>
      <c r="BA611" s="446"/>
      <c r="BB611" s="446"/>
      <c r="BC611" s="446"/>
      <c r="BD611" s="446"/>
      <c r="BE611" s="446"/>
      <c r="BF611" s="446"/>
      <c r="BG611" s="446"/>
      <c r="BH611" s="446"/>
      <c r="BI611" s="446"/>
      <c r="BJ611" s="446"/>
      <c r="BK611" s="446"/>
      <c r="BL611" s="446"/>
      <c r="BM611" s="446"/>
      <c r="BN611" s="446"/>
      <c r="BO611" s="446"/>
      <c r="BP611" s="446"/>
      <c r="BQ611" s="446"/>
      <c r="BR611" s="446"/>
      <c r="BS611" s="446"/>
      <c r="BT611" s="446"/>
      <c r="BU611" s="562"/>
      <c r="BV611" s="446"/>
      <c r="BW611" s="446"/>
      <c r="BX611" s="446"/>
      <c r="BY611" s="446"/>
      <c r="BZ611" s="446"/>
      <c r="CA611" s="446"/>
      <c r="CB611" s="446"/>
      <c r="CC611" s="446"/>
      <c r="CD611" s="446"/>
      <c r="CE611" s="446"/>
      <c r="CF611" s="446"/>
      <c r="CG611" s="446"/>
      <c r="CH611" s="446"/>
      <c r="CI611" s="446"/>
      <c r="CJ611" s="446"/>
      <c r="CK611" s="446"/>
      <c r="CL611" s="446"/>
      <c r="CM611" s="446"/>
      <c r="CN611" s="446"/>
      <c r="CO611" s="446"/>
      <c r="CP611" s="446"/>
      <c r="CQ611" s="446"/>
      <c r="CR611" s="446"/>
      <c r="CS611" s="446"/>
      <c r="CT611" s="446"/>
      <c r="CU611" s="446"/>
      <c r="CV611" s="446"/>
      <c r="CW611" s="233"/>
      <c r="CX611" s="446"/>
      <c r="CY611" s="446"/>
      <c r="CZ611" s="446"/>
      <c r="DA611" s="446"/>
      <c r="DB611" s="446"/>
      <c r="DC611" s="446"/>
      <c r="DD611" s="446"/>
      <c r="DE611" s="446"/>
      <c r="DF611" s="446"/>
      <c r="DG611" s="446"/>
      <c r="DH611" s="446"/>
      <c r="DI611" s="446"/>
      <c r="DJ611" s="446"/>
      <c r="DK611" s="446"/>
      <c r="DL611" s="446"/>
      <c r="DM611" s="446"/>
      <c r="DN611" s="446"/>
      <c r="DO611" s="446"/>
      <c r="DP611" s="446"/>
      <c r="DQ611" s="446"/>
      <c r="DR611" s="446"/>
      <c r="DS611" s="446"/>
      <c r="DT611" s="446"/>
      <c r="DU611" s="446"/>
      <c r="DV611" s="446"/>
      <c r="DW611" s="446"/>
      <c r="DX611" s="446"/>
      <c r="DY611" s="446"/>
      <c r="DZ611" s="283"/>
    </row>
    <row r="612" spans="4:130" s="223" customFormat="1" x14ac:dyDescent="0.2">
      <c r="D612" s="856"/>
      <c r="E612" s="856"/>
      <c r="F612" s="856"/>
      <c r="G612" s="856"/>
      <c r="H612" s="856"/>
      <c r="I612" s="856"/>
      <c r="J612" s="856"/>
      <c r="K612" s="856"/>
      <c r="L612" s="856"/>
      <c r="M612" s="856"/>
      <c r="N612" s="857"/>
      <c r="O612" s="856"/>
      <c r="P612" s="856"/>
      <c r="Q612" s="858"/>
      <c r="R612" s="858"/>
      <c r="S612" s="876"/>
      <c r="T612" s="856"/>
      <c r="U612" s="856"/>
      <c r="V612" s="856"/>
      <c r="W612" s="856"/>
      <c r="X612" s="856"/>
      <c r="Y612" s="355"/>
      <c r="AB612" s="446"/>
      <c r="AC612" s="446"/>
      <c r="AD612" s="562"/>
      <c r="AE612" s="446"/>
      <c r="AF612" s="446"/>
      <c r="AG612" s="446"/>
      <c r="AH612" s="446"/>
      <c r="AI612" s="446"/>
      <c r="AJ612" s="446"/>
      <c r="AK612" s="446"/>
      <c r="AL612" s="446"/>
      <c r="AM612" s="446"/>
      <c r="AN612" s="446"/>
      <c r="AO612" s="446"/>
      <c r="AP612" s="446"/>
      <c r="AQ612" s="446"/>
      <c r="AR612" s="446"/>
      <c r="AS612" s="446"/>
      <c r="AT612" s="446"/>
      <c r="AU612" s="446"/>
      <c r="AV612" s="446"/>
      <c r="AW612" s="446"/>
      <c r="AX612" s="446"/>
      <c r="AY612" s="446"/>
      <c r="AZ612" s="446"/>
      <c r="BA612" s="446"/>
      <c r="BB612" s="446"/>
      <c r="BC612" s="446"/>
      <c r="BD612" s="446"/>
      <c r="BE612" s="446"/>
      <c r="BF612" s="446"/>
      <c r="BG612" s="446"/>
      <c r="BH612" s="446"/>
      <c r="BI612" s="446"/>
      <c r="BJ612" s="446"/>
      <c r="BK612" s="446"/>
      <c r="BL612" s="446"/>
      <c r="BM612" s="446"/>
      <c r="BN612" s="446"/>
      <c r="BO612" s="446"/>
      <c r="BP612" s="446"/>
      <c r="BQ612" s="446"/>
      <c r="BR612" s="446"/>
      <c r="BS612" s="446"/>
      <c r="BT612" s="446"/>
      <c r="BU612" s="562"/>
      <c r="BV612" s="446"/>
      <c r="BW612" s="446"/>
      <c r="BX612" s="446"/>
      <c r="BY612" s="446"/>
      <c r="BZ612" s="446"/>
      <c r="CA612" s="446"/>
      <c r="CB612" s="446"/>
      <c r="CC612" s="446"/>
      <c r="CD612" s="446"/>
      <c r="CE612" s="446"/>
      <c r="CF612" s="446"/>
      <c r="CG612" s="446"/>
      <c r="CH612" s="446"/>
      <c r="CI612" s="446"/>
      <c r="CJ612" s="446"/>
      <c r="CK612" s="446"/>
      <c r="CL612" s="446"/>
      <c r="CM612" s="446"/>
      <c r="CN612" s="446"/>
      <c r="CO612" s="446"/>
      <c r="CP612" s="446"/>
      <c r="CQ612" s="446"/>
      <c r="CR612" s="446"/>
      <c r="CS612" s="446"/>
      <c r="CT612" s="446"/>
      <c r="CU612" s="446"/>
      <c r="CV612" s="446"/>
      <c r="CW612" s="233"/>
      <c r="CX612" s="446"/>
      <c r="CY612" s="446"/>
      <c r="CZ612" s="446"/>
      <c r="DA612" s="446"/>
      <c r="DB612" s="446"/>
      <c r="DC612" s="446"/>
      <c r="DD612" s="446"/>
      <c r="DE612" s="446"/>
      <c r="DF612" s="446"/>
      <c r="DG612" s="446"/>
      <c r="DH612" s="446"/>
      <c r="DI612" s="446"/>
      <c r="DJ612" s="446"/>
      <c r="DK612" s="446"/>
      <c r="DL612" s="446"/>
      <c r="DM612" s="446"/>
      <c r="DN612" s="446"/>
      <c r="DO612" s="446"/>
      <c r="DP612" s="446"/>
      <c r="DQ612" s="446"/>
      <c r="DR612" s="446"/>
      <c r="DS612" s="446"/>
      <c r="DT612" s="446"/>
      <c r="DU612" s="446"/>
      <c r="DV612" s="446"/>
      <c r="DW612" s="446"/>
      <c r="DX612" s="446"/>
      <c r="DY612" s="446"/>
      <c r="DZ612" s="283"/>
    </row>
    <row r="613" spans="4:130" s="223" customFormat="1" x14ac:dyDescent="0.2">
      <c r="D613" s="856"/>
      <c r="E613" s="856"/>
      <c r="F613" s="856"/>
      <c r="G613" s="856"/>
      <c r="H613" s="856"/>
      <c r="I613" s="856"/>
      <c r="J613" s="856"/>
      <c r="K613" s="856"/>
      <c r="L613" s="856"/>
      <c r="M613" s="856"/>
      <c r="N613" s="857"/>
      <c r="O613" s="856"/>
      <c r="P613" s="856"/>
      <c r="Q613" s="858"/>
      <c r="R613" s="858"/>
      <c r="S613" s="876"/>
      <c r="T613" s="856"/>
      <c r="U613" s="856"/>
      <c r="V613" s="856"/>
      <c r="W613" s="856"/>
      <c r="X613" s="856"/>
      <c r="Y613" s="355"/>
      <c r="AB613" s="446"/>
      <c r="AC613" s="446"/>
      <c r="AD613" s="562"/>
      <c r="AE613" s="446"/>
      <c r="AF613" s="446"/>
      <c r="AG613" s="446"/>
      <c r="AH613" s="446"/>
      <c r="AI613" s="446"/>
      <c r="AJ613" s="446"/>
      <c r="AK613" s="446"/>
      <c r="AL613" s="446"/>
      <c r="AM613" s="446"/>
      <c r="AN613" s="446"/>
      <c r="AO613" s="446"/>
      <c r="AP613" s="446"/>
      <c r="AQ613" s="446"/>
      <c r="AR613" s="446"/>
      <c r="AS613" s="446"/>
      <c r="AT613" s="446"/>
      <c r="AU613" s="446"/>
      <c r="AV613" s="446"/>
      <c r="AW613" s="446"/>
      <c r="AX613" s="446"/>
      <c r="AY613" s="446"/>
      <c r="AZ613" s="446"/>
      <c r="BA613" s="446"/>
      <c r="BB613" s="446"/>
      <c r="BC613" s="446"/>
      <c r="BD613" s="446"/>
      <c r="BE613" s="446"/>
      <c r="BF613" s="446"/>
      <c r="BG613" s="446"/>
      <c r="BH613" s="446"/>
      <c r="BI613" s="446"/>
      <c r="BJ613" s="446"/>
      <c r="BK613" s="446"/>
      <c r="BL613" s="446"/>
      <c r="BM613" s="446"/>
      <c r="BN613" s="446"/>
      <c r="BO613" s="446"/>
      <c r="BP613" s="446"/>
      <c r="BQ613" s="446"/>
      <c r="BR613" s="446"/>
      <c r="BS613" s="446"/>
      <c r="BT613" s="446"/>
      <c r="BU613" s="562"/>
      <c r="BV613" s="446"/>
      <c r="BW613" s="446"/>
      <c r="BX613" s="446"/>
      <c r="BY613" s="446"/>
      <c r="BZ613" s="446"/>
      <c r="CA613" s="446"/>
      <c r="CB613" s="446"/>
      <c r="CC613" s="446"/>
      <c r="CD613" s="446"/>
      <c r="CE613" s="446"/>
      <c r="CF613" s="446"/>
      <c r="CG613" s="446"/>
      <c r="CH613" s="446"/>
      <c r="CI613" s="446"/>
      <c r="CJ613" s="446"/>
      <c r="CK613" s="446"/>
      <c r="CL613" s="446"/>
      <c r="CM613" s="446"/>
      <c r="CN613" s="446"/>
      <c r="CO613" s="446"/>
      <c r="CP613" s="446"/>
      <c r="CQ613" s="446"/>
      <c r="CR613" s="446"/>
      <c r="CS613" s="446"/>
      <c r="CT613" s="446"/>
      <c r="CU613" s="446"/>
      <c r="CV613" s="446"/>
      <c r="CW613" s="233"/>
      <c r="CX613" s="446"/>
      <c r="CY613" s="446"/>
      <c r="CZ613" s="446"/>
      <c r="DA613" s="446"/>
      <c r="DB613" s="446"/>
      <c r="DC613" s="446"/>
      <c r="DD613" s="446"/>
      <c r="DE613" s="446"/>
      <c r="DF613" s="446"/>
      <c r="DG613" s="446"/>
      <c r="DH613" s="446"/>
      <c r="DI613" s="446"/>
      <c r="DJ613" s="446"/>
      <c r="DK613" s="446"/>
      <c r="DL613" s="446"/>
      <c r="DM613" s="446"/>
      <c r="DN613" s="446"/>
      <c r="DO613" s="446"/>
      <c r="DP613" s="446"/>
      <c r="DQ613" s="446"/>
      <c r="DR613" s="446"/>
      <c r="DS613" s="446"/>
      <c r="DT613" s="446"/>
      <c r="DU613" s="446"/>
      <c r="DV613" s="446"/>
      <c r="DW613" s="446"/>
      <c r="DX613" s="446"/>
      <c r="DY613" s="446"/>
      <c r="DZ613" s="283"/>
    </row>
    <row r="614" spans="4:130" s="223" customFormat="1" x14ac:dyDescent="0.2">
      <c r="D614" s="856"/>
      <c r="E614" s="856"/>
      <c r="F614" s="856"/>
      <c r="G614" s="856"/>
      <c r="H614" s="856"/>
      <c r="I614" s="856"/>
      <c r="J614" s="856"/>
      <c r="K614" s="856"/>
      <c r="L614" s="856"/>
      <c r="M614" s="856"/>
      <c r="N614" s="857"/>
      <c r="O614" s="856"/>
      <c r="P614" s="856"/>
      <c r="Q614" s="858"/>
      <c r="R614" s="858"/>
      <c r="S614" s="876"/>
      <c r="T614" s="856"/>
      <c r="U614" s="856"/>
      <c r="V614" s="856"/>
      <c r="W614" s="856"/>
      <c r="X614" s="856"/>
      <c r="Y614" s="355"/>
      <c r="AB614" s="446"/>
      <c r="AC614" s="446"/>
      <c r="AD614" s="562"/>
      <c r="AE614" s="446"/>
      <c r="AF614" s="446"/>
      <c r="AG614" s="446"/>
      <c r="AH614" s="446"/>
      <c r="AI614" s="446"/>
      <c r="AJ614" s="446"/>
      <c r="AK614" s="446"/>
      <c r="AL614" s="446"/>
      <c r="AM614" s="446"/>
      <c r="AN614" s="446"/>
      <c r="AO614" s="446"/>
      <c r="AP614" s="446"/>
      <c r="AQ614" s="446"/>
      <c r="AR614" s="446"/>
      <c r="AS614" s="446"/>
      <c r="AT614" s="446"/>
      <c r="AU614" s="446"/>
      <c r="AV614" s="446"/>
      <c r="AW614" s="446"/>
      <c r="AX614" s="446"/>
      <c r="AY614" s="446"/>
      <c r="AZ614" s="446"/>
      <c r="BA614" s="446"/>
      <c r="BB614" s="446"/>
      <c r="BC614" s="446"/>
      <c r="BD614" s="446"/>
      <c r="BE614" s="446"/>
      <c r="BF614" s="446"/>
      <c r="BG614" s="446"/>
      <c r="BH614" s="446"/>
      <c r="BI614" s="446"/>
      <c r="BJ614" s="446"/>
      <c r="BK614" s="446"/>
      <c r="BL614" s="446"/>
      <c r="BM614" s="446"/>
      <c r="BN614" s="446"/>
      <c r="BO614" s="446"/>
      <c r="BP614" s="446"/>
      <c r="BQ614" s="446"/>
      <c r="BR614" s="446"/>
      <c r="BS614" s="446"/>
      <c r="BT614" s="446"/>
      <c r="BU614" s="562"/>
      <c r="BV614" s="446"/>
      <c r="BW614" s="446"/>
      <c r="BX614" s="446"/>
      <c r="BY614" s="446"/>
      <c r="BZ614" s="446"/>
      <c r="CA614" s="446"/>
      <c r="CB614" s="446"/>
      <c r="CC614" s="446"/>
      <c r="CD614" s="446"/>
      <c r="CE614" s="446"/>
      <c r="CF614" s="446"/>
      <c r="CG614" s="446"/>
      <c r="CH614" s="446"/>
      <c r="CI614" s="446"/>
      <c r="CJ614" s="446"/>
      <c r="CK614" s="446"/>
      <c r="CL614" s="446"/>
      <c r="CM614" s="446"/>
      <c r="CN614" s="446"/>
      <c r="CO614" s="446"/>
      <c r="CP614" s="446"/>
      <c r="CQ614" s="446"/>
      <c r="CR614" s="446"/>
      <c r="CS614" s="446"/>
      <c r="CT614" s="446"/>
      <c r="CU614" s="446"/>
      <c r="CV614" s="446"/>
      <c r="CW614" s="233"/>
      <c r="CX614" s="446"/>
      <c r="CY614" s="446"/>
      <c r="CZ614" s="446"/>
      <c r="DA614" s="446"/>
      <c r="DB614" s="446"/>
      <c r="DC614" s="446"/>
      <c r="DD614" s="446"/>
      <c r="DE614" s="446"/>
      <c r="DF614" s="446"/>
      <c r="DG614" s="446"/>
      <c r="DH614" s="446"/>
      <c r="DI614" s="446"/>
      <c r="DJ614" s="446"/>
      <c r="DK614" s="446"/>
      <c r="DL614" s="446"/>
      <c r="DM614" s="446"/>
      <c r="DN614" s="446"/>
      <c r="DO614" s="446"/>
      <c r="DP614" s="446"/>
      <c r="DQ614" s="446"/>
      <c r="DR614" s="446"/>
      <c r="DS614" s="446"/>
      <c r="DT614" s="446"/>
      <c r="DU614" s="446"/>
      <c r="DV614" s="446"/>
      <c r="DW614" s="446"/>
      <c r="DX614" s="446"/>
      <c r="DY614" s="446"/>
      <c r="DZ614" s="283"/>
    </row>
    <row r="615" spans="4:130" s="223" customFormat="1" x14ac:dyDescent="0.2">
      <c r="D615" s="856"/>
      <c r="E615" s="856"/>
      <c r="F615" s="856"/>
      <c r="G615" s="856"/>
      <c r="H615" s="856"/>
      <c r="I615" s="856"/>
      <c r="J615" s="856"/>
      <c r="K615" s="856"/>
      <c r="L615" s="856"/>
      <c r="M615" s="856"/>
      <c r="N615" s="857"/>
      <c r="O615" s="856"/>
      <c r="P615" s="856"/>
      <c r="Q615" s="858"/>
      <c r="R615" s="858"/>
      <c r="S615" s="876"/>
      <c r="T615" s="856"/>
      <c r="U615" s="856"/>
      <c r="V615" s="856"/>
      <c r="W615" s="856"/>
      <c r="X615" s="856"/>
      <c r="Y615" s="355"/>
      <c r="AB615" s="446"/>
      <c r="AC615" s="446"/>
      <c r="AD615" s="562"/>
      <c r="AE615" s="446"/>
      <c r="AF615" s="446"/>
      <c r="AG615" s="446"/>
      <c r="AH615" s="446"/>
      <c r="AI615" s="446"/>
      <c r="AJ615" s="446"/>
      <c r="AK615" s="446"/>
      <c r="AL615" s="446"/>
      <c r="AM615" s="446"/>
      <c r="AN615" s="446"/>
      <c r="AO615" s="446"/>
      <c r="AP615" s="446"/>
      <c r="AQ615" s="446"/>
      <c r="AR615" s="446"/>
      <c r="AS615" s="446"/>
      <c r="AT615" s="446"/>
      <c r="AU615" s="446"/>
      <c r="AV615" s="446"/>
      <c r="AW615" s="446"/>
      <c r="AX615" s="446"/>
      <c r="AY615" s="446"/>
      <c r="AZ615" s="446"/>
      <c r="BA615" s="446"/>
      <c r="BB615" s="446"/>
      <c r="BC615" s="446"/>
      <c r="BD615" s="446"/>
      <c r="BE615" s="446"/>
      <c r="BF615" s="446"/>
      <c r="BG615" s="446"/>
      <c r="BH615" s="446"/>
      <c r="BI615" s="446"/>
      <c r="BJ615" s="446"/>
      <c r="BK615" s="446"/>
      <c r="BL615" s="446"/>
      <c r="BM615" s="446"/>
      <c r="BN615" s="446"/>
      <c r="BO615" s="446"/>
      <c r="BP615" s="446"/>
      <c r="BQ615" s="446"/>
      <c r="BR615" s="446"/>
      <c r="BS615" s="446"/>
      <c r="BT615" s="446"/>
      <c r="BU615" s="562"/>
      <c r="BV615" s="446"/>
      <c r="BW615" s="446"/>
      <c r="BX615" s="446"/>
      <c r="BY615" s="446"/>
      <c r="BZ615" s="446"/>
      <c r="CA615" s="446"/>
      <c r="CB615" s="446"/>
      <c r="CC615" s="446"/>
      <c r="CD615" s="446"/>
      <c r="CE615" s="446"/>
      <c r="CF615" s="446"/>
      <c r="CG615" s="446"/>
      <c r="CH615" s="446"/>
      <c r="CI615" s="446"/>
      <c r="CJ615" s="446"/>
      <c r="CK615" s="446"/>
      <c r="CL615" s="446"/>
      <c r="CM615" s="446"/>
      <c r="CN615" s="446"/>
      <c r="CO615" s="446"/>
      <c r="CP615" s="446"/>
      <c r="CQ615" s="446"/>
      <c r="CR615" s="446"/>
      <c r="CS615" s="446"/>
      <c r="CT615" s="446"/>
      <c r="CU615" s="446"/>
      <c r="CV615" s="446"/>
      <c r="CW615" s="233"/>
      <c r="CX615" s="446"/>
      <c r="CY615" s="446"/>
      <c r="CZ615" s="446"/>
      <c r="DA615" s="446"/>
      <c r="DB615" s="446"/>
      <c r="DC615" s="446"/>
      <c r="DD615" s="446"/>
      <c r="DE615" s="446"/>
      <c r="DF615" s="446"/>
      <c r="DG615" s="446"/>
      <c r="DH615" s="446"/>
      <c r="DI615" s="446"/>
      <c r="DJ615" s="446"/>
      <c r="DK615" s="446"/>
      <c r="DL615" s="446"/>
      <c r="DM615" s="446"/>
      <c r="DN615" s="446"/>
      <c r="DO615" s="446"/>
      <c r="DP615" s="446"/>
      <c r="DQ615" s="446"/>
      <c r="DR615" s="446"/>
      <c r="DS615" s="446"/>
      <c r="DT615" s="446"/>
      <c r="DU615" s="446"/>
      <c r="DV615" s="446"/>
      <c r="DW615" s="446"/>
      <c r="DX615" s="446"/>
      <c r="DY615" s="446"/>
      <c r="DZ615" s="283"/>
    </row>
    <row r="616" spans="4:130" s="223" customFormat="1" x14ac:dyDescent="0.2">
      <c r="D616" s="856"/>
      <c r="E616" s="856"/>
      <c r="F616" s="856"/>
      <c r="G616" s="856"/>
      <c r="H616" s="856"/>
      <c r="I616" s="856"/>
      <c r="J616" s="856"/>
      <c r="K616" s="856"/>
      <c r="L616" s="856"/>
      <c r="M616" s="856"/>
      <c r="N616" s="857"/>
      <c r="O616" s="856"/>
      <c r="P616" s="856"/>
      <c r="Q616" s="858"/>
      <c r="R616" s="858"/>
      <c r="S616" s="876"/>
      <c r="T616" s="856"/>
      <c r="U616" s="856"/>
      <c r="V616" s="856"/>
      <c r="W616" s="856"/>
      <c r="X616" s="856"/>
      <c r="Y616" s="355"/>
      <c r="AB616" s="446"/>
      <c r="AC616" s="446"/>
      <c r="AD616" s="562"/>
      <c r="AE616" s="446"/>
      <c r="AF616" s="446"/>
      <c r="AG616" s="446"/>
      <c r="AH616" s="446"/>
      <c r="AI616" s="446"/>
      <c r="AJ616" s="446"/>
      <c r="AK616" s="446"/>
      <c r="AL616" s="446"/>
      <c r="AM616" s="446"/>
      <c r="AN616" s="446"/>
      <c r="AO616" s="446"/>
      <c r="AP616" s="446"/>
      <c r="AQ616" s="446"/>
      <c r="AR616" s="446"/>
      <c r="AS616" s="446"/>
      <c r="AT616" s="446"/>
      <c r="AU616" s="446"/>
      <c r="AV616" s="446"/>
      <c r="AW616" s="446"/>
      <c r="AX616" s="446"/>
      <c r="AY616" s="446"/>
      <c r="AZ616" s="446"/>
      <c r="BA616" s="446"/>
      <c r="BB616" s="446"/>
      <c r="BC616" s="446"/>
      <c r="BD616" s="446"/>
      <c r="BE616" s="446"/>
      <c r="BF616" s="446"/>
      <c r="BG616" s="446"/>
      <c r="BH616" s="446"/>
      <c r="BI616" s="446"/>
      <c r="BJ616" s="446"/>
      <c r="BK616" s="446"/>
      <c r="BL616" s="446"/>
      <c r="BM616" s="446"/>
      <c r="BN616" s="446"/>
      <c r="BO616" s="446"/>
      <c r="BP616" s="446"/>
      <c r="BQ616" s="446"/>
      <c r="BR616" s="446"/>
      <c r="BS616" s="446"/>
      <c r="BT616" s="446"/>
      <c r="BU616" s="562"/>
      <c r="BV616" s="446"/>
      <c r="BW616" s="446"/>
      <c r="BX616" s="446"/>
      <c r="BY616" s="446"/>
      <c r="BZ616" s="446"/>
      <c r="CA616" s="446"/>
      <c r="CB616" s="446"/>
      <c r="CC616" s="446"/>
      <c r="CD616" s="446"/>
      <c r="CE616" s="446"/>
      <c r="CF616" s="446"/>
      <c r="CG616" s="446"/>
      <c r="CH616" s="446"/>
      <c r="CI616" s="446"/>
      <c r="CJ616" s="446"/>
      <c r="CK616" s="446"/>
      <c r="CL616" s="446"/>
      <c r="CM616" s="446"/>
      <c r="CN616" s="446"/>
      <c r="CO616" s="446"/>
      <c r="CP616" s="446"/>
      <c r="CQ616" s="446"/>
      <c r="CR616" s="446"/>
      <c r="CS616" s="446"/>
      <c r="CT616" s="446"/>
      <c r="CU616" s="446"/>
      <c r="CV616" s="446"/>
      <c r="CW616" s="233"/>
      <c r="CX616" s="446"/>
      <c r="CY616" s="446"/>
      <c r="CZ616" s="446"/>
      <c r="DA616" s="446"/>
      <c r="DB616" s="446"/>
      <c r="DC616" s="446"/>
      <c r="DD616" s="446"/>
      <c r="DE616" s="446"/>
      <c r="DF616" s="446"/>
      <c r="DG616" s="446"/>
      <c r="DH616" s="446"/>
      <c r="DI616" s="446"/>
      <c r="DJ616" s="446"/>
      <c r="DK616" s="446"/>
      <c r="DL616" s="446"/>
      <c r="DM616" s="446"/>
      <c r="DN616" s="446"/>
      <c r="DO616" s="446"/>
      <c r="DP616" s="446"/>
      <c r="DQ616" s="446"/>
      <c r="DR616" s="446"/>
      <c r="DS616" s="446"/>
      <c r="DT616" s="446"/>
      <c r="DU616" s="446"/>
      <c r="DV616" s="446"/>
      <c r="DW616" s="446"/>
      <c r="DX616" s="446"/>
      <c r="DY616" s="446"/>
      <c r="DZ616" s="283"/>
    </row>
    <row r="617" spans="4:130" s="223" customFormat="1" x14ac:dyDescent="0.2">
      <c r="D617" s="856"/>
      <c r="E617" s="856"/>
      <c r="F617" s="856"/>
      <c r="G617" s="856"/>
      <c r="H617" s="856"/>
      <c r="I617" s="856"/>
      <c r="J617" s="856"/>
      <c r="K617" s="856"/>
      <c r="L617" s="856"/>
      <c r="M617" s="856"/>
      <c r="N617" s="857"/>
      <c r="O617" s="856"/>
      <c r="P617" s="856"/>
      <c r="Q617" s="858"/>
      <c r="R617" s="858"/>
      <c r="S617" s="876"/>
      <c r="T617" s="856"/>
      <c r="U617" s="856"/>
      <c r="V617" s="856"/>
      <c r="W617" s="856"/>
      <c r="X617" s="856"/>
      <c r="Y617" s="355"/>
      <c r="AB617" s="446"/>
      <c r="AC617" s="446"/>
      <c r="AD617" s="562"/>
      <c r="AE617" s="446"/>
      <c r="AF617" s="446"/>
      <c r="AG617" s="446"/>
      <c r="AH617" s="446"/>
      <c r="AI617" s="446"/>
      <c r="AJ617" s="446"/>
      <c r="AK617" s="446"/>
      <c r="AL617" s="446"/>
      <c r="AM617" s="446"/>
      <c r="AN617" s="446"/>
      <c r="AO617" s="446"/>
      <c r="AP617" s="446"/>
      <c r="AQ617" s="446"/>
      <c r="AR617" s="446"/>
      <c r="AS617" s="446"/>
      <c r="AT617" s="446"/>
      <c r="AU617" s="446"/>
      <c r="AV617" s="446"/>
      <c r="AW617" s="446"/>
      <c r="AX617" s="446"/>
      <c r="AY617" s="446"/>
      <c r="AZ617" s="446"/>
      <c r="BA617" s="446"/>
      <c r="BB617" s="446"/>
      <c r="BC617" s="446"/>
      <c r="BD617" s="446"/>
      <c r="BE617" s="446"/>
      <c r="BF617" s="446"/>
      <c r="BG617" s="446"/>
      <c r="BH617" s="446"/>
      <c r="BI617" s="446"/>
      <c r="BJ617" s="446"/>
      <c r="BK617" s="446"/>
      <c r="BL617" s="446"/>
      <c r="BM617" s="446"/>
      <c r="BN617" s="446"/>
      <c r="BO617" s="446"/>
      <c r="BP617" s="446"/>
      <c r="BQ617" s="446"/>
      <c r="BR617" s="446"/>
      <c r="BS617" s="446"/>
      <c r="BT617" s="446"/>
      <c r="BU617" s="562"/>
      <c r="BV617" s="446"/>
      <c r="BW617" s="446"/>
      <c r="BX617" s="446"/>
      <c r="BY617" s="446"/>
      <c r="BZ617" s="446"/>
      <c r="CA617" s="446"/>
      <c r="CB617" s="446"/>
      <c r="CC617" s="446"/>
      <c r="CD617" s="446"/>
      <c r="CE617" s="446"/>
      <c r="CF617" s="446"/>
      <c r="CG617" s="446"/>
      <c r="CH617" s="446"/>
      <c r="CI617" s="446"/>
      <c r="CJ617" s="446"/>
      <c r="CK617" s="446"/>
      <c r="CL617" s="446"/>
      <c r="CM617" s="446"/>
      <c r="CN617" s="446"/>
      <c r="CO617" s="446"/>
      <c r="CP617" s="446"/>
      <c r="CQ617" s="446"/>
      <c r="CR617" s="446"/>
      <c r="CS617" s="446"/>
      <c r="CT617" s="446"/>
      <c r="CU617" s="446"/>
      <c r="CV617" s="446"/>
      <c r="CW617" s="233"/>
      <c r="CX617" s="446"/>
      <c r="CY617" s="446"/>
      <c r="CZ617" s="446"/>
      <c r="DA617" s="446"/>
      <c r="DB617" s="446"/>
      <c r="DC617" s="446"/>
      <c r="DD617" s="446"/>
      <c r="DE617" s="446"/>
      <c r="DF617" s="446"/>
      <c r="DG617" s="446"/>
      <c r="DH617" s="446"/>
      <c r="DI617" s="446"/>
      <c r="DJ617" s="446"/>
      <c r="DK617" s="446"/>
      <c r="DL617" s="446"/>
      <c r="DM617" s="446"/>
      <c r="DN617" s="446"/>
      <c r="DO617" s="446"/>
      <c r="DP617" s="446"/>
      <c r="DQ617" s="446"/>
      <c r="DR617" s="446"/>
      <c r="DS617" s="446"/>
      <c r="DT617" s="446"/>
      <c r="DU617" s="446"/>
      <c r="DV617" s="446"/>
      <c r="DW617" s="446"/>
      <c r="DX617" s="446"/>
      <c r="DY617" s="446"/>
      <c r="DZ617" s="283"/>
    </row>
    <row r="618" spans="4:130" s="223" customFormat="1" x14ac:dyDescent="0.2">
      <c r="D618" s="856"/>
      <c r="E618" s="856"/>
      <c r="F618" s="856"/>
      <c r="G618" s="856"/>
      <c r="H618" s="856"/>
      <c r="I618" s="856"/>
      <c r="J618" s="856"/>
      <c r="K618" s="856"/>
      <c r="L618" s="856"/>
      <c r="M618" s="856"/>
      <c r="N618" s="857"/>
      <c r="O618" s="856"/>
      <c r="P618" s="856"/>
      <c r="Q618" s="858"/>
      <c r="R618" s="858"/>
      <c r="S618" s="876"/>
      <c r="T618" s="856"/>
      <c r="U618" s="856"/>
      <c r="V618" s="856"/>
      <c r="W618" s="856"/>
      <c r="X618" s="856"/>
      <c r="Y618" s="355"/>
      <c r="AB618" s="446"/>
      <c r="AC618" s="446"/>
      <c r="AD618" s="562"/>
      <c r="AE618" s="446"/>
      <c r="AF618" s="446"/>
      <c r="AG618" s="446"/>
      <c r="AH618" s="446"/>
      <c r="AI618" s="446"/>
      <c r="AJ618" s="446"/>
      <c r="AK618" s="446"/>
      <c r="AL618" s="446"/>
      <c r="AM618" s="446"/>
      <c r="AN618" s="446"/>
      <c r="AO618" s="446"/>
      <c r="AP618" s="446"/>
      <c r="AQ618" s="446"/>
      <c r="AR618" s="446"/>
      <c r="AS618" s="446"/>
      <c r="AT618" s="446"/>
      <c r="AU618" s="446"/>
      <c r="AV618" s="446"/>
      <c r="AW618" s="446"/>
      <c r="AX618" s="446"/>
      <c r="AY618" s="446"/>
      <c r="AZ618" s="446"/>
      <c r="BA618" s="446"/>
      <c r="BB618" s="446"/>
      <c r="BC618" s="446"/>
      <c r="BD618" s="446"/>
      <c r="BE618" s="446"/>
      <c r="BF618" s="446"/>
      <c r="BG618" s="446"/>
      <c r="BH618" s="446"/>
      <c r="BI618" s="446"/>
      <c r="BJ618" s="446"/>
      <c r="BK618" s="446"/>
      <c r="BL618" s="446"/>
      <c r="BM618" s="446"/>
      <c r="BN618" s="446"/>
      <c r="BO618" s="446"/>
      <c r="BP618" s="446"/>
      <c r="BQ618" s="446"/>
      <c r="BR618" s="446"/>
      <c r="BS618" s="446"/>
      <c r="BT618" s="446"/>
      <c r="BU618" s="562"/>
      <c r="BV618" s="446"/>
      <c r="BW618" s="446"/>
      <c r="BX618" s="446"/>
      <c r="BY618" s="446"/>
      <c r="BZ618" s="446"/>
      <c r="CA618" s="446"/>
      <c r="CB618" s="446"/>
      <c r="CC618" s="446"/>
      <c r="CD618" s="446"/>
      <c r="CE618" s="446"/>
      <c r="CF618" s="446"/>
      <c r="CG618" s="446"/>
      <c r="CH618" s="446"/>
      <c r="CI618" s="446"/>
      <c r="CJ618" s="446"/>
      <c r="CK618" s="446"/>
      <c r="CL618" s="446"/>
      <c r="CM618" s="446"/>
      <c r="CN618" s="446"/>
      <c r="CO618" s="446"/>
      <c r="CP618" s="446"/>
      <c r="CQ618" s="446"/>
      <c r="CR618" s="446"/>
      <c r="CS618" s="446"/>
      <c r="CT618" s="446"/>
      <c r="CU618" s="446"/>
      <c r="CV618" s="446"/>
      <c r="CW618" s="233"/>
      <c r="CX618" s="446"/>
      <c r="CY618" s="446"/>
      <c r="CZ618" s="446"/>
      <c r="DA618" s="446"/>
      <c r="DB618" s="446"/>
      <c r="DC618" s="446"/>
      <c r="DD618" s="446"/>
      <c r="DE618" s="446"/>
      <c r="DF618" s="446"/>
      <c r="DG618" s="446"/>
      <c r="DH618" s="446"/>
      <c r="DI618" s="446"/>
      <c r="DJ618" s="446"/>
      <c r="DK618" s="446"/>
      <c r="DL618" s="446"/>
      <c r="DM618" s="446"/>
      <c r="DN618" s="446"/>
      <c r="DO618" s="446"/>
      <c r="DP618" s="446"/>
      <c r="DQ618" s="446"/>
      <c r="DR618" s="446"/>
      <c r="DS618" s="446"/>
      <c r="DT618" s="446"/>
      <c r="DU618" s="446"/>
      <c r="DV618" s="446"/>
      <c r="DW618" s="446"/>
      <c r="DX618" s="446"/>
      <c r="DY618" s="446"/>
      <c r="DZ618" s="283"/>
    </row>
    <row r="619" spans="4:130" s="223" customFormat="1" x14ac:dyDescent="0.2">
      <c r="D619" s="856"/>
      <c r="E619" s="856"/>
      <c r="F619" s="856"/>
      <c r="G619" s="856"/>
      <c r="H619" s="856"/>
      <c r="I619" s="856"/>
      <c r="J619" s="856"/>
      <c r="K619" s="856"/>
      <c r="L619" s="856"/>
      <c r="M619" s="856"/>
      <c r="N619" s="857"/>
      <c r="O619" s="856"/>
      <c r="P619" s="856"/>
      <c r="Q619" s="858"/>
      <c r="R619" s="858"/>
      <c r="S619" s="876"/>
      <c r="T619" s="856"/>
      <c r="U619" s="856"/>
      <c r="V619" s="856"/>
      <c r="W619" s="856"/>
      <c r="X619" s="856"/>
      <c r="Y619" s="355"/>
      <c r="AB619" s="446"/>
      <c r="AC619" s="446"/>
      <c r="AD619" s="562"/>
      <c r="AE619" s="446"/>
      <c r="AF619" s="446"/>
      <c r="AG619" s="446"/>
      <c r="AH619" s="446"/>
      <c r="AI619" s="446"/>
      <c r="AJ619" s="446"/>
      <c r="AK619" s="446"/>
      <c r="AL619" s="446"/>
      <c r="AM619" s="446"/>
      <c r="AN619" s="446"/>
      <c r="AO619" s="446"/>
      <c r="AP619" s="446"/>
      <c r="AQ619" s="446"/>
      <c r="AR619" s="446"/>
      <c r="AS619" s="446"/>
      <c r="AT619" s="446"/>
      <c r="AU619" s="446"/>
      <c r="AV619" s="446"/>
      <c r="AW619" s="446"/>
      <c r="AX619" s="446"/>
      <c r="AY619" s="446"/>
      <c r="AZ619" s="446"/>
      <c r="BA619" s="446"/>
      <c r="BB619" s="446"/>
      <c r="BC619" s="446"/>
      <c r="BD619" s="446"/>
      <c r="BE619" s="446"/>
      <c r="BF619" s="446"/>
      <c r="BG619" s="446"/>
      <c r="BH619" s="446"/>
      <c r="BI619" s="446"/>
      <c r="BJ619" s="446"/>
      <c r="BK619" s="446"/>
      <c r="BL619" s="446"/>
      <c r="BM619" s="446"/>
      <c r="BN619" s="446"/>
      <c r="BO619" s="446"/>
      <c r="BP619" s="446"/>
      <c r="BQ619" s="446"/>
      <c r="BR619" s="446"/>
      <c r="BS619" s="446"/>
      <c r="BT619" s="446"/>
      <c r="BU619" s="562"/>
      <c r="BV619" s="446"/>
      <c r="BW619" s="446"/>
      <c r="BX619" s="446"/>
      <c r="BY619" s="446"/>
      <c r="BZ619" s="446"/>
      <c r="CA619" s="446"/>
      <c r="CB619" s="446"/>
      <c r="CC619" s="446"/>
      <c r="CD619" s="446"/>
      <c r="CE619" s="446"/>
      <c r="CF619" s="446"/>
      <c r="CG619" s="446"/>
      <c r="CH619" s="446"/>
      <c r="CI619" s="446"/>
      <c r="CJ619" s="446"/>
      <c r="CK619" s="446"/>
      <c r="CL619" s="446"/>
      <c r="CM619" s="446"/>
      <c r="CN619" s="446"/>
      <c r="CO619" s="446"/>
      <c r="CP619" s="446"/>
      <c r="CQ619" s="446"/>
      <c r="CR619" s="446"/>
      <c r="CS619" s="446"/>
      <c r="CT619" s="446"/>
      <c r="CU619" s="446"/>
      <c r="CV619" s="446"/>
      <c r="CW619" s="233"/>
      <c r="CX619" s="446"/>
      <c r="CY619" s="446"/>
      <c r="CZ619" s="446"/>
      <c r="DA619" s="446"/>
      <c r="DB619" s="446"/>
      <c r="DC619" s="446"/>
      <c r="DD619" s="446"/>
      <c r="DE619" s="446"/>
      <c r="DF619" s="446"/>
      <c r="DG619" s="446"/>
      <c r="DH619" s="446"/>
      <c r="DI619" s="446"/>
      <c r="DJ619" s="446"/>
      <c r="DK619" s="446"/>
      <c r="DL619" s="446"/>
      <c r="DM619" s="446"/>
      <c r="DN619" s="446"/>
      <c r="DO619" s="446"/>
      <c r="DP619" s="446"/>
      <c r="DQ619" s="446"/>
      <c r="DR619" s="446"/>
      <c r="DS619" s="446"/>
      <c r="DT619" s="446"/>
      <c r="DU619" s="446"/>
      <c r="DV619" s="446"/>
      <c r="DW619" s="446"/>
      <c r="DX619" s="446"/>
      <c r="DY619" s="446"/>
      <c r="DZ619" s="283"/>
    </row>
    <row r="620" spans="4:130" s="223" customFormat="1" x14ac:dyDescent="0.2">
      <c r="D620" s="856"/>
      <c r="E620" s="856"/>
      <c r="F620" s="856"/>
      <c r="G620" s="856"/>
      <c r="H620" s="856"/>
      <c r="I620" s="856"/>
      <c r="J620" s="856"/>
      <c r="K620" s="856"/>
      <c r="L620" s="856"/>
      <c r="M620" s="856"/>
      <c r="N620" s="857"/>
      <c r="O620" s="856"/>
      <c r="P620" s="856"/>
      <c r="Q620" s="858"/>
      <c r="R620" s="858"/>
      <c r="S620" s="876"/>
      <c r="T620" s="856"/>
      <c r="U620" s="856"/>
      <c r="V620" s="856"/>
      <c r="W620" s="856"/>
      <c r="X620" s="856"/>
      <c r="Y620" s="355"/>
      <c r="AB620" s="446"/>
      <c r="AC620" s="446"/>
      <c r="AD620" s="562"/>
      <c r="AE620" s="446"/>
      <c r="AF620" s="446"/>
      <c r="AG620" s="446"/>
      <c r="AH620" s="446"/>
      <c r="AI620" s="446"/>
      <c r="AJ620" s="446"/>
      <c r="AK620" s="446"/>
      <c r="AL620" s="446"/>
      <c r="AM620" s="446"/>
      <c r="AN620" s="446"/>
      <c r="AO620" s="446"/>
      <c r="AP620" s="446"/>
      <c r="AQ620" s="446"/>
      <c r="AR620" s="446"/>
      <c r="AS620" s="446"/>
      <c r="AT620" s="446"/>
      <c r="AU620" s="446"/>
      <c r="AV620" s="446"/>
      <c r="AW620" s="446"/>
      <c r="AX620" s="446"/>
      <c r="AY620" s="446"/>
      <c r="AZ620" s="446"/>
      <c r="BA620" s="446"/>
      <c r="BB620" s="446"/>
      <c r="BC620" s="446"/>
      <c r="BD620" s="446"/>
      <c r="BE620" s="446"/>
      <c r="BF620" s="446"/>
      <c r="BG620" s="446"/>
      <c r="BH620" s="446"/>
      <c r="BI620" s="446"/>
      <c r="BJ620" s="446"/>
      <c r="BK620" s="446"/>
      <c r="BL620" s="446"/>
      <c r="BM620" s="446"/>
      <c r="BN620" s="446"/>
      <c r="BO620" s="446"/>
      <c r="BP620" s="446"/>
      <c r="BQ620" s="446"/>
      <c r="BR620" s="446"/>
      <c r="BS620" s="446"/>
      <c r="BT620" s="446"/>
      <c r="BU620" s="562"/>
      <c r="BV620" s="446"/>
      <c r="BW620" s="446"/>
      <c r="BX620" s="446"/>
      <c r="BY620" s="446"/>
      <c r="BZ620" s="446"/>
      <c r="CA620" s="446"/>
      <c r="CB620" s="446"/>
      <c r="CC620" s="446"/>
      <c r="CD620" s="446"/>
      <c r="CE620" s="446"/>
      <c r="CF620" s="446"/>
      <c r="CG620" s="446"/>
      <c r="CH620" s="446"/>
      <c r="CI620" s="446"/>
      <c r="CJ620" s="446"/>
      <c r="CK620" s="446"/>
      <c r="CL620" s="446"/>
      <c r="CM620" s="446"/>
      <c r="CN620" s="446"/>
      <c r="CO620" s="446"/>
      <c r="CP620" s="446"/>
      <c r="CQ620" s="446"/>
      <c r="CR620" s="446"/>
      <c r="CS620" s="446"/>
      <c r="CT620" s="446"/>
      <c r="CU620" s="446"/>
      <c r="CV620" s="446"/>
      <c r="CW620" s="233"/>
      <c r="CX620" s="446"/>
      <c r="CY620" s="446"/>
      <c r="CZ620" s="446"/>
      <c r="DA620" s="446"/>
      <c r="DB620" s="446"/>
      <c r="DC620" s="446"/>
      <c r="DD620" s="446"/>
      <c r="DE620" s="446"/>
      <c r="DF620" s="446"/>
      <c r="DG620" s="446"/>
      <c r="DH620" s="446"/>
      <c r="DI620" s="446"/>
      <c r="DJ620" s="446"/>
      <c r="DK620" s="446"/>
      <c r="DL620" s="446"/>
      <c r="DM620" s="446"/>
      <c r="DN620" s="446"/>
      <c r="DO620" s="446"/>
      <c r="DP620" s="446"/>
      <c r="DQ620" s="446"/>
      <c r="DR620" s="446"/>
      <c r="DS620" s="446"/>
      <c r="DT620" s="446"/>
      <c r="DU620" s="446"/>
      <c r="DV620" s="446"/>
      <c r="DW620" s="446"/>
      <c r="DX620" s="446"/>
      <c r="DY620" s="446"/>
      <c r="DZ620" s="283"/>
    </row>
    <row r="621" spans="4:130" s="223" customFormat="1" x14ac:dyDescent="0.2">
      <c r="D621" s="856"/>
      <c r="E621" s="856"/>
      <c r="F621" s="856"/>
      <c r="G621" s="856"/>
      <c r="H621" s="856"/>
      <c r="I621" s="856"/>
      <c r="J621" s="856"/>
      <c r="K621" s="856"/>
      <c r="L621" s="856"/>
      <c r="M621" s="856"/>
      <c r="N621" s="857"/>
      <c r="O621" s="856"/>
      <c r="P621" s="856"/>
      <c r="Q621" s="858"/>
      <c r="R621" s="858"/>
      <c r="S621" s="876"/>
      <c r="T621" s="856"/>
      <c r="U621" s="856"/>
      <c r="V621" s="856"/>
      <c r="W621" s="856"/>
      <c r="X621" s="856"/>
      <c r="Y621" s="355"/>
      <c r="AB621" s="446"/>
      <c r="AC621" s="446"/>
      <c r="AD621" s="562"/>
      <c r="AE621" s="446"/>
      <c r="AF621" s="446"/>
      <c r="AG621" s="446"/>
      <c r="AH621" s="446"/>
      <c r="AI621" s="446"/>
      <c r="AJ621" s="446"/>
      <c r="AK621" s="446"/>
      <c r="AL621" s="446"/>
      <c r="AM621" s="446"/>
      <c r="AN621" s="446"/>
      <c r="AO621" s="446"/>
      <c r="AP621" s="446"/>
      <c r="AQ621" s="446"/>
      <c r="AR621" s="446"/>
      <c r="AS621" s="446"/>
      <c r="AT621" s="446"/>
      <c r="AU621" s="446"/>
      <c r="AV621" s="446"/>
      <c r="AW621" s="446"/>
      <c r="AX621" s="446"/>
      <c r="AY621" s="446"/>
      <c r="AZ621" s="446"/>
      <c r="BA621" s="446"/>
      <c r="BB621" s="446"/>
      <c r="BC621" s="446"/>
      <c r="BD621" s="446"/>
      <c r="BE621" s="446"/>
      <c r="BF621" s="446"/>
      <c r="BG621" s="446"/>
      <c r="BH621" s="446"/>
      <c r="BI621" s="446"/>
      <c r="BJ621" s="446"/>
      <c r="BK621" s="446"/>
      <c r="BL621" s="446"/>
      <c r="BM621" s="446"/>
      <c r="BN621" s="446"/>
      <c r="BO621" s="446"/>
      <c r="BP621" s="446"/>
      <c r="BQ621" s="446"/>
      <c r="BR621" s="446"/>
      <c r="BS621" s="446"/>
      <c r="BT621" s="446"/>
      <c r="BU621" s="562"/>
      <c r="BV621" s="446"/>
      <c r="BW621" s="446"/>
      <c r="BX621" s="446"/>
      <c r="BY621" s="446"/>
      <c r="BZ621" s="446"/>
      <c r="CA621" s="446"/>
      <c r="CB621" s="446"/>
      <c r="CC621" s="446"/>
      <c r="CD621" s="446"/>
      <c r="CE621" s="446"/>
      <c r="CF621" s="446"/>
      <c r="CG621" s="446"/>
      <c r="CH621" s="446"/>
      <c r="CI621" s="446"/>
      <c r="CJ621" s="446"/>
      <c r="CK621" s="446"/>
      <c r="CL621" s="446"/>
      <c r="CM621" s="446"/>
      <c r="CN621" s="446"/>
      <c r="CO621" s="446"/>
      <c r="CP621" s="446"/>
      <c r="CQ621" s="446"/>
      <c r="CR621" s="446"/>
      <c r="CS621" s="446"/>
      <c r="CT621" s="446"/>
      <c r="CU621" s="446"/>
      <c r="CV621" s="446"/>
      <c r="CW621" s="233"/>
      <c r="CX621" s="446"/>
      <c r="CY621" s="446"/>
      <c r="CZ621" s="446"/>
      <c r="DA621" s="446"/>
      <c r="DB621" s="446"/>
      <c r="DC621" s="446"/>
      <c r="DD621" s="446"/>
      <c r="DE621" s="446"/>
      <c r="DF621" s="446"/>
      <c r="DG621" s="446"/>
      <c r="DH621" s="446"/>
      <c r="DI621" s="446"/>
      <c r="DJ621" s="446"/>
      <c r="DK621" s="446"/>
      <c r="DL621" s="446"/>
      <c r="DM621" s="446"/>
      <c r="DN621" s="446"/>
      <c r="DO621" s="446"/>
      <c r="DP621" s="446"/>
      <c r="DQ621" s="446"/>
      <c r="DR621" s="446"/>
      <c r="DS621" s="446"/>
      <c r="DT621" s="446"/>
      <c r="DU621" s="446"/>
      <c r="DV621" s="446"/>
      <c r="DW621" s="446"/>
      <c r="DX621" s="446"/>
      <c r="DY621" s="446"/>
      <c r="DZ621" s="283"/>
    </row>
    <row r="622" spans="4:130" s="223" customFormat="1" x14ac:dyDescent="0.2">
      <c r="D622" s="856"/>
      <c r="E622" s="856"/>
      <c r="F622" s="856"/>
      <c r="G622" s="856"/>
      <c r="H622" s="856"/>
      <c r="I622" s="856"/>
      <c r="J622" s="856"/>
      <c r="K622" s="856"/>
      <c r="L622" s="856"/>
      <c r="M622" s="856"/>
      <c r="N622" s="857"/>
      <c r="O622" s="856"/>
      <c r="P622" s="856"/>
      <c r="Q622" s="858"/>
      <c r="R622" s="858"/>
      <c r="S622" s="876"/>
      <c r="T622" s="856"/>
      <c r="U622" s="856"/>
      <c r="V622" s="856"/>
      <c r="W622" s="856"/>
      <c r="X622" s="856"/>
      <c r="Y622" s="355"/>
      <c r="AB622" s="446"/>
      <c r="AC622" s="446"/>
      <c r="AD622" s="562"/>
      <c r="AE622" s="446"/>
      <c r="AF622" s="446"/>
      <c r="AG622" s="446"/>
      <c r="AH622" s="446"/>
      <c r="AI622" s="446"/>
      <c r="AJ622" s="446"/>
      <c r="AK622" s="446"/>
      <c r="AL622" s="446"/>
      <c r="AM622" s="446"/>
      <c r="AN622" s="446"/>
      <c r="AO622" s="446"/>
      <c r="AP622" s="446"/>
      <c r="AQ622" s="446"/>
      <c r="AR622" s="446"/>
      <c r="AS622" s="446"/>
      <c r="AT622" s="446"/>
      <c r="AU622" s="446"/>
      <c r="AV622" s="446"/>
      <c r="AW622" s="446"/>
      <c r="AX622" s="446"/>
      <c r="AY622" s="446"/>
      <c r="AZ622" s="446"/>
      <c r="BA622" s="446"/>
      <c r="BB622" s="446"/>
      <c r="BC622" s="446"/>
      <c r="BD622" s="446"/>
      <c r="BE622" s="446"/>
      <c r="BF622" s="446"/>
      <c r="BG622" s="446"/>
      <c r="BH622" s="446"/>
      <c r="BI622" s="446"/>
      <c r="BJ622" s="446"/>
      <c r="BK622" s="446"/>
      <c r="BL622" s="446"/>
      <c r="BM622" s="446"/>
      <c r="BN622" s="446"/>
      <c r="BO622" s="446"/>
      <c r="BP622" s="446"/>
      <c r="BQ622" s="446"/>
      <c r="BR622" s="446"/>
      <c r="BS622" s="446"/>
      <c r="BT622" s="446"/>
      <c r="BU622" s="562"/>
      <c r="BV622" s="446"/>
      <c r="BW622" s="446"/>
      <c r="BX622" s="446"/>
      <c r="BY622" s="446"/>
      <c r="BZ622" s="446"/>
      <c r="CA622" s="446"/>
      <c r="CB622" s="446"/>
      <c r="CC622" s="446"/>
      <c r="CD622" s="446"/>
      <c r="CE622" s="446"/>
      <c r="CF622" s="446"/>
      <c r="CG622" s="446"/>
      <c r="CH622" s="446"/>
      <c r="CI622" s="446"/>
      <c r="CJ622" s="446"/>
      <c r="CK622" s="446"/>
      <c r="CL622" s="446"/>
      <c r="CM622" s="446"/>
      <c r="CN622" s="446"/>
      <c r="CO622" s="446"/>
      <c r="CP622" s="446"/>
      <c r="CQ622" s="446"/>
      <c r="CR622" s="446"/>
      <c r="CS622" s="446"/>
      <c r="CT622" s="446"/>
      <c r="CU622" s="446"/>
      <c r="CV622" s="446"/>
      <c r="CW622" s="233"/>
      <c r="CX622" s="446"/>
      <c r="CY622" s="446"/>
      <c r="CZ622" s="446"/>
      <c r="DA622" s="446"/>
      <c r="DB622" s="446"/>
      <c r="DC622" s="446"/>
      <c r="DD622" s="446"/>
      <c r="DE622" s="446"/>
      <c r="DF622" s="446"/>
      <c r="DG622" s="446"/>
      <c r="DH622" s="446"/>
      <c r="DI622" s="446"/>
      <c r="DJ622" s="446"/>
      <c r="DK622" s="446"/>
      <c r="DL622" s="446"/>
      <c r="DM622" s="446"/>
      <c r="DN622" s="446"/>
      <c r="DO622" s="446"/>
      <c r="DP622" s="446"/>
      <c r="DQ622" s="446"/>
      <c r="DR622" s="446"/>
      <c r="DS622" s="446"/>
      <c r="DT622" s="446"/>
      <c r="DU622" s="446"/>
      <c r="DV622" s="446"/>
      <c r="DW622" s="446"/>
      <c r="DX622" s="446"/>
      <c r="DY622" s="446"/>
      <c r="DZ622" s="283"/>
    </row>
    <row r="623" spans="4:130" s="223" customFormat="1" x14ac:dyDescent="0.2">
      <c r="D623" s="856"/>
      <c r="E623" s="856"/>
      <c r="F623" s="856"/>
      <c r="G623" s="856"/>
      <c r="H623" s="856"/>
      <c r="I623" s="856"/>
      <c r="J623" s="856"/>
      <c r="K623" s="856"/>
      <c r="L623" s="856"/>
      <c r="M623" s="856"/>
      <c r="N623" s="857"/>
      <c r="O623" s="856"/>
      <c r="P623" s="856"/>
      <c r="Q623" s="858"/>
      <c r="R623" s="858"/>
      <c r="S623" s="876"/>
      <c r="T623" s="856"/>
      <c r="U623" s="856"/>
      <c r="V623" s="856"/>
      <c r="W623" s="856"/>
      <c r="X623" s="856"/>
      <c r="Y623" s="355"/>
      <c r="AB623" s="446"/>
      <c r="AC623" s="446"/>
      <c r="AD623" s="562"/>
      <c r="AE623" s="446"/>
      <c r="AF623" s="446"/>
      <c r="AG623" s="446"/>
      <c r="AH623" s="446"/>
      <c r="AI623" s="446"/>
      <c r="AJ623" s="446"/>
      <c r="AK623" s="446"/>
      <c r="AL623" s="446"/>
      <c r="AM623" s="446"/>
      <c r="AN623" s="446"/>
      <c r="AO623" s="446"/>
      <c r="AP623" s="446"/>
      <c r="AQ623" s="446"/>
      <c r="AR623" s="446"/>
      <c r="AS623" s="446"/>
      <c r="AT623" s="446"/>
      <c r="AU623" s="446"/>
      <c r="AV623" s="446"/>
      <c r="AW623" s="446"/>
      <c r="AX623" s="446"/>
      <c r="AY623" s="446"/>
      <c r="AZ623" s="446"/>
      <c r="BA623" s="446"/>
      <c r="BB623" s="446"/>
      <c r="BC623" s="446"/>
      <c r="BD623" s="446"/>
      <c r="BE623" s="446"/>
      <c r="BF623" s="446"/>
      <c r="BG623" s="446"/>
      <c r="BH623" s="446"/>
      <c r="BI623" s="446"/>
      <c r="BJ623" s="446"/>
      <c r="BK623" s="446"/>
      <c r="BL623" s="446"/>
      <c r="BM623" s="446"/>
      <c r="BN623" s="446"/>
      <c r="BO623" s="446"/>
      <c r="BP623" s="446"/>
      <c r="BQ623" s="446"/>
      <c r="BR623" s="446"/>
      <c r="BS623" s="446"/>
      <c r="BT623" s="446"/>
      <c r="BU623" s="562"/>
      <c r="BV623" s="446"/>
      <c r="BW623" s="446"/>
      <c r="BX623" s="446"/>
      <c r="BY623" s="446"/>
      <c r="BZ623" s="446"/>
      <c r="CA623" s="446"/>
      <c r="CB623" s="446"/>
      <c r="CC623" s="446"/>
      <c r="CD623" s="446"/>
      <c r="CE623" s="446"/>
      <c r="CF623" s="446"/>
      <c r="CG623" s="446"/>
      <c r="CH623" s="446"/>
      <c r="CI623" s="446"/>
      <c r="CJ623" s="446"/>
      <c r="CK623" s="446"/>
      <c r="CL623" s="446"/>
      <c r="CM623" s="446"/>
      <c r="CN623" s="446"/>
      <c r="CO623" s="446"/>
      <c r="CP623" s="446"/>
      <c r="CQ623" s="446"/>
      <c r="CR623" s="446"/>
      <c r="CS623" s="446"/>
      <c r="CT623" s="446"/>
      <c r="CU623" s="446"/>
      <c r="CV623" s="446"/>
      <c r="CW623" s="233"/>
      <c r="CX623" s="446"/>
      <c r="CY623" s="446"/>
      <c r="CZ623" s="446"/>
      <c r="DA623" s="446"/>
      <c r="DB623" s="446"/>
      <c r="DC623" s="446"/>
      <c r="DD623" s="446"/>
      <c r="DE623" s="446"/>
      <c r="DF623" s="446"/>
      <c r="DG623" s="446"/>
      <c r="DH623" s="446"/>
      <c r="DI623" s="446"/>
      <c r="DJ623" s="446"/>
      <c r="DK623" s="446"/>
      <c r="DL623" s="446"/>
      <c r="DM623" s="446"/>
      <c r="DN623" s="446"/>
      <c r="DO623" s="446"/>
      <c r="DP623" s="446"/>
      <c r="DQ623" s="446"/>
      <c r="DR623" s="446"/>
      <c r="DS623" s="446"/>
      <c r="DT623" s="446"/>
      <c r="DU623" s="446"/>
      <c r="DV623" s="446"/>
      <c r="DW623" s="446"/>
      <c r="DX623" s="446"/>
      <c r="DY623" s="446"/>
      <c r="DZ623" s="283"/>
    </row>
    <row r="624" spans="4:130" s="223" customFormat="1" x14ac:dyDescent="0.2">
      <c r="D624" s="856"/>
      <c r="E624" s="856"/>
      <c r="F624" s="856"/>
      <c r="G624" s="856"/>
      <c r="H624" s="856"/>
      <c r="I624" s="856"/>
      <c r="J624" s="856"/>
      <c r="K624" s="856"/>
      <c r="L624" s="856"/>
      <c r="M624" s="856"/>
      <c r="N624" s="857"/>
      <c r="O624" s="856"/>
      <c r="P624" s="856"/>
      <c r="Q624" s="858"/>
      <c r="R624" s="858"/>
      <c r="S624" s="876"/>
      <c r="T624" s="856"/>
      <c r="U624" s="856"/>
      <c r="V624" s="856"/>
      <c r="W624" s="856"/>
      <c r="X624" s="856"/>
      <c r="Y624" s="355"/>
      <c r="AB624" s="446"/>
      <c r="AC624" s="446"/>
      <c r="AD624" s="562"/>
      <c r="AE624" s="446"/>
      <c r="AF624" s="446"/>
      <c r="AG624" s="446"/>
      <c r="AH624" s="446"/>
      <c r="AI624" s="446"/>
      <c r="AJ624" s="446"/>
      <c r="AK624" s="446"/>
      <c r="AL624" s="446"/>
      <c r="AM624" s="446"/>
      <c r="AN624" s="446"/>
      <c r="AO624" s="446"/>
      <c r="AP624" s="446"/>
      <c r="AQ624" s="446"/>
      <c r="AR624" s="446"/>
      <c r="AS624" s="446"/>
      <c r="AT624" s="446"/>
      <c r="AU624" s="446"/>
      <c r="AV624" s="446"/>
      <c r="AW624" s="446"/>
      <c r="AX624" s="446"/>
      <c r="AY624" s="446"/>
      <c r="AZ624" s="446"/>
      <c r="BA624" s="446"/>
      <c r="BB624" s="446"/>
      <c r="BC624" s="446"/>
      <c r="BD624" s="446"/>
      <c r="BE624" s="446"/>
      <c r="BF624" s="446"/>
      <c r="BG624" s="446"/>
      <c r="BH624" s="446"/>
      <c r="BI624" s="446"/>
      <c r="BJ624" s="446"/>
      <c r="BK624" s="446"/>
      <c r="BL624" s="446"/>
      <c r="BM624" s="446"/>
      <c r="BN624" s="446"/>
      <c r="BO624" s="446"/>
      <c r="BP624" s="446"/>
      <c r="BQ624" s="446"/>
      <c r="BR624" s="446"/>
      <c r="BS624" s="446"/>
      <c r="BT624" s="446"/>
      <c r="BU624" s="562"/>
      <c r="BV624" s="446"/>
      <c r="BW624" s="446"/>
      <c r="BX624" s="446"/>
      <c r="BY624" s="446"/>
      <c r="BZ624" s="446"/>
      <c r="CA624" s="446"/>
      <c r="CB624" s="446"/>
      <c r="CC624" s="446"/>
      <c r="CD624" s="446"/>
      <c r="CE624" s="446"/>
      <c r="CF624" s="446"/>
      <c r="CG624" s="446"/>
      <c r="CH624" s="446"/>
      <c r="CI624" s="446"/>
      <c r="CJ624" s="446"/>
      <c r="CK624" s="446"/>
      <c r="CL624" s="446"/>
      <c r="CM624" s="446"/>
      <c r="CN624" s="446"/>
      <c r="CO624" s="446"/>
      <c r="CP624" s="446"/>
      <c r="CQ624" s="446"/>
      <c r="CR624" s="446"/>
      <c r="CS624" s="446"/>
      <c r="CT624" s="446"/>
      <c r="CU624" s="446"/>
      <c r="CV624" s="446"/>
      <c r="CW624" s="233"/>
      <c r="CX624" s="446"/>
      <c r="CY624" s="446"/>
      <c r="CZ624" s="446"/>
      <c r="DA624" s="446"/>
      <c r="DB624" s="446"/>
      <c r="DC624" s="446"/>
      <c r="DD624" s="446"/>
      <c r="DE624" s="446"/>
      <c r="DF624" s="446"/>
      <c r="DG624" s="446"/>
      <c r="DH624" s="446"/>
      <c r="DI624" s="446"/>
      <c r="DJ624" s="446"/>
      <c r="DK624" s="446"/>
      <c r="DL624" s="446"/>
      <c r="DM624" s="446"/>
      <c r="DN624" s="446"/>
      <c r="DO624" s="446"/>
      <c r="DP624" s="446"/>
      <c r="DQ624" s="446"/>
      <c r="DR624" s="446"/>
      <c r="DS624" s="446"/>
      <c r="DT624" s="446"/>
      <c r="DU624" s="446"/>
      <c r="DV624" s="446"/>
      <c r="DW624" s="446"/>
      <c r="DX624" s="446"/>
      <c r="DY624" s="446"/>
      <c r="DZ624" s="283"/>
    </row>
    <row r="625" spans="4:132" s="219" customFormat="1" x14ac:dyDescent="0.2">
      <c r="D625" s="251"/>
      <c r="E625" s="251"/>
      <c r="F625" s="251"/>
      <c r="G625" s="251"/>
      <c r="H625" s="251"/>
      <c r="I625" s="251"/>
      <c r="J625" s="251"/>
      <c r="K625" s="251"/>
      <c r="L625" s="251"/>
      <c r="M625" s="251"/>
      <c r="N625" s="253"/>
      <c r="O625" s="251"/>
      <c r="P625" s="251"/>
      <c r="Q625" s="707"/>
      <c r="R625" s="707"/>
      <c r="S625" s="708"/>
      <c r="T625" s="251"/>
      <c r="U625" s="251"/>
      <c r="V625" s="251"/>
      <c r="W625" s="251"/>
      <c r="X625" s="251"/>
      <c r="Y625" s="255"/>
      <c r="AB625" s="256"/>
      <c r="AC625" s="256"/>
      <c r="AD625" s="257"/>
      <c r="AE625" s="258"/>
      <c r="AF625" s="258"/>
      <c r="AG625" s="258"/>
      <c r="AH625" s="258"/>
      <c r="AI625" s="258"/>
      <c r="AJ625" s="258"/>
      <c r="AK625" s="258"/>
      <c r="AL625" s="258"/>
      <c r="AM625" s="258"/>
      <c r="AN625" s="258"/>
      <c r="AO625" s="258"/>
      <c r="AP625" s="258"/>
      <c r="AQ625" s="258"/>
      <c r="AR625" s="258"/>
      <c r="AS625" s="258"/>
      <c r="AT625" s="258"/>
      <c r="AU625" s="258"/>
      <c r="AV625" s="258"/>
      <c r="AW625" s="258"/>
      <c r="AX625" s="258"/>
      <c r="AY625" s="258"/>
      <c r="AZ625" s="258"/>
      <c r="BA625" s="258"/>
      <c r="BB625" s="258"/>
      <c r="BC625" s="258"/>
      <c r="BD625" s="258"/>
      <c r="BE625" s="258"/>
      <c r="BF625" s="258"/>
      <c r="BG625" s="258"/>
      <c r="BH625" s="258"/>
      <c r="BI625" s="258"/>
      <c r="BJ625" s="258"/>
      <c r="BK625" s="258"/>
      <c r="BL625" s="258"/>
      <c r="BM625" s="258"/>
      <c r="BN625" s="258"/>
      <c r="BO625" s="258"/>
      <c r="BP625" s="258"/>
      <c r="BQ625" s="258"/>
      <c r="BR625" s="258"/>
      <c r="BS625" s="258"/>
      <c r="BT625" s="258"/>
      <c r="BU625" s="257"/>
      <c r="BV625" s="258"/>
      <c r="BW625" s="258"/>
      <c r="BX625" s="258"/>
      <c r="BY625" s="258"/>
      <c r="BZ625" s="446"/>
      <c r="CA625" s="446"/>
      <c r="CB625" s="446"/>
      <c r="CC625" s="446"/>
      <c r="CD625" s="446"/>
      <c r="CE625" s="446"/>
      <c r="CF625" s="446"/>
      <c r="CG625" s="446"/>
      <c r="CH625" s="446"/>
      <c r="CI625" s="446"/>
      <c r="CJ625" s="446"/>
      <c r="CK625" s="446"/>
      <c r="CL625" s="446"/>
      <c r="CM625" s="446"/>
      <c r="CN625" s="446"/>
      <c r="CO625" s="446"/>
      <c r="CP625" s="446"/>
      <c r="CQ625" s="446"/>
      <c r="CR625" s="446"/>
      <c r="CS625" s="446"/>
      <c r="CT625" s="446"/>
      <c r="CU625" s="446"/>
      <c r="CV625" s="446"/>
      <c r="CW625" s="233"/>
      <c r="CX625" s="446"/>
      <c r="CY625" s="446"/>
      <c r="CZ625" s="446"/>
      <c r="DA625" s="446"/>
      <c r="DB625" s="446"/>
      <c r="DC625" s="446"/>
      <c r="DD625" s="446"/>
      <c r="DE625" s="446"/>
      <c r="DF625" s="446"/>
      <c r="DG625" s="446"/>
      <c r="DH625" s="446"/>
      <c r="DI625" s="446"/>
      <c r="DJ625" s="446"/>
      <c r="DK625" s="446"/>
      <c r="DL625" s="446"/>
      <c r="DM625" s="446"/>
      <c r="DN625" s="446"/>
      <c r="DO625" s="446"/>
      <c r="DP625" s="258"/>
      <c r="DQ625" s="258"/>
      <c r="DR625" s="258"/>
      <c r="DS625" s="258"/>
      <c r="DT625" s="258"/>
      <c r="DU625" s="258"/>
      <c r="DV625" s="258"/>
      <c r="DW625" s="258"/>
      <c r="DX625" s="258"/>
      <c r="DY625" s="258"/>
      <c r="DZ625" s="282"/>
      <c r="EA625" s="229"/>
      <c r="EB625" s="229"/>
    </row>
    <row r="626" spans="4:132" s="219" customFormat="1" x14ac:dyDescent="0.2">
      <c r="D626" s="251"/>
      <c r="E626" s="251"/>
      <c r="F626" s="251"/>
      <c r="G626" s="251"/>
      <c r="H626" s="251"/>
      <c r="I626" s="251"/>
      <c r="J626" s="251"/>
      <c r="K626" s="251"/>
      <c r="L626" s="251"/>
      <c r="M626" s="251"/>
      <c r="N626" s="253"/>
      <c r="O626" s="251"/>
      <c r="P626" s="251"/>
      <c r="Q626" s="707"/>
      <c r="R626" s="707"/>
      <c r="S626" s="708"/>
      <c r="T626" s="251"/>
      <c r="U626" s="251"/>
      <c r="V626" s="251"/>
      <c r="W626" s="251"/>
      <c r="X626" s="251"/>
      <c r="Y626" s="255"/>
      <c r="AB626" s="256"/>
      <c r="AC626" s="256"/>
      <c r="AD626" s="257"/>
      <c r="AE626" s="258"/>
      <c r="AF626" s="258"/>
      <c r="AG626" s="258"/>
      <c r="AH626" s="258"/>
      <c r="AI626" s="258"/>
      <c r="AJ626" s="258"/>
      <c r="AK626" s="258"/>
      <c r="AL626" s="258"/>
      <c r="AM626" s="258"/>
      <c r="AN626" s="258"/>
      <c r="AO626" s="258"/>
      <c r="AP626" s="258"/>
      <c r="AQ626" s="258"/>
      <c r="AR626" s="258"/>
      <c r="AS626" s="258"/>
      <c r="AT626" s="258"/>
      <c r="AU626" s="258"/>
      <c r="AV626" s="258"/>
      <c r="AW626" s="258"/>
      <c r="AX626" s="258"/>
      <c r="AY626" s="258"/>
      <c r="AZ626" s="258"/>
      <c r="BA626" s="258"/>
      <c r="BB626" s="258"/>
      <c r="BC626" s="258"/>
      <c r="BD626" s="258"/>
      <c r="BE626" s="258"/>
      <c r="BF626" s="258"/>
      <c r="BG626" s="258"/>
      <c r="BH626" s="258"/>
      <c r="BI626" s="258"/>
      <c r="BJ626" s="258"/>
      <c r="BK626" s="258"/>
      <c r="BL626" s="258"/>
      <c r="BM626" s="258"/>
      <c r="BN626" s="258"/>
      <c r="BO626" s="258"/>
      <c r="BP626" s="258"/>
      <c r="BQ626" s="258"/>
      <c r="BR626" s="258"/>
      <c r="BS626" s="258"/>
      <c r="BT626" s="258"/>
      <c r="BU626" s="257"/>
      <c r="BV626" s="258"/>
      <c r="BW626" s="258"/>
      <c r="BX626" s="258"/>
      <c r="BY626" s="258"/>
      <c r="BZ626" s="446"/>
      <c r="CA626" s="446"/>
      <c r="CB626" s="446"/>
      <c r="CC626" s="446"/>
      <c r="CD626" s="446"/>
      <c r="CE626" s="446"/>
      <c r="CF626" s="446"/>
      <c r="CG626" s="446"/>
      <c r="CH626" s="446"/>
      <c r="CI626" s="446"/>
      <c r="CJ626" s="446"/>
      <c r="CK626" s="446"/>
      <c r="CL626" s="446"/>
      <c r="CM626" s="446"/>
      <c r="CN626" s="446"/>
      <c r="CO626" s="446"/>
      <c r="CP626" s="446"/>
      <c r="CQ626" s="446"/>
      <c r="CR626" s="446"/>
      <c r="CS626" s="446"/>
      <c r="CT626" s="446"/>
      <c r="CU626" s="446"/>
      <c r="CV626" s="446"/>
      <c r="CW626" s="233"/>
      <c r="CX626" s="446"/>
      <c r="CY626" s="446"/>
      <c r="CZ626" s="446"/>
      <c r="DA626" s="446"/>
      <c r="DB626" s="446"/>
      <c r="DC626" s="446"/>
      <c r="DD626" s="446"/>
      <c r="DE626" s="446"/>
      <c r="DF626" s="446"/>
      <c r="DG626" s="446"/>
      <c r="DH626" s="446"/>
      <c r="DI626" s="446"/>
      <c r="DJ626" s="446"/>
      <c r="DK626" s="446"/>
      <c r="DL626" s="446"/>
      <c r="DM626" s="446"/>
      <c r="DN626" s="446"/>
      <c r="DO626" s="446"/>
      <c r="DP626" s="258"/>
      <c r="DQ626" s="258"/>
      <c r="DR626" s="258"/>
      <c r="DS626" s="258"/>
      <c r="DT626" s="258"/>
      <c r="DU626" s="258"/>
      <c r="DV626" s="258"/>
      <c r="DW626" s="258"/>
      <c r="DX626" s="258"/>
      <c r="DY626" s="258"/>
      <c r="DZ626" s="282"/>
      <c r="EA626" s="229"/>
      <c r="EB626" s="229"/>
    </row>
    <row r="627" spans="4:132" s="219" customFormat="1" x14ac:dyDescent="0.2">
      <c r="D627" s="251"/>
      <c r="E627" s="251"/>
      <c r="F627" s="251"/>
      <c r="G627" s="251"/>
      <c r="H627" s="251"/>
      <c r="I627" s="251"/>
      <c r="J627" s="251"/>
      <c r="K627" s="251"/>
      <c r="L627" s="251"/>
      <c r="M627" s="251"/>
      <c r="N627" s="253"/>
      <c r="O627" s="251"/>
      <c r="P627" s="251"/>
      <c r="Q627" s="707"/>
      <c r="R627" s="707"/>
      <c r="S627" s="708"/>
      <c r="T627" s="251"/>
      <c r="U627" s="251"/>
      <c r="V627" s="251"/>
      <c r="W627" s="251"/>
      <c r="X627" s="251"/>
      <c r="Y627" s="255"/>
      <c r="AB627" s="256"/>
      <c r="AC627" s="256"/>
      <c r="AD627" s="257"/>
      <c r="AE627" s="258"/>
      <c r="AF627" s="258"/>
      <c r="AG627" s="258"/>
      <c r="AH627" s="258"/>
      <c r="AI627" s="258"/>
      <c r="AJ627" s="258"/>
      <c r="AK627" s="258"/>
      <c r="AL627" s="258"/>
      <c r="AM627" s="258"/>
      <c r="AN627" s="258"/>
      <c r="AO627" s="258"/>
      <c r="AP627" s="258"/>
      <c r="AQ627" s="258"/>
      <c r="AR627" s="258"/>
      <c r="AS627" s="258"/>
      <c r="AT627" s="258"/>
      <c r="AU627" s="258"/>
      <c r="AV627" s="258"/>
      <c r="AW627" s="258"/>
      <c r="AX627" s="258"/>
      <c r="AY627" s="258"/>
      <c r="AZ627" s="258"/>
      <c r="BA627" s="258"/>
      <c r="BB627" s="258"/>
      <c r="BC627" s="258"/>
      <c r="BD627" s="258"/>
      <c r="BE627" s="258"/>
      <c r="BF627" s="258"/>
      <c r="BG627" s="258"/>
      <c r="BH627" s="258"/>
      <c r="BI627" s="258"/>
      <c r="BJ627" s="258"/>
      <c r="BK627" s="258"/>
      <c r="BL627" s="258"/>
      <c r="BM627" s="258"/>
      <c r="BN627" s="258"/>
      <c r="BO627" s="258"/>
      <c r="BP627" s="258"/>
      <c r="BQ627" s="258"/>
      <c r="BR627" s="258"/>
      <c r="BS627" s="258"/>
      <c r="BT627" s="258"/>
      <c r="BU627" s="257"/>
      <c r="BV627" s="258"/>
      <c r="BW627" s="258"/>
      <c r="BX627" s="258"/>
      <c r="BY627" s="258"/>
      <c r="BZ627" s="446"/>
      <c r="CA627" s="446"/>
      <c r="CB627" s="446"/>
      <c r="CC627" s="446"/>
      <c r="CD627" s="446"/>
      <c r="CE627" s="446"/>
      <c r="CF627" s="446"/>
      <c r="CG627" s="446"/>
      <c r="CH627" s="446"/>
      <c r="CI627" s="446"/>
      <c r="CJ627" s="446"/>
      <c r="CK627" s="446"/>
      <c r="CL627" s="446"/>
      <c r="CM627" s="446"/>
      <c r="CN627" s="446"/>
      <c r="CO627" s="446"/>
      <c r="CP627" s="446"/>
      <c r="CQ627" s="446"/>
      <c r="CR627" s="446"/>
      <c r="CS627" s="446"/>
      <c r="CT627" s="446"/>
      <c r="CU627" s="446"/>
      <c r="CV627" s="446"/>
      <c r="CW627" s="233"/>
      <c r="CX627" s="446"/>
      <c r="CY627" s="446"/>
      <c r="CZ627" s="446"/>
      <c r="DA627" s="446"/>
      <c r="DB627" s="446"/>
      <c r="DC627" s="446"/>
      <c r="DD627" s="446"/>
      <c r="DE627" s="446"/>
      <c r="DF627" s="446"/>
      <c r="DG627" s="446"/>
      <c r="DH627" s="446"/>
      <c r="DI627" s="446"/>
      <c r="DJ627" s="446"/>
      <c r="DK627" s="446"/>
      <c r="DL627" s="446"/>
      <c r="DM627" s="446"/>
      <c r="DN627" s="446"/>
      <c r="DO627" s="446"/>
      <c r="DP627" s="258"/>
      <c r="DQ627" s="258"/>
      <c r="DR627" s="258"/>
      <c r="DS627" s="258"/>
      <c r="DT627" s="258"/>
      <c r="DU627" s="258"/>
      <c r="DV627" s="258"/>
      <c r="DW627" s="258"/>
      <c r="DX627" s="258"/>
      <c r="DY627" s="258"/>
      <c r="DZ627" s="282"/>
      <c r="EA627" s="229"/>
      <c r="EB627" s="229"/>
    </row>
    <row r="628" spans="4:132" s="219" customFormat="1" x14ac:dyDescent="0.2">
      <c r="D628" s="251"/>
      <c r="E628" s="251"/>
      <c r="F628" s="251"/>
      <c r="G628" s="251"/>
      <c r="H628" s="251"/>
      <c r="I628" s="251"/>
      <c r="J628" s="251"/>
      <c r="K628" s="251"/>
      <c r="L628" s="251"/>
      <c r="M628" s="251"/>
      <c r="N628" s="253"/>
      <c r="O628" s="251"/>
      <c r="P628" s="251"/>
      <c r="Q628" s="707"/>
      <c r="R628" s="707"/>
      <c r="S628" s="708"/>
      <c r="T628" s="251"/>
      <c r="U628" s="251"/>
      <c r="V628" s="251"/>
      <c r="W628" s="251"/>
      <c r="X628" s="251"/>
      <c r="Y628" s="255"/>
      <c r="AB628" s="256"/>
      <c r="AC628" s="256"/>
      <c r="AD628" s="257"/>
      <c r="AE628" s="258"/>
      <c r="AF628" s="258"/>
      <c r="AG628" s="258"/>
      <c r="AH628" s="258"/>
      <c r="AI628" s="258"/>
      <c r="AJ628" s="258"/>
      <c r="AK628" s="258"/>
      <c r="AL628" s="258"/>
      <c r="AM628" s="258"/>
      <c r="AN628" s="258"/>
      <c r="AO628" s="258"/>
      <c r="AP628" s="258"/>
      <c r="AQ628" s="258"/>
      <c r="AR628" s="258"/>
      <c r="AS628" s="258"/>
      <c r="AT628" s="258"/>
      <c r="AU628" s="258"/>
      <c r="AV628" s="258"/>
      <c r="AW628" s="258"/>
      <c r="AX628" s="258"/>
      <c r="AY628" s="258"/>
      <c r="AZ628" s="258"/>
      <c r="BA628" s="258"/>
      <c r="BB628" s="258"/>
      <c r="BC628" s="258"/>
      <c r="BD628" s="258"/>
      <c r="BE628" s="258"/>
      <c r="BF628" s="258"/>
      <c r="BG628" s="258"/>
      <c r="BH628" s="258"/>
      <c r="BI628" s="258"/>
      <c r="BJ628" s="258"/>
      <c r="BK628" s="258"/>
      <c r="BL628" s="258"/>
      <c r="BM628" s="258"/>
      <c r="BN628" s="258"/>
      <c r="BO628" s="258"/>
      <c r="BP628" s="258"/>
      <c r="BQ628" s="258"/>
      <c r="BR628" s="258"/>
      <c r="BS628" s="258"/>
      <c r="BT628" s="258"/>
      <c r="BU628" s="257"/>
      <c r="BV628" s="258"/>
      <c r="BW628" s="258"/>
      <c r="BX628" s="258"/>
      <c r="BY628" s="258"/>
      <c r="BZ628" s="446"/>
      <c r="CA628" s="446"/>
      <c r="CB628" s="446"/>
      <c r="CC628" s="446"/>
      <c r="CD628" s="446"/>
      <c r="CE628" s="446"/>
      <c r="CF628" s="446"/>
      <c r="CG628" s="446"/>
      <c r="CH628" s="446"/>
      <c r="CI628" s="446"/>
      <c r="CJ628" s="446"/>
      <c r="CK628" s="446"/>
      <c r="CL628" s="446"/>
      <c r="CM628" s="446"/>
      <c r="CN628" s="446"/>
      <c r="CO628" s="446"/>
      <c r="CP628" s="446"/>
      <c r="CQ628" s="446"/>
      <c r="CR628" s="446"/>
      <c r="CS628" s="446"/>
      <c r="CT628" s="446"/>
      <c r="CU628" s="446"/>
      <c r="CV628" s="446"/>
      <c r="CW628" s="233"/>
      <c r="CX628" s="446"/>
      <c r="CY628" s="446"/>
      <c r="CZ628" s="446"/>
      <c r="DA628" s="446"/>
      <c r="DB628" s="446"/>
      <c r="DC628" s="446"/>
      <c r="DD628" s="446"/>
      <c r="DE628" s="446"/>
      <c r="DF628" s="446"/>
      <c r="DG628" s="446"/>
      <c r="DH628" s="446"/>
      <c r="DI628" s="446"/>
      <c r="DJ628" s="446"/>
      <c r="DK628" s="446"/>
      <c r="DL628" s="446"/>
      <c r="DM628" s="446"/>
      <c r="DN628" s="446"/>
      <c r="DO628" s="446"/>
      <c r="DP628" s="258"/>
      <c r="DQ628" s="258"/>
      <c r="DR628" s="258"/>
      <c r="DS628" s="258"/>
      <c r="DT628" s="258"/>
      <c r="DU628" s="258"/>
      <c r="DV628" s="258"/>
      <c r="DW628" s="258"/>
      <c r="DX628" s="258"/>
      <c r="DY628" s="258"/>
      <c r="DZ628" s="282"/>
      <c r="EA628" s="229"/>
      <c r="EB628" s="229"/>
    </row>
    <row r="629" spans="4:132" s="219" customFormat="1" x14ac:dyDescent="0.2">
      <c r="D629" s="251"/>
      <c r="E629" s="251"/>
      <c r="F629" s="251"/>
      <c r="G629" s="251"/>
      <c r="H629" s="251"/>
      <c r="I629" s="251"/>
      <c r="J629" s="251"/>
      <c r="K629" s="251"/>
      <c r="L629" s="251"/>
      <c r="M629" s="251"/>
      <c r="N629" s="253"/>
      <c r="O629" s="251"/>
      <c r="P629" s="251"/>
      <c r="Q629" s="707"/>
      <c r="R629" s="707"/>
      <c r="S629" s="708"/>
      <c r="T629" s="251"/>
      <c r="U629" s="251"/>
      <c r="V629" s="251"/>
      <c r="W629" s="251"/>
      <c r="X629" s="251"/>
      <c r="Y629" s="255"/>
      <c r="AB629" s="256"/>
      <c r="AC629" s="256"/>
      <c r="AD629" s="257"/>
      <c r="AE629" s="258"/>
      <c r="AF629" s="258"/>
      <c r="AG629" s="258"/>
      <c r="AH629" s="258"/>
      <c r="AI629" s="258"/>
      <c r="AJ629" s="258"/>
      <c r="AK629" s="258"/>
      <c r="AL629" s="258"/>
      <c r="AM629" s="258"/>
      <c r="AN629" s="258"/>
      <c r="AO629" s="258"/>
      <c r="AP629" s="258"/>
      <c r="AQ629" s="258"/>
      <c r="AR629" s="258"/>
      <c r="AS629" s="258"/>
      <c r="AT629" s="258"/>
      <c r="AU629" s="258"/>
      <c r="AV629" s="258"/>
      <c r="AW629" s="258"/>
      <c r="AX629" s="258"/>
      <c r="AY629" s="258"/>
      <c r="AZ629" s="258"/>
      <c r="BA629" s="258"/>
      <c r="BB629" s="258"/>
      <c r="BC629" s="258"/>
      <c r="BD629" s="258"/>
      <c r="BE629" s="258"/>
      <c r="BF629" s="258"/>
      <c r="BG629" s="258"/>
      <c r="BH629" s="258"/>
      <c r="BI629" s="258"/>
      <c r="BJ629" s="258"/>
      <c r="BK629" s="258"/>
      <c r="BL629" s="258"/>
      <c r="BM629" s="258"/>
      <c r="BN629" s="258"/>
      <c r="BO629" s="258"/>
      <c r="BP629" s="258"/>
      <c r="BQ629" s="258"/>
      <c r="BR629" s="258"/>
      <c r="BS629" s="258"/>
      <c r="BT629" s="258"/>
      <c r="BU629" s="257"/>
      <c r="BV629" s="258"/>
      <c r="BW629" s="258"/>
      <c r="BX629" s="258"/>
      <c r="BY629" s="258"/>
      <c r="BZ629" s="446"/>
      <c r="CA629" s="446"/>
      <c r="CB629" s="446"/>
      <c r="CC629" s="446"/>
      <c r="CD629" s="446"/>
      <c r="CE629" s="446"/>
      <c r="CF629" s="446"/>
      <c r="CG629" s="446"/>
      <c r="CH629" s="446"/>
      <c r="CI629" s="446"/>
      <c r="CJ629" s="446"/>
      <c r="CK629" s="446"/>
      <c r="CL629" s="446"/>
      <c r="CM629" s="446"/>
      <c r="CN629" s="446"/>
      <c r="CO629" s="446"/>
      <c r="CP629" s="446"/>
      <c r="CQ629" s="446"/>
      <c r="CR629" s="446"/>
      <c r="CS629" s="446"/>
      <c r="CT629" s="446"/>
      <c r="CU629" s="446"/>
      <c r="CV629" s="446"/>
      <c r="CW629" s="233"/>
      <c r="CX629" s="446"/>
      <c r="CY629" s="446"/>
      <c r="CZ629" s="446"/>
      <c r="DA629" s="446"/>
      <c r="DB629" s="446"/>
      <c r="DC629" s="446"/>
      <c r="DD629" s="446"/>
      <c r="DE629" s="446"/>
      <c r="DF629" s="446"/>
      <c r="DG629" s="446"/>
      <c r="DH629" s="446"/>
      <c r="DI629" s="446"/>
      <c r="DJ629" s="446"/>
      <c r="DK629" s="446"/>
      <c r="DL629" s="446"/>
      <c r="DM629" s="446"/>
      <c r="DN629" s="446"/>
      <c r="DO629" s="446"/>
      <c r="DP629" s="258"/>
      <c r="DQ629" s="258"/>
      <c r="DR629" s="258"/>
      <c r="DS629" s="258"/>
      <c r="DT629" s="258"/>
      <c r="DU629" s="258"/>
      <c r="DV629" s="258"/>
      <c r="DW629" s="258"/>
      <c r="DX629" s="258"/>
      <c r="DY629" s="258"/>
      <c r="DZ629" s="282"/>
      <c r="EA629" s="229"/>
      <c r="EB629" s="229"/>
    </row>
    <row r="630" spans="4:132" s="219" customFormat="1" x14ac:dyDescent="0.2">
      <c r="D630" s="251"/>
      <c r="E630" s="251"/>
      <c r="F630" s="251"/>
      <c r="G630" s="251"/>
      <c r="H630" s="251"/>
      <c r="I630" s="251"/>
      <c r="J630" s="251"/>
      <c r="K630" s="251"/>
      <c r="L630" s="251"/>
      <c r="M630" s="251"/>
      <c r="N630" s="253"/>
      <c r="O630" s="251"/>
      <c r="P630" s="251"/>
      <c r="Q630" s="707"/>
      <c r="R630" s="707"/>
      <c r="S630" s="708"/>
      <c r="T630" s="251"/>
      <c r="U630" s="251"/>
      <c r="V630" s="251"/>
      <c r="W630" s="251"/>
      <c r="X630" s="251"/>
      <c r="Y630" s="255"/>
      <c r="AB630" s="256"/>
      <c r="AC630" s="256"/>
      <c r="AD630" s="257"/>
      <c r="AE630" s="258"/>
      <c r="AF630" s="258"/>
      <c r="AG630" s="258"/>
      <c r="AH630" s="258"/>
      <c r="AI630" s="258"/>
      <c r="AJ630" s="258"/>
      <c r="AK630" s="258"/>
      <c r="AL630" s="258"/>
      <c r="AM630" s="258"/>
      <c r="AN630" s="258"/>
      <c r="AO630" s="258"/>
      <c r="AP630" s="258"/>
      <c r="AQ630" s="258"/>
      <c r="AR630" s="258"/>
      <c r="AS630" s="258"/>
      <c r="AT630" s="258"/>
      <c r="AU630" s="258"/>
      <c r="AV630" s="258"/>
      <c r="AW630" s="258"/>
      <c r="AX630" s="258"/>
      <c r="AY630" s="258"/>
      <c r="AZ630" s="258"/>
      <c r="BA630" s="258"/>
      <c r="BB630" s="258"/>
      <c r="BC630" s="258"/>
      <c r="BD630" s="258"/>
      <c r="BE630" s="258"/>
      <c r="BF630" s="258"/>
      <c r="BG630" s="258"/>
      <c r="BH630" s="258"/>
      <c r="BI630" s="258"/>
      <c r="BJ630" s="258"/>
      <c r="BK630" s="258"/>
      <c r="BL630" s="258"/>
      <c r="BM630" s="258"/>
      <c r="BN630" s="258"/>
      <c r="BO630" s="258"/>
      <c r="BP630" s="258"/>
      <c r="BQ630" s="258"/>
      <c r="BR630" s="258"/>
      <c r="BS630" s="258"/>
      <c r="BT630" s="258"/>
      <c r="BU630" s="257"/>
      <c r="BV630" s="258"/>
      <c r="BW630" s="258"/>
      <c r="BX630" s="258"/>
      <c r="BY630" s="258"/>
      <c r="BZ630" s="446"/>
      <c r="CA630" s="446"/>
      <c r="CB630" s="446"/>
      <c r="CC630" s="446"/>
      <c r="CD630" s="446"/>
      <c r="CE630" s="446"/>
      <c r="CF630" s="446"/>
      <c r="CG630" s="446"/>
      <c r="CH630" s="446"/>
      <c r="CI630" s="446"/>
      <c r="CJ630" s="446"/>
      <c r="CK630" s="446"/>
      <c r="CL630" s="446"/>
      <c r="CM630" s="446"/>
      <c r="CN630" s="446"/>
      <c r="CO630" s="446"/>
      <c r="CP630" s="446"/>
      <c r="CQ630" s="446"/>
      <c r="CR630" s="446"/>
      <c r="CS630" s="446"/>
      <c r="CT630" s="446"/>
      <c r="CU630" s="446"/>
      <c r="CV630" s="446"/>
      <c r="CW630" s="233"/>
      <c r="CX630" s="446"/>
      <c r="CY630" s="446"/>
      <c r="CZ630" s="446"/>
      <c r="DA630" s="446"/>
      <c r="DB630" s="446"/>
      <c r="DC630" s="446"/>
      <c r="DD630" s="446"/>
      <c r="DE630" s="446"/>
      <c r="DF630" s="446"/>
      <c r="DG630" s="446"/>
      <c r="DH630" s="446"/>
      <c r="DI630" s="446"/>
      <c r="DJ630" s="446"/>
      <c r="DK630" s="446"/>
      <c r="DL630" s="446"/>
      <c r="DM630" s="446"/>
      <c r="DN630" s="446"/>
      <c r="DO630" s="446"/>
      <c r="DP630" s="258"/>
      <c r="DQ630" s="258"/>
      <c r="DR630" s="258"/>
      <c r="DS630" s="258"/>
      <c r="DT630" s="258"/>
      <c r="DU630" s="258"/>
      <c r="DV630" s="258"/>
      <c r="DW630" s="258"/>
      <c r="DX630" s="258"/>
      <c r="DY630" s="258"/>
      <c r="DZ630" s="282"/>
      <c r="EA630" s="229"/>
      <c r="EB630" s="229"/>
    </row>
  </sheetData>
  <sheetProtection algorithmName="SHA-512" hashValue="CPI28cDShaxp55xRT+n1gQn5Ku2S4mLaFi2VAbaBno4kPC5Ye3Z1bY6e9ZTeNaCqoBG0wN19JRiFQGyJOjRxFA==" saltValue="3XN18s7JD2L8jPr1M1XxLA==" spinCount="100000" sheet="1" objects="1" scenarios="1"/>
  <mergeCells count="16">
    <mergeCell ref="N7:P7"/>
    <mergeCell ref="D7:E7"/>
    <mergeCell ref="F7:G7"/>
    <mergeCell ref="H7:I7"/>
    <mergeCell ref="J7:K7"/>
    <mergeCell ref="L7:M7"/>
    <mergeCell ref="B515:C515"/>
    <mergeCell ref="B215:C215"/>
    <mergeCell ref="B315:C315"/>
    <mergeCell ref="B415:C415"/>
    <mergeCell ref="B7:B8"/>
    <mergeCell ref="C7:C8"/>
    <mergeCell ref="B216:C216"/>
    <mergeCell ref="B58:C58"/>
    <mergeCell ref="B47:C47"/>
    <mergeCell ref="B39:C39"/>
  </mergeCells>
  <conditionalFormatting sqref="D14">
    <cfRule type="cellIs" dxfId="319" priority="1759" stopIfTrue="1" operator="greaterThan">
      <formula>0</formula>
    </cfRule>
  </conditionalFormatting>
  <conditionalFormatting sqref="P14">
    <cfRule type="expression" dxfId="318" priority="1727" stopIfTrue="1">
      <formula>IF(AND(SUM(D14:M14)&gt;12,P14=""),1,0)=1</formula>
    </cfRule>
    <cfRule type="expression" dxfId="317" priority="1728" stopIfTrue="1">
      <formula>IF(AND(SUM(D14:M14)&gt;12,P14&lt;&gt;""),1,0)=1</formula>
    </cfRule>
  </conditionalFormatting>
  <conditionalFormatting sqref="E14">
    <cfRule type="expression" dxfId="316" priority="1023" stopIfTrue="1">
      <formula>IF(AND(D14=0,E14&gt;0),1,0)=1</formula>
    </cfRule>
    <cfRule type="expression" dxfId="315" priority="1024" stopIfTrue="1">
      <formula>IF(AND(D14&gt;0,E14=0),1,0)=1</formula>
    </cfRule>
    <cfRule type="expression" dxfId="314" priority="1025" stopIfTrue="1">
      <formula>IF(AND(D14&gt;0,E14&gt;0),1,0)=1</formula>
    </cfRule>
  </conditionalFormatting>
  <conditionalFormatting sqref="E21">
    <cfRule type="expression" dxfId="313" priority="1014" stopIfTrue="1">
      <formula>IF(AND(D21=0,E21&gt;0),1,0)=1</formula>
    </cfRule>
    <cfRule type="expression" dxfId="312" priority="1015" stopIfTrue="1">
      <formula>IF(AND(D21&gt;0,E21=0),1,0)=1</formula>
    </cfRule>
    <cfRule type="expression" dxfId="311" priority="1016" stopIfTrue="1">
      <formula>IF(AND(D21&gt;0,E21&gt;0),1,0)=1</formula>
    </cfRule>
  </conditionalFormatting>
  <conditionalFormatting sqref="E22">
    <cfRule type="expression" dxfId="310" priority="1011" stopIfTrue="1">
      <formula>IF(AND(D22=0,E22&gt;0),1,0)=1</formula>
    </cfRule>
    <cfRule type="expression" dxfId="309" priority="1012" stopIfTrue="1">
      <formula>IF(AND(D22&gt;0,E22=0),1,0)=1</formula>
    </cfRule>
    <cfRule type="expression" dxfId="308" priority="1013" stopIfTrue="1">
      <formula>IF(AND(D22&gt;0,E22&gt;0),1,0)=1</formula>
    </cfRule>
  </conditionalFormatting>
  <conditionalFormatting sqref="E23">
    <cfRule type="expression" dxfId="307" priority="1008" stopIfTrue="1">
      <formula>IF(AND(D23=0,E23&gt;0),1,0)=1</formula>
    </cfRule>
    <cfRule type="expression" dxfId="306" priority="1009" stopIfTrue="1">
      <formula>IF(AND(D23&gt;0,E23=0),1,0)=1</formula>
    </cfRule>
    <cfRule type="expression" dxfId="305" priority="1010" stopIfTrue="1">
      <formula>IF(AND(D23&gt;0,E23&gt;0),1,0)=1</formula>
    </cfRule>
  </conditionalFormatting>
  <conditionalFormatting sqref="E24">
    <cfRule type="expression" dxfId="304" priority="1005" stopIfTrue="1">
      <formula>IF(AND(D24=0,E24&gt;0),1,0)=1</formula>
    </cfRule>
    <cfRule type="expression" dxfId="303" priority="1006" stopIfTrue="1">
      <formula>IF(AND(D24&gt;0,E24=0),1,0)=1</formula>
    </cfRule>
    <cfRule type="expression" dxfId="302" priority="1007" stopIfTrue="1">
      <formula>IF(AND(D24&gt;0,E24&gt;0),1,0)=1</formula>
    </cfRule>
  </conditionalFormatting>
  <conditionalFormatting sqref="E25">
    <cfRule type="expression" dxfId="301" priority="1002" stopIfTrue="1">
      <formula>IF(AND(D25=0,E25&gt;0),1,0)=1</formula>
    </cfRule>
    <cfRule type="expression" dxfId="300" priority="1003" stopIfTrue="1">
      <formula>IF(AND(D25&gt;0,E25=0),1,0)=1</formula>
    </cfRule>
    <cfRule type="expression" dxfId="299" priority="1004" stopIfTrue="1">
      <formula>IF(AND(D25&gt;0,E25&gt;0),1,0)=1</formula>
    </cfRule>
  </conditionalFormatting>
  <conditionalFormatting sqref="E26">
    <cfRule type="expression" dxfId="298" priority="999" stopIfTrue="1">
      <formula>IF(AND(D26=0,E26&gt;0),1,0)=1</formula>
    </cfRule>
    <cfRule type="expression" dxfId="297" priority="1000" stopIfTrue="1">
      <formula>IF(AND(D26&gt;0,E26=0),1,0)=1</formula>
    </cfRule>
    <cfRule type="expression" dxfId="296" priority="1001" stopIfTrue="1">
      <formula>IF(AND(D26&gt;0,E26&gt;0),1,0)=1</formula>
    </cfRule>
  </conditionalFormatting>
  <conditionalFormatting sqref="E27">
    <cfRule type="expression" dxfId="295" priority="996" stopIfTrue="1">
      <formula>IF(AND(D27=0,E27&gt;0),1,0)=1</formula>
    </cfRule>
    <cfRule type="expression" dxfId="294" priority="997" stopIfTrue="1">
      <formula>IF(AND(D27&gt;0,E27=0),1,0)=1</formula>
    </cfRule>
    <cfRule type="expression" dxfId="293" priority="998" stopIfTrue="1">
      <formula>IF(AND(D27&gt;0,E27&gt;0),1,0)=1</formula>
    </cfRule>
  </conditionalFormatting>
  <conditionalFormatting sqref="N23">
    <cfRule type="expression" dxfId="292" priority="986" stopIfTrue="1">
      <formula>IF(AND(SUM(D23:M23)&gt;12,N23&lt;&gt;""),1,0)=1</formula>
    </cfRule>
    <cfRule type="expression" dxfId="291" priority="987" stopIfTrue="1">
      <formula>IF(AND(SUM(D23:M23)&gt;13,N23=""),1,0)=1</formula>
    </cfRule>
  </conditionalFormatting>
  <conditionalFormatting sqref="N22">
    <cfRule type="expression" dxfId="290" priority="976" stopIfTrue="1">
      <formula>IF(AND(SUM(D22:M22)&gt;12,N22&lt;&gt;""),1,0)=1</formula>
    </cfRule>
    <cfRule type="expression" dxfId="289" priority="977" stopIfTrue="1">
      <formula>IF(AND(SUM(D22:M22)&gt;13,N22=""),1,0)=1</formula>
    </cfRule>
  </conditionalFormatting>
  <conditionalFormatting sqref="N21">
    <cfRule type="expression" dxfId="288" priority="974" stopIfTrue="1">
      <formula>IF(AND(SUM(D21:M21)&gt;12,N21&lt;&gt;""),1,0)=1</formula>
    </cfRule>
    <cfRule type="expression" dxfId="287" priority="975" stopIfTrue="1">
      <formula>IF(AND(SUM(D21:M21)&gt;13,N21=""),1,0)=1</formula>
    </cfRule>
  </conditionalFormatting>
  <conditionalFormatting sqref="N24">
    <cfRule type="expression" dxfId="286" priority="972" stopIfTrue="1">
      <formula>IF(AND(SUM(D24:M24)&gt;12,N24&lt;&gt;""),1,0)=1</formula>
    </cfRule>
    <cfRule type="expression" dxfId="285" priority="973" stopIfTrue="1">
      <formula>IF(AND(SUM(D24:M24)&gt;13,N24=""),1,0)=1</formula>
    </cfRule>
  </conditionalFormatting>
  <conditionalFormatting sqref="N25">
    <cfRule type="expression" dxfId="284" priority="970" stopIfTrue="1">
      <formula>IF(AND(SUM(D25:M25)&gt;12,N25&lt;&gt;""),1,0)=1</formula>
    </cfRule>
    <cfRule type="expression" dxfId="283" priority="971" stopIfTrue="1">
      <formula>IF(AND(SUM(D25:M25)&gt;13,N25=""),1,0)=1</formula>
    </cfRule>
  </conditionalFormatting>
  <conditionalFormatting sqref="N26">
    <cfRule type="expression" dxfId="282" priority="968" stopIfTrue="1">
      <formula>IF(AND(SUM(D26:M26)&gt;12,N26&lt;&gt;""),1,0)=1</formula>
    </cfRule>
    <cfRule type="expression" dxfId="281" priority="969" stopIfTrue="1">
      <formula>IF(AND(SUM(D26:M26)&gt;13,N26=""),1,0)=1</formula>
    </cfRule>
  </conditionalFormatting>
  <conditionalFormatting sqref="N27">
    <cfRule type="expression" dxfId="280" priority="966" stopIfTrue="1">
      <formula>IF(AND(SUM(D27:M27)&gt;12,N27&lt;&gt;""),1,0)=1</formula>
    </cfRule>
    <cfRule type="expression" dxfId="279" priority="967" stopIfTrue="1">
      <formula>IF(AND(SUM(D27:M27)&gt;13,N27=""),1,0)=1</formula>
    </cfRule>
  </conditionalFormatting>
  <conditionalFormatting sqref="N14">
    <cfRule type="expression" dxfId="278" priority="960" stopIfTrue="1">
      <formula>IF(AND(SUM(D14:M14)&gt;12,N14&lt;&gt;""),1,0)=1</formula>
    </cfRule>
    <cfRule type="expression" dxfId="277" priority="961" stopIfTrue="1">
      <formula>IF(AND(SUM(D14:M14)&gt;13,N14=""),1,0)=1</formula>
    </cfRule>
  </conditionalFormatting>
  <conditionalFormatting sqref="O23">
    <cfRule type="expression" dxfId="276" priority="950" stopIfTrue="1">
      <formula>IF(AND(SUM(D23:M23)&gt;12,O23=""),1,0)=1</formula>
    </cfRule>
    <cfRule type="expression" dxfId="275" priority="951" stopIfTrue="1">
      <formula>IF(AND(SUM(D23:M23)&gt;12,O23&lt;&gt;""),1,0)=1</formula>
    </cfRule>
  </conditionalFormatting>
  <conditionalFormatting sqref="O22">
    <cfRule type="expression" dxfId="274" priority="940" stopIfTrue="1">
      <formula>IF(AND(SUM(D22:M22)&gt;12,O22=""),1,0)=1</formula>
    </cfRule>
    <cfRule type="expression" dxfId="273" priority="941" stopIfTrue="1">
      <formula>IF(AND(SUM(D22:M22)&gt;12,O22&lt;&gt;""),1,0)=1</formula>
    </cfRule>
  </conditionalFormatting>
  <conditionalFormatting sqref="O21">
    <cfRule type="expression" dxfId="272" priority="938" stopIfTrue="1">
      <formula>IF(AND(SUM(D21:M21)&gt;12,O21=""),1,0)=1</formula>
    </cfRule>
    <cfRule type="expression" dxfId="271" priority="939" stopIfTrue="1">
      <formula>IF(AND(SUM(D21:M21)&gt;12,O21&lt;&gt;""),1,0)=1</formula>
    </cfRule>
  </conditionalFormatting>
  <conditionalFormatting sqref="O14">
    <cfRule type="expression" dxfId="270" priority="932" stopIfTrue="1">
      <formula>IF(AND(SUM(D14:M14)&gt;12,O14=""),1,0)=1</formula>
    </cfRule>
    <cfRule type="expression" dxfId="269" priority="933" stopIfTrue="1">
      <formula>IF(AND(SUM(D14:M14)&gt;12,O14&lt;&gt;""),1,0)=1</formula>
    </cfRule>
  </conditionalFormatting>
  <conditionalFormatting sqref="O24">
    <cfRule type="expression" dxfId="268" priority="930" stopIfTrue="1">
      <formula>IF(AND(SUM(D24:M24)&gt;12,O24=""),1,0)=1</formula>
    </cfRule>
    <cfRule type="expression" dxfId="267" priority="931" stopIfTrue="1">
      <formula>IF(AND(SUM(D24:M24)&gt;12,O24&lt;&gt;""),1,0)=1</formula>
    </cfRule>
  </conditionalFormatting>
  <conditionalFormatting sqref="O25">
    <cfRule type="expression" dxfId="266" priority="928" stopIfTrue="1">
      <formula>IF(AND(SUM(D25:M25)&gt;12,O25=""),1,0)=1</formula>
    </cfRule>
    <cfRule type="expression" dxfId="265" priority="929" stopIfTrue="1">
      <formula>IF(AND(SUM(D25:M25)&gt;12,O25&lt;&gt;""),1,0)=1</formula>
    </cfRule>
  </conditionalFormatting>
  <conditionalFormatting sqref="O26">
    <cfRule type="expression" dxfId="264" priority="926" stopIfTrue="1">
      <formula>IF(AND(SUM(D26:M26)&gt;12,O26=""),1,0)=1</formula>
    </cfRule>
    <cfRule type="expression" dxfId="263" priority="927" stopIfTrue="1">
      <formula>IF(AND(SUM(D26:M26)&gt;12,O26&lt;&gt;""),1,0)=1</formula>
    </cfRule>
  </conditionalFormatting>
  <conditionalFormatting sqref="O27">
    <cfRule type="expression" dxfId="262" priority="924" stopIfTrue="1">
      <formula>IF(AND(SUM(D27:M27)&gt;12,O27=""),1,0)=1</formula>
    </cfRule>
    <cfRule type="expression" dxfId="261" priority="925" stopIfTrue="1">
      <formula>IF(AND(SUM(D27:M27)&gt;12,O27&lt;&gt;""),1,0)=1</formula>
    </cfRule>
  </conditionalFormatting>
  <conditionalFormatting sqref="P21">
    <cfRule type="expression" dxfId="260" priority="918" stopIfTrue="1">
      <formula>IF(AND(SUM(D21:M21)&gt;12,P21=""),1,0)=1</formula>
    </cfRule>
    <cfRule type="expression" dxfId="259" priority="919" stopIfTrue="1">
      <formula>IF(AND(SUM(D21:M21)&gt;12,P21&lt;&gt;""),1,0)=1</formula>
    </cfRule>
  </conditionalFormatting>
  <conditionalFormatting sqref="P22">
    <cfRule type="expression" dxfId="258" priority="916" stopIfTrue="1">
      <formula>IF(AND(SUM(D22:M22)&gt;12,P22=""),1,0)=1</formula>
    </cfRule>
    <cfRule type="expression" dxfId="257" priority="917" stopIfTrue="1">
      <formula>IF(AND(SUM(D22:M22)&gt;12,P22&lt;&gt;""),1,0)=1</formula>
    </cfRule>
  </conditionalFormatting>
  <conditionalFormatting sqref="P23">
    <cfRule type="expression" dxfId="256" priority="914" stopIfTrue="1">
      <formula>IF(AND(SUM(D23:M23)&gt;12,P23=""),1,0)=1</formula>
    </cfRule>
    <cfRule type="expression" dxfId="255" priority="915" stopIfTrue="1">
      <formula>IF(AND(SUM(D23:M23)&gt;12,P23&lt;&gt;""),1,0)=1</formula>
    </cfRule>
  </conditionalFormatting>
  <conditionalFormatting sqref="P24">
    <cfRule type="expression" dxfId="254" priority="912" stopIfTrue="1">
      <formula>IF(AND(SUM(D24:M24)&gt;12,P24=""),1,0)=1</formula>
    </cfRule>
    <cfRule type="expression" dxfId="253" priority="913" stopIfTrue="1">
      <formula>IF(AND(SUM(D24:M24)&gt;12,P24&lt;&gt;""),1,0)=1</formula>
    </cfRule>
  </conditionalFormatting>
  <conditionalFormatting sqref="P25">
    <cfRule type="expression" dxfId="252" priority="910" stopIfTrue="1">
      <formula>IF(AND(SUM(D25:M25)&gt;12,P25=""),1,0)=1</formula>
    </cfRule>
    <cfRule type="expression" dxfId="251" priority="911" stopIfTrue="1">
      <formula>IF(AND(SUM(D25:M25)&gt;12,P25&lt;&gt;""),1,0)=1</formula>
    </cfRule>
  </conditionalFormatting>
  <conditionalFormatting sqref="P26">
    <cfRule type="expression" dxfId="250" priority="908" stopIfTrue="1">
      <formula>IF(AND(SUM(D26:M26)&gt;12,P26=""),1,0)=1</formula>
    </cfRule>
    <cfRule type="expression" dxfId="249" priority="909" stopIfTrue="1">
      <formula>IF(AND(SUM(D26:M26)&gt;12,P26&lt;&gt;""),1,0)=1</formula>
    </cfRule>
  </conditionalFormatting>
  <conditionalFormatting sqref="P27">
    <cfRule type="expression" dxfId="248" priority="906" stopIfTrue="1">
      <formula>IF(AND(SUM(D27:M27)&gt;12,P27=""),1,0)=1</formula>
    </cfRule>
    <cfRule type="expression" dxfId="247" priority="907" stopIfTrue="1">
      <formula>IF(AND(SUM(D27:M27)&gt;12,P27&lt;&gt;""),1,0)=1</formula>
    </cfRule>
  </conditionalFormatting>
  <conditionalFormatting sqref="H14">
    <cfRule type="expression" dxfId="246" priority="477" stopIfTrue="1">
      <formula>IF(AND(SUM($D14:G14)&gt;13,H14&gt;0),1,0)=1</formula>
    </cfRule>
    <cfRule type="expression" dxfId="245" priority="478" stopIfTrue="1">
      <formula>IF(AND(SUM($D14:G14)=0,H14&gt;0,I14&gt;0),1,0)=1</formula>
    </cfRule>
  </conditionalFormatting>
  <conditionalFormatting sqref="I14">
    <cfRule type="expression" dxfId="244" priority="474" stopIfTrue="1">
      <formula>IF(AND(SUM($D14:G14)=0,H14&gt;0,I14&gt;0),1,0)=1</formula>
    </cfRule>
    <cfRule type="expression" dxfId="243" priority="475" stopIfTrue="1">
      <formula>IF(AND(SUM($D14:G14)=0,H14&gt;0,I14=0),1,0)=1</formula>
    </cfRule>
    <cfRule type="expression" dxfId="242" priority="476" stopIfTrue="1">
      <formula>IF(AND(SUM($D14:G14)&gt;450,I14&gt;0),1,0)=1</formula>
    </cfRule>
  </conditionalFormatting>
  <conditionalFormatting sqref="F14">
    <cfRule type="expression" dxfId="241" priority="472" stopIfTrue="1">
      <formula>IF(AND(SUM($D14:E14)&gt;13,F14&gt;0),1,0)=1</formula>
    </cfRule>
    <cfRule type="expression" dxfId="240" priority="473" stopIfTrue="1">
      <formula>IF(AND(SUM($D14:E14)=0,F14&gt;0,G14&gt;0),1,0)=1</formula>
    </cfRule>
  </conditionalFormatting>
  <conditionalFormatting sqref="G14">
    <cfRule type="expression" dxfId="239" priority="469" stopIfTrue="1">
      <formula>IF(AND(SUM($D14:E14)=0,F14&gt;0,G14&gt;0),1,0)=1</formula>
    </cfRule>
    <cfRule type="expression" dxfId="238" priority="470" stopIfTrue="1">
      <formula>IF(AND(SUM($D14:E14)=0,F14&gt;0,G14=0),1,0)=1</formula>
    </cfRule>
    <cfRule type="expression" dxfId="237" priority="471" stopIfTrue="1">
      <formula>IF(AND(SUM($D14:E14)&gt;450,G14&gt;0),1,0)=1</formula>
    </cfRule>
  </conditionalFormatting>
  <conditionalFormatting sqref="D21">
    <cfRule type="cellIs" dxfId="236" priority="376" stopIfTrue="1" operator="greaterThan">
      <formula>0</formula>
    </cfRule>
  </conditionalFormatting>
  <conditionalFormatting sqref="D22">
    <cfRule type="cellIs" dxfId="235" priority="375" stopIfTrue="1" operator="greaterThan">
      <formula>0</formula>
    </cfRule>
  </conditionalFormatting>
  <conditionalFormatting sqref="D23">
    <cfRule type="cellIs" dxfId="234" priority="374" stopIfTrue="1" operator="greaterThan">
      <formula>0</formula>
    </cfRule>
  </conditionalFormatting>
  <conditionalFormatting sqref="D24">
    <cfRule type="cellIs" dxfId="233" priority="373" stopIfTrue="1" operator="greaterThan">
      <formula>0</formula>
    </cfRule>
  </conditionalFormatting>
  <conditionalFormatting sqref="D25">
    <cfRule type="cellIs" dxfId="232" priority="372" stopIfTrue="1" operator="greaterThan">
      <formula>0</formula>
    </cfRule>
  </conditionalFormatting>
  <conditionalFormatting sqref="D26">
    <cfRule type="cellIs" dxfId="231" priority="371" stopIfTrue="1" operator="greaterThan">
      <formula>0</formula>
    </cfRule>
  </conditionalFormatting>
  <conditionalFormatting sqref="D27">
    <cfRule type="cellIs" dxfId="230" priority="370" stopIfTrue="1" operator="greaterThan">
      <formula>0</formula>
    </cfRule>
  </conditionalFormatting>
  <conditionalFormatting sqref="D10">
    <cfRule type="cellIs" dxfId="229" priority="369" stopIfTrue="1" operator="greaterThan">
      <formula>0</formula>
    </cfRule>
  </conditionalFormatting>
  <conditionalFormatting sqref="E10">
    <cfRule type="expression" dxfId="228" priority="366" stopIfTrue="1">
      <formula>IF(AND(D10=0,E10&gt;0),1,0)=1</formula>
    </cfRule>
    <cfRule type="expression" dxfId="227" priority="367" stopIfTrue="1">
      <formula>IF(AND(D10&gt;0,E10=0),1,0)=1</formula>
    </cfRule>
    <cfRule type="expression" dxfId="226" priority="368" stopIfTrue="1">
      <formula>IF(AND(D10&gt;0,E10&gt;0),1,0)=1</formula>
    </cfRule>
  </conditionalFormatting>
  <conditionalFormatting sqref="J14">
    <cfRule type="expression" dxfId="225" priority="360" stopIfTrue="1">
      <formula>IF(AND(SUM($D14:I14)&gt;13,J14&gt;0),1,0)=1</formula>
    </cfRule>
    <cfRule type="expression" dxfId="224" priority="361" stopIfTrue="1">
      <formula>IF(AND(SUM($D14:I14)=0,J14&gt;0,K14&gt;0),1,0)=1</formula>
    </cfRule>
  </conditionalFormatting>
  <conditionalFormatting sqref="K14">
    <cfRule type="expression" dxfId="223" priority="357" stopIfTrue="1">
      <formula>IF(AND(SUM($D14:I14)=0,J14&gt;0,K14&gt;0),1,0)=1</formula>
    </cfRule>
    <cfRule type="expression" dxfId="222" priority="358" stopIfTrue="1">
      <formula>IF(AND(SUM($D14:I14)=0,J14&gt;0,K14=0),1,0)=1</formula>
    </cfRule>
    <cfRule type="expression" dxfId="221" priority="359" stopIfTrue="1">
      <formula>IF(AND(SUM($D14:I14)&gt;450,K14&gt;0),1,0)=1</formula>
    </cfRule>
  </conditionalFormatting>
  <conditionalFormatting sqref="L14">
    <cfRule type="expression" dxfId="220" priority="310" stopIfTrue="1">
      <formula>IF(AND(SUM($D14:K14)&gt;13,L14&gt;0),1,0)=1</formula>
    </cfRule>
    <cfRule type="expression" dxfId="219" priority="311" stopIfTrue="1">
      <formula>IF(AND(SUM($D14:K14)=0,L14&gt;0,M14&gt;0),1,0)=1</formula>
    </cfRule>
  </conditionalFormatting>
  <conditionalFormatting sqref="M14">
    <cfRule type="expression" dxfId="218" priority="307" stopIfTrue="1">
      <formula>IF(AND(SUM($D14:K14)=0,L14&gt;0,M14&gt;0),1,0)=1</formula>
    </cfRule>
    <cfRule type="expression" dxfId="217" priority="308" stopIfTrue="1">
      <formula>IF(AND(SUM($D14:K14)=0,L14&gt;0,M14=0),1,0)=1</formula>
    </cfRule>
    <cfRule type="expression" dxfId="216" priority="309" stopIfTrue="1">
      <formula>IF(AND(SUM($D14:K14)&gt;450,M14&gt;0),1,0)=1</formula>
    </cfRule>
  </conditionalFormatting>
  <conditionalFormatting sqref="F21">
    <cfRule type="expression" dxfId="215" priority="245" stopIfTrue="1">
      <formula>IF(AND(SUM($D21:E21)&gt;13,F21&gt;0),1,0)=1</formula>
    </cfRule>
    <cfRule type="expression" dxfId="214" priority="246" stopIfTrue="1">
      <formula>IF(AND(SUM($D21:E21)=0,F21&gt;0,G21&gt;0),1,0)=1</formula>
    </cfRule>
  </conditionalFormatting>
  <conditionalFormatting sqref="G21">
    <cfRule type="expression" dxfId="213" priority="242" stopIfTrue="1">
      <formula>IF(AND(SUM($D21:E21)=0,F21&gt;0,G21&gt;0),1,0)=1</formula>
    </cfRule>
    <cfRule type="expression" dxfId="212" priority="243" stopIfTrue="1">
      <formula>IF(AND(SUM($D21:E21)=0,F21&gt;0,G21=0),1,0)=1</formula>
    </cfRule>
    <cfRule type="expression" dxfId="211" priority="244" stopIfTrue="1">
      <formula>IF(AND(SUM($D21:E21)&gt;450,G21&gt;0),1,0)=1</formula>
    </cfRule>
  </conditionalFormatting>
  <conditionalFormatting sqref="F22">
    <cfRule type="expression" dxfId="210" priority="240" stopIfTrue="1">
      <formula>IF(AND(SUM($D22:E22)&gt;13,F22&gt;0),1,0)=1</formula>
    </cfRule>
    <cfRule type="expression" dxfId="209" priority="241" stopIfTrue="1">
      <formula>IF(AND(SUM($D22:E22)=0,F22&gt;0,G22&gt;0),1,0)=1</formula>
    </cfRule>
  </conditionalFormatting>
  <conditionalFormatting sqref="G22">
    <cfRule type="expression" dxfId="208" priority="237" stopIfTrue="1">
      <formula>IF(AND(SUM($D22:E22)=0,F22&gt;0,G22&gt;0),1,0)=1</formula>
    </cfRule>
    <cfRule type="expression" dxfId="207" priority="238" stopIfTrue="1">
      <formula>IF(AND(SUM($D22:E22)=0,F22&gt;0,G22=0),1,0)=1</formula>
    </cfRule>
    <cfRule type="expression" dxfId="206" priority="239" stopIfTrue="1">
      <formula>IF(AND(SUM($D22:E22)&gt;450,G22&gt;0),1,0)=1</formula>
    </cfRule>
  </conditionalFormatting>
  <conditionalFormatting sqref="F23">
    <cfRule type="expression" dxfId="205" priority="235" stopIfTrue="1">
      <formula>IF(AND(SUM($D23:E23)&gt;13,F23&gt;0),1,0)=1</formula>
    </cfRule>
    <cfRule type="expression" dxfId="204" priority="236" stopIfTrue="1">
      <formula>IF(AND(SUM($D23:E23)=0,F23&gt;0,G23&gt;0),1,0)=1</formula>
    </cfRule>
  </conditionalFormatting>
  <conditionalFormatting sqref="G23">
    <cfRule type="expression" dxfId="203" priority="232" stopIfTrue="1">
      <formula>IF(AND(SUM($D23:E23)=0,F23&gt;0,G23&gt;0),1,0)=1</formula>
    </cfRule>
    <cfRule type="expression" dxfId="202" priority="233" stopIfTrue="1">
      <formula>IF(AND(SUM($D23:E23)=0,F23&gt;0,G23=0),1,0)=1</formula>
    </cfRule>
    <cfRule type="expression" dxfId="201" priority="234" stopIfTrue="1">
      <formula>IF(AND(SUM($D23:E23)&gt;450,G23&gt;0),1,0)=1</formula>
    </cfRule>
  </conditionalFormatting>
  <conditionalFormatting sqref="F24">
    <cfRule type="expression" dxfId="200" priority="230" stopIfTrue="1">
      <formula>IF(AND(SUM($D24:E24)&gt;13,F24&gt;0),1,0)=1</formula>
    </cfRule>
    <cfRule type="expression" dxfId="199" priority="231" stopIfTrue="1">
      <formula>IF(AND(SUM($D24:E24)=0,F24&gt;0,G24&gt;0),1,0)=1</formula>
    </cfRule>
  </conditionalFormatting>
  <conditionalFormatting sqref="G24">
    <cfRule type="expression" dxfId="198" priority="227" stopIfTrue="1">
      <formula>IF(AND(SUM($D24:E24)=0,F24&gt;0,G24&gt;0),1,0)=1</formula>
    </cfRule>
    <cfRule type="expression" dxfId="197" priority="228" stopIfTrue="1">
      <formula>IF(AND(SUM($D24:E24)=0,F24&gt;0,G24=0),1,0)=1</formula>
    </cfRule>
    <cfRule type="expression" dxfId="196" priority="229" stopIfTrue="1">
      <formula>IF(AND(SUM($D24:E24)&gt;450,G24&gt;0),1,0)=1</formula>
    </cfRule>
  </conditionalFormatting>
  <conditionalFormatting sqref="F25">
    <cfRule type="expression" dxfId="195" priority="225" stopIfTrue="1">
      <formula>IF(AND(SUM($D25:E25)&gt;13,F25&gt;0),1,0)=1</formula>
    </cfRule>
    <cfRule type="expression" dxfId="194" priority="226" stopIfTrue="1">
      <formula>IF(AND(SUM($D25:E25)=0,F25&gt;0,G25&gt;0),1,0)=1</formula>
    </cfRule>
  </conditionalFormatting>
  <conditionalFormatting sqref="G25">
    <cfRule type="expression" dxfId="193" priority="222" stopIfTrue="1">
      <formula>IF(AND(SUM($D25:E25)=0,F25&gt;0,G25&gt;0),1,0)=1</formula>
    </cfRule>
    <cfRule type="expression" dxfId="192" priority="223" stopIfTrue="1">
      <formula>IF(AND(SUM($D25:E25)=0,F25&gt;0,G25=0),1,0)=1</formula>
    </cfRule>
    <cfRule type="expression" dxfId="191" priority="224" stopIfTrue="1">
      <formula>IF(AND(SUM($D25:E25)&gt;450,G25&gt;0),1,0)=1</formula>
    </cfRule>
  </conditionalFormatting>
  <conditionalFormatting sqref="F26">
    <cfRule type="expression" dxfId="190" priority="220" stopIfTrue="1">
      <formula>IF(AND(SUM($D26:E26)&gt;13,F26&gt;0),1,0)=1</formula>
    </cfRule>
    <cfRule type="expression" dxfId="189" priority="221" stopIfTrue="1">
      <formula>IF(AND(SUM($D26:E26)=0,F26&gt;0,G26&gt;0),1,0)=1</formula>
    </cfRule>
  </conditionalFormatting>
  <conditionalFormatting sqref="G26">
    <cfRule type="expression" dxfId="188" priority="217" stopIfTrue="1">
      <formula>IF(AND(SUM($D26:E26)=0,F26&gt;0,G26&gt;0),1,0)=1</formula>
    </cfRule>
    <cfRule type="expression" dxfId="187" priority="218" stopIfTrue="1">
      <formula>IF(AND(SUM($D26:E26)=0,F26&gt;0,G26=0),1,0)=1</formula>
    </cfRule>
    <cfRule type="expression" dxfId="186" priority="219" stopIfTrue="1">
      <formula>IF(AND(SUM($D26:E26)&gt;450,G26&gt;0),1,0)=1</formula>
    </cfRule>
  </conditionalFormatting>
  <conditionalFormatting sqref="F27">
    <cfRule type="expression" dxfId="185" priority="215" stopIfTrue="1">
      <formula>IF(AND(SUM($D27:E27)&gt;13,F27&gt;0),1,0)=1</formula>
    </cfRule>
    <cfRule type="expression" dxfId="184" priority="216" stopIfTrue="1">
      <formula>IF(AND(SUM($D27:E27)=0,F27&gt;0,G27&gt;0),1,0)=1</formula>
    </cfRule>
  </conditionalFormatting>
  <conditionalFormatting sqref="G27">
    <cfRule type="expression" dxfId="183" priority="212" stopIfTrue="1">
      <formula>IF(AND(SUM($D27:E27)=0,F27&gt;0,G27&gt;0),1,0)=1</formula>
    </cfRule>
    <cfRule type="expression" dxfId="182" priority="213" stopIfTrue="1">
      <formula>IF(AND(SUM($D27:E27)=0,F27&gt;0,G27=0),1,0)=1</formula>
    </cfRule>
    <cfRule type="expression" dxfId="181" priority="214" stopIfTrue="1">
      <formula>IF(AND(SUM($D27:E27)&gt;450,G27&gt;0),1,0)=1</formula>
    </cfRule>
  </conditionalFormatting>
  <conditionalFormatting sqref="H21">
    <cfRule type="expression" dxfId="180" priority="180" stopIfTrue="1">
      <formula>IF(AND(SUM($D21:G21)&gt;13,H21&gt;0),1,0)=1</formula>
    </cfRule>
    <cfRule type="expression" dxfId="179" priority="181" stopIfTrue="1">
      <formula>IF(AND(SUM($D21:G21)=0,H21&gt;0,I21&gt;0),1,0)=1</formula>
    </cfRule>
  </conditionalFormatting>
  <conditionalFormatting sqref="I21">
    <cfRule type="expression" dxfId="178" priority="177" stopIfTrue="1">
      <formula>IF(AND(SUM($D21:G21)=0,H21&gt;0,I21&gt;0),1,0)=1</formula>
    </cfRule>
    <cfRule type="expression" dxfId="177" priority="178" stopIfTrue="1">
      <formula>IF(AND(SUM($D21:G21)=0,H21&gt;0,I21=0),1,0)=1</formula>
    </cfRule>
    <cfRule type="expression" dxfId="176" priority="179" stopIfTrue="1">
      <formula>IF(AND(SUM($D21:G21)&gt;450,I21&gt;0),1,0)=1</formula>
    </cfRule>
  </conditionalFormatting>
  <conditionalFormatting sqref="J21">
    <cfRule type="expression" dxfId="175" priority="175" stopIfTrue="1">
      <formula>IF(AND(SUM($D21:I21)&gt;13,J21&gt;0),1,0)=1</formula>
    </cfRule>
    <cfRule type="expression" dxfId="174" priority="176" stopIfTrue="1">
      <formula>IF(AND(SUM($D21:I21)=0,J21&gt;0,K21&gt;0),1,0)=1</formula>
    </cfRule>
  </conditionalFormatting>
  <conditionalFormatting sqref="K21">
    <cfRule type="expression" dxfId="173" priority="172" stopIfTrue="1">
      <formula>IF(AND(SUM($D21:I21)=0,J21&gt;0,K21&gt;0),1,0)=1</formula>
    </cfRule>
    <cfRule type="expression" dxfId="172" priority="173" stopIfTrue="1">
      <formula>IF(AND(SUM($D21:I21)=0,J21&gt;0,K21=0),1,0)=1</formula>
    </cfRule>
    <cfRule type="expression" dxfId="171" priority="174" stopIfTrue="1">
      <formula>IF(AND(SUM($D21:I21)&gt;450,K21&gt;0),1,0)=1</formula>
    </cfRule>
  </conditionalFormatting>
  <conditionalFormatting sqref="L21">
    <cfRule type="expression" dxfId="170" priority="170" stopIfTrue="1">
      <formula>IF(AND(SUM($D21:K21)&gt;13,L21&gt;0),1,0)=1</formula>
    </cfRule>
    <cfRule type="expression" dxfId="169" priority="171" stopIfTrue="1">
      <formula>IF(AND(SUM($D21:K21)=0,L21&gt;0,M21&gt;0),1,0)=1</formula>
    </cfRule>
  </conditionalFormatting>
  <conditionalFormatting sqref="M21">
    <cfRule type="expression" dxfId="168" priority="167" stopIfTrue="1">
      <formula>IF(AND(SUM($D21:K21)=0,L21&gt;0,M21&gt;0),1,0)=1</formula>
    </cfRule>
    <cfRule type="expression" dxfId="167" priority="168" stopIfTrue="1">
      <formula>IF(AND(SUM($D21:K21)=0,L21&gt;0,M21=0),1,0)=1</formula>
    </cfRule>
    <cfRule type="expression" dxfId="166" priority="169" stopIfTrue="1">
      <formula>IF(AND(SUM($D21:K21)&gt;450,M21&gt;0),1,0)=1</formula>
    </cfRule>
  </conditionalFormatting>
  <conditionalFormatting sqref="H22">
    <cfRule type="expression" dxfId="165" priority="165" stopIfTrue="1">
      <formula>IF(AND(SUM($D22:G22)&gt;13,H22&gt;0),1,0)=1</formula>
    </cfRule>
    <cfRule type="expression" dxfId="164" priority="166" stopIfTrue="1">
      <formula>IF(AND(SUM($D22:G22)=0,H22&gt;0,I22&gt;0),1,0)=1</formula>
    </cfRule>
  </conditionalFormatting>
  <conditionalFormatting sqref="I22">
    <cfRule type="expression" dxfId="163" priority="162" stopIfTrue="1">
      <formula>IF(AND(SUM($D22:G22)=0,H22&gt;0,I22&gt;0),1,0)=1</formula>
    </cfRule>
    <cfRule type="expression" dxfId="162" priority="163" stopIfTrue="1">
      <formula>IF(AND(SUM($D22:G22)=0,H22&gt;0,I22=0),1,0)=1</formula>
    </cfRule>
    <cfRule type="expression" dxfId="161" priority="164" stopIfTrue="1">
      <formula>IF(AND(SUM($D22:G22)&gt;450,I22&gt;0),1,0)=1</formula>
    </cfRule>
  </conditionalFormatting>
  <conditionalFormatting sqref="J22">
    <cfRule type="expression" dxfId="160" priority="160" stopIfTrue="1">
      <formula>IF(AND(SUM($D22:I22)&gt;13,J22&gt;0),1,0)=1</formula>
    </cfRule>
    <cfRule type="expression" dxfId="159" priority="161" stopIfTrue="1">
      <formula>IF(AND(SUM($D22:I22)=0,J22&gt;0,K22&gt;0),1,0)=1</formula>
    </cfRule>
  </conditionalFormatting>
  <conditionalFormatting sqref="K22">
    <cfRule type="expression" dxfId="158" priority="157" stopIfTrue="1">
      <formula>IF(AND(SUM($D22:I22)=0,J22&gt;0,K22&gt;0),1,0)=1</formula>
    </cfRule>
    <cfRule type="expression" dxfId="157" priority="158" stopIfTrue="1">
      <formula>IF(AND(SUM($D22:I22)=0,J22&gt;0,K22=0),1,0)=1</formula>
    </cfRule>
    <cfRule type="expression" dxfId="156" priority="159" stopIfTrue="1">
      <formula>IF(AND(SUM($D22:I22)&gt;450,K22&gt;0),1,0)=1</formula>
    </cfRule>
  </conditionalFormatting>
  <conditionalFormatting sqref="L22">
    <cfRule type="expression" dxfId="155" priority="155" stopIfTrue="1">
      <formula>IF(AND(SUM($D22:K22)&gt;13,L22&gt;0),1,0)=1</formula>
    </cfRule>
    <cfRule type="expression" dxfId="154" priority="156" stopIfTrue="1">
      <formula>IF(AND(SUM($D22:K22)=0,L22&gt;0,M22&gt;0),1,0)=1</formula>
    </cfRule>
  </conditionalFormatting>
  <conditionalFormatting sqref="M22">
    <cfRule type="expression" dxfId="153" priority="152" stopIfTrue="1">
      <formula>IF(AND(SUM($D22:K22)=0,L22&gt;0,M22&gt;0),1,0)=1</formula>
    </cfRule>
    <cfRule type="expression" dxfId="152" priority="153" stopIfTrue="1">
      <formula>IF(AND(SUM($D22:K22)=0,L22&gt;0,M22=0),1,0)=1</formula>
    </cfRule>
    <cfRule type="expression" dxfId="151" priority="154" stopIfTrue="1">
      <formula>IF(AND(SUM($D22:K22)&gt;450,M22&gt;0),1,0)=1</formula>
    </cfRule>
  </conditionalFormatting>
  <conditionalFormatting sqref="H23">
    <cfRule type="expression" dxfId="150" priority="150" stopIfTrue="1">
      <formula>IF(AND(SUM($D23:G23)&gt;13,H23&gt;0),1,0)=1</formula>
    </cfRule>
    <cfRule type="expression" dxfId="149" priority="151" stopIfTrue="1">
      <formula>IF(AND(SUM($D23:G23)=0,H23&gt;0,I23&gt;0),1,0)=1</formula>
    </cfRule>
  </conditionalFormatting>
  <conditionalFormatting sqref="I23">
    <cfRule type="expression" dxfId="148" priority="147" stopIfTrue="1">
      <formula>IF(AND(SUM($D23:G23)=0,H23&gt;0,I23&gt;0),1,0)=1</formula>
    </cfRule>
    <cfRule type="expression" dxfId="147" priority="148" stopIfTrue="1">
      <formula>IF(AND(SUM($D23:G23)=0,H23&gt;0,I23=0),1,0)=1</formula>
    </cfRule>
    <cfRule type="expression" dxfId="146" priority="149" stopIfTrue="1">
      <formula>IF(AND(SUM($D23:G23)&gt;450,I23&gt;0),1,0)=1</formula>
    </cfRule>
  </conditionalFormatting>
  <conditionalFormatting sqref="J23">
    <cfRule type="expression" dxfId="145" priority="145" stopIfTrue="1">
      <formula>IF(AND(SUM($D23:I23)&gt;13,J23&gt;0),1,0)=1</formula>
    </cfRule>
    <cfRule type="expression" dxfId="144" priority="146" stopIfTrue="1">
      <formula>IF(AND(SUM($D23:I23)=0,J23&gt;0,K23&gt;0),1,0)=1</formula>
    </cfRule>
  </conditionalFormatting>
  <conditionalFormatting sqref="K23">
    <cfRule type="expression" dxfId="143" priority="142" stopIfTrue="1">
      <formula>IF(AND(SUM($D23:I23)=0,J23&gt;0,K23&gt;0),1,0)=1</formula>
    </cfRule>
    <cfRule type="expression" dxfId="142" priority="143" stopIfTrue="1">
      <formula>IF(AND(SUM($D23:I23)=0,J23&gt;0,K23=0),1,0)=1</formula>
    </cfRule>
    <cfRule type="expression" dxfId="141" priority="144" stopIfTrue="1">
      <formula>IF(AND(SUM($D23:I23)&gt;450,K23&gt;0),1,0)=1</formula>
    </cfRule>
  </conditionalFormatting>
  <conditionalFormatting sqref="L23">
    <cfRule type="expression" dxfId="140" priority="140" stopIfTrue="1">
      <formula>IF(AND(SUM($D23:K23)&gt;13,L23&gt;0),1,0)=1</formula>
    </cfRule>
    <cfRule type="expression" dxfId="139" priority="141" stopIfTrue="1">
      <formula>IF(AND(SUM($D23:K23)=0,L23&gt;0,M23&gt;0),1,0)=1</formula>
    </cfRule>
  </conditionalFormatting>
  <conditionalFormatting sqref="M23">
    <cfRule type="expression" dxfId="138" priority="137" stopIfTrue="1">
      <formula>IF(AND(SUM($D23:K23)=0,L23&gt;0,M23&gt;0),1,0)=1</formula>
    </cfRule>
    <cfRule type="expression" dxfId="137" priority="138" stopIfTrue="1">
      <formula>IF(AND(SUM($D23:K23)=0,L23&gt;0,M23=0),1,0)=1</formula>
    </cfRule>
    <cfRule type="expression" dxfId="136" priority="139" stopIfTrue="1">
      <formula>IF(AND(SUM($D23:K23)&gt;450,M23&gt;0),1,0)=1</formula>
    </cfRule>
  </conditionalFormatting>
  <conditionalFormatting sqref="H24">
    <cfRule type="expression" dxfId="135" priority="135" stopIfTrue="1">
      <formula>IF(AND(SUM($D24:G24)&gt;13,H24&gt;0),1,0)=1</formula>
    </cfRule>
    <cfRule type="expression" dxfId="134" priority="136" stopIfTrue="1">
      <formula>IF(AND(SUM($D24:G24)=0,H24&gt;0,I24&gt;0),1,0)=1</formula>
    </cfRule>
  </conditionalFormatting>
  <conditionalFormatting sqref="I24">
    <cfRule type="expression" dxfId="133" priority="132" stopIfTrue="1">
      <formula>IF(AND(SUM($D24:G24)=0,H24&gt;0,I24&gt;0),1,0)=1</formula>
    </cfRule>
    <cfRule type="expression" dxfId="132" priority="133" stopIfTrue="1">
      <formula>IF(AND(SUM($D24:G24)=0,H24&gt;0,I24=0),1,0)=1</formula>
    </cfRule>
    <cfRule type="expression" dxfId="131" priority="134" stopIfTrue="1">
      <formula>IF(AND(SUM($D24:G24)&gt;450,I24&gt;0),1,0)=1</formula>
    </cfRule>
  </conditionalFormatting>
  <conditionalFormatting sqref="J24">
    <cfRule type="expression" dxfId="130" priority="130" stopIfTrue="1">
      <formula>IF(AND(SUM($D24:I24)&gt;13,J24&gt;0),1,0)=1</formula>
    </cfRule>
    <cfRule type="expression" dxfId="129" priority="131" stopIfTrue="1">
      <formula>IF(AND(SUM($D24:I24)=0,J24&gt;0,K24&gt;0),1,0)=1</formula>
    </cfRule>
  </conditionalFormatting>
  <conditionalFormatting sqref="K24">
    <cfRule type="expression" dxfId="128" priority="127" stopIfTrue="1">
      <formula>IF(AND(SUM($D24:I24)=0,J24&gt;0,K24&gt;0),1,0)=1</formula>
    </cfRule>
    <cfRule type="expression" dxfId="127" priority="128" stopIfTrue="1">
      <formula>IF(AND(SUM($D24:I24)=0,J24&gt;0,K24=0),1,0)=1</formula>
    </cfRule>
    <cfRule type="expression" dxfId="126" priority="129" stopIfTrue="1">
      <formula>IF(AND(SUM($D24:I24)&gt;450,K24&gt;0),1,0)=1</formula>
    </cfRule>
  </conditionalFormatting>
  <conditionalFormatting sqref="L24">
    <cfRule type="expression" dxfId="125" priority="125" stopIfTrue="1">
      <formula>IF(AND(SUM($D24:K24)&gt;13,L24&gt;0),1,0)=1</formula>
    </cfRule>
    <cfRule type="expression" dxfId="124" priority="126" stopIfTrue="1">
      <formula>IF(AND(SUM($D24:K24)=0,L24&gt;0,M24&gt;0),1,0)=1</formula>
    </cfRule>
  </conditionalFormatting>
  <conditionalFormatting sqref="M24">
    <cfRule type="expression" dxfId="123" priority="122" stopIfTrue="1">
      <formula>IF(AND(SUM($D24:K24)=0,L24&gt;0,M24&gt;0),1,0)=1</formula>
    </cfRule>
    <cfRule type="expression" dxfId="122" priority="123" stopIfTrue="1">
      <formula>IF(AND(SUM($D24:K24)=0,L24&gt;0,M24=0),1,0)=1</formula>
    </cfRule>
    <cfRule type="expression" dxfId="121" priority="124" stopIfTrue="1">
      <formula>IF(AND(SUM($D24:K24)&gt;450,M24&gt;0),1,0)=1</formula>
    </cfRule>
  </conditionalFormatting>
  <conditionalFormatting sqref="H25">
    <cfRule type="expression" dxfId="120" priority="120" stopIfTrue="1">
      <formula>IF(AND(SUM($D25:G25)&gt;13,H25&gt;0),1,0)=1</formula>
    </cfRule>
    <cfRule type="expression" dxfId="119" priority="121" stopIfTrue="1">
      <formula>IF(AND(SUM($D25:G25)=0,H25&gt;0,I25&gt;0),1,0)=1</formula>
    </cfRule>
  </conditionalFormatting>
  <conditionalFormatting sqref="I25">
    <cfRule type="expression" dxfId="118" priority="117" stopIfTrue="1">
      <formula>IF(AND(SUM($D25:G25)=0,H25&gt;0,I25&gt;0),1,0)=1</formula>
    </cfRule>
    <cfRule type="expression" dxfId="117" priority="118" stopIfTrue="1">
      <formula>IF(AND(SUM($D25:G25)=0,H25&gt;0,I25=0),1,0)=1</formula>
    </cfRule>
    <cfRule type="expression" dxfId="116" priority="119" stopIfTrue="1">
      <formula>IF(AND(SUM($D25:G25)&gt;450,I25&gt;0),1,0)=1</formula>
    </cfRule>
  </conditionalFormatting>
  <conditionalFormatting sqref="J25">
    <cfRule type="expression" dxfId="115" priority="115" stopIfTrue="1">
      <formula>IF(AND(SUM($D25:I25)&gt;13,J25&gt;0),1,0)=1</formula>
    </cfRule>
    <cfRule type="expression" dxfId="114" priority="116" stopIfTrue="1">
      <formula>IF(AND(SUM($D25:I25)=0,J25&gt;0,K25&gt;0),1,0)=1</formula>
    </cfRule>
  </conditionalFormatting>
  <conditionalFormatting sqref="K25">
    <cfRule type="expression" dxfId="113" priority="112" stopIfTrue="1">
      <formula>IF(AND(SUM($D25:I25)=0,J25&gt;0,K25&gt;0),1,0)=1</formula>
    </cfRule>
    <cfRule type="expression" dxfId="112" priority="113" stopIfTrue="1">
      <formula>IF(AND(SUM($D25:I25)=0,J25&gt;0,K25=0),1,0)=1</formula>
    </cfRule>
    <cfRule type="expression" dxfId="111" priority="114" stopIfTrue="1">
      <formula>IF(AND(SUM($D25:I25)&gt;450,K25&gt;0),1,0)=1</formula>
    </cfRule>
  </conditionalFormatting>
  <conditionalFormatting sqref="L25">
    <cfRule type="expression" dxfId="110" priority="110" stopIfTrue="1">
      <formula>IF(AND(SUM($D25:K25)&gt;13,L25&gt;0),1,0)=1</formula>
    </cfRule>
    <cfRule type="expression" dxfId="109" priority="111" stopIfTrue="1">
      <formula>IF(AND(SUM($D25:K25)=0,L25&gt;0,M25&gt;0),1,0)=1</formula>
    </cfRule>
  </conditionalFormatting>
  <conditionalFormatting sqref="M25">
    <cfRule type="expression" dxfId="108" priority="107" stopIfTrue="1">
      <formula>IF(AND(SUM($D25:K25)=0,L25&gt;0,M25&gt;0),1,0)=1</formula>
    </cfRule>
    <cfRule type="expression" dxfId="107" priority="108" stopIfTrue="1">
      <formula>IF(AND(SUM($D25:K25)=0,L25&gt;0,M25=0),1,0)=1</formula>
    </cfRule>
    <cfRule type="expression" dxfId="106" priority="109" stopIfTrue="1">
      <formula>IF(AND(SUM($D25:K25)&gt;450,M25&gt;0),1,0)=1</formula>
    </cfRule>
  </conditionalFormatting>
  <conditionalFormatting sqref="H26">
    <cfRule type="expression" dxfId="105" priority="105" stopIfTrue="1">
      <formula>IF(AND(SUM($D26:G26)&gt;13,H26&gt;0),1,0)=1</formula>
    </cfRule>
    <cfRule type="expression" dxfId="104" priority="106" stopIfTrue="1">
      <formula>IF(AND(SUM($D26:G26)=0,H26&gt;0,I26&gt;0),1,0)=1</formula>
    </cfRule>
  </conditionalFormatting>
  <conditionalFormatting sqref="I26">
    <cfRule type="expression" dxfId="103" priority="102" stopIfTrue="1">
      <formula>IF(AND(SUM($D26:G26)=0,H26&gt;0,I26&gt;0),1,0)=1</formula>
    </cfRule>
    <cfRule type="expression" dxfId="102" priority="103" stopIfTrue="1">
      <formula>IF(AND(SUM($D26:G26)=0,H26&gt;0,I26=0),1,0)=1</formula>
    </cfRule>
    <cfRule type="expression" dxfId="101" priority="104" stopIfTrue="1">
      <formula>IF(AND(SUM($D26:G26)&gt;450,I26&gt;0),1,0)=1</formula>
    </cfRule>
  </conditionalFormatting>
  <conditionalFormatting sqref="J26">
    <cfRule type="expression" dxfId="100" priority="100" stopIfTrue="1">
      <formula>IF(AND(SUM($D26:I26)&gt;13,J26&gt;0),1,0)=1</formula>
    </cfRule>
    <cfRule type="expression" dxfId="99" priority="101" stopIfTrue="1">
      <formula>IF(AND(SUM($D26:I26)=0,J26&gt;0,K26&gt;0),1,0)=1</formula>
    </cfRule>
  </conditionalFormatting>
  <conditionalFormatting sqref="K26">
    <cfRule type="expression" dxfId="98" priority="97" stopIfTrue="1">
      <formula>IF(AND(SUM($D26:I26)=0,J26&gt;0,K26&gt;0),1,0)=1</formula>
    </cfRule>
    <cfRule type="expression" dxfId="97" priority="98" stopIfTrue="1">
      <formula>IF(AND(SUM($D26:I26)=0,J26&gt;0,K26=0),1,0)=1</formula>
    </cfRule>
    <cfRule type="expression" dxfId="96" priority="99" stopIfTrue="1">
      <formula>IF(AND(SUM($D26:I26)&gt;450,K26&gt;0),1,0)=1</formula>
    </cfRule>
  </conditionalFormatting>
  <conditionalFormatting sqref="L26">
    <cfRule type="expression" dxfId="95" priority="95" stopIfTrue="1">
      <formula>IF(AND(SUM($D26:K26)&gt;13,L26&gt;0),1,0)=1</formula>
    </cfRule>
    <cfRule type="expression" dxfId="94" priority="96" stopIfTrue="1">
      <formula>IF(AND(SUM($D26:K26)=0,L26&gt;0,M26&gt;0),1,0)=1</formula>
    </cfRule>
  </conditionalFormatting>
  <conditionalFormatting sqref="M26">
    <cfRule type="expression" dxfId="93" priority="92" stopIfTrue="1">
      <formula>IF(AND(SUM($D26:K26)=0,L26&gt;0,M26&gt;0),1,0)=1</formula>
    </cfRule>
    <cfRule type="expression" dxfId="92" priority="93" stopIfTrue="1">
      <formula>IF(AND(SUM($D26:K26)=0,L26&gt;0,M26=0),1,0)=1</formula>
    </cfRule>
    <cfRule type="expression" dxfId="91" priority="94" stopIfTrue="1">
      <formula>IF(AND(SUM($D26:K26)&gt;450,M26&gt;0),1,0)=1</formula>
    </cfRule>
  </conditionalFormatting>
  <conditionalFormatting sqref="H27">
    <cfRule type="expression" dxfId="90" priority="90" stopIfTrue="1">
      <formula>IF(AND(SUM($D27:G27)&gt;13,H27&gt;0),1,0)=1</formula>
    </cfRule>
    <cfRule type="expression" dxfId="89" priority="91" stopIfTrue="1">
      <formula>IF(AND(SUM($D27:G27)=0,H27&gt;0,I27&gt;0),1,0)=1</formula>
    </cfRule>
  </conditionalFormatting>
  <conditionalFormatting sqref="I27">
    <cfRule type="expression" dxfId="88" priority="87" stopIfTrue="1">
      <formula>IF(AND(SUM($D27:G27)=0,H27&gt;0,I27&gt;0),1,0)=1</formula>
    </cfRule>
    <cfRule type="expression" dxfId="87" priority="88" stopIfTrue="1">
      <formula>IF(AND(SUM($D27:G27)=0,H27&gt;0,I27=0),1,0)=1</formula>
    </cfRule>
    <cfRule type="expression" dxfId="86" priority="89" stopIfTrue="1">
      <formula>IF(AND(SUM($D27:G27)&gt;450,I27&gt;0),1,0)=1</formula>
    </cfRule>
  </conditionalFormatting>
  <conditionalFormatting sqref="J27">
    <cfRule type="expression" dxfId="85" priority="85" stopIfTrue="1">
      <formula>IF(AND(SUM($D27:I27)&gt;13,J27&gt;0),1,0)=1</formula>
    </cfRule>
    <cfRule type="expression" dxfId="84" priority="86" stopIfTrue="1">
      <formula>IF(AND(SUM($D27:I27)=0,J27&gt;0,K27&gt;0),1,0)=1</formula>
    </cfRule>
  </conditionalFormatting>
  <conditionalFormatting sqref="K27">
    <cfRule type="expression" dxfId="83" priority="82" stopIfTrue="1">
      <formula>IF(AND(SUM($D27:I27)=0,J27&gt;0,K27&gt;0),1,0)=1</formula>
    </cfRule>
    <cfRule type="expression" dxfId="82" priority="83" stopIfTrue="1">
      <formula>IF(AND(SUM($D27:I27)=0,J27&gt;0,K27=0),1,0)=1</formula>
    </cfRule>
    <cfRule type="expression" dxfId="81" priority="84" stopIfTrue="1">
      <formula>IF(AND(SUM($D27:I27)&gt;450,K27&gt;0),1,0)=1</formula>
    </cfRule>
  </conditionalFormatting>
  <conditionalFormatting sqref="L27">
    <cfRule type="expression" dxfId="80" priority="80" stopIfTrue="1">
      <formula>IF(AND(SUM($D27:K27)&gt;13,L27&gt;0),1,0)=1</formula>
    </cfRule>
    <cfRule type="expression" dxfId="79" priority="81" stopIfTrue="1">
      <formula>IF(AND(SUM($D27:K27)=0,L27&gt;0,M27&gt;0),1,0)=1</formula>
    </cfRule>
  </conditionalFormatting>
  <conditionalFormatting sqref="M27">
    <cfRule type="expression" dxfId="78" priority="77" stopIfTrue="1">
      <formula>IF(AND(SUM($D27:K27)=0,L27&gt;0,M27&gt;0),1,0)=1</formula>
    </cfRule>
    <cfRule type="expression" dxfId="77" priority="78" stopIfTrue="1">
      <formula>IF(AND(SUM($D27:K27)=0,L27&gt;0,M27=0),1,0)=1</formula>
    </cfRule>
    <cfRule type="expression" dxfId="76" priority="79" stopIfTrue="1">
      <formula>IF(AND(SUM($D27:K27)&gt;450,M27&gt;0),1,0)=1</formula>
    </cfRule>
  </conditionalFormatting>
  <conditionalFormatting sqref="D12">
    <cfRule type="cellIs" dxfId="75" priority="76" stopIfTrue="1" operator="greaterThan">
      <formula>0</formula>
    </cfRule>
  </conditionalFormatting>
  <conditionalFormatting sqref="E12">
    <cfRule type="expression" dxfId="74" priority="73" stopIfTrue="1">
      <formula>IF(AND(D12=0,E12&gt;0),1,0)=1</formula>
    </cfRule>
    <cfRule type="expression" dxfId="73" priority="74" stopIfTrue="1">
      <formula>IF(AND(D12&gt;0,E12=0),1,0)=1</formula>
    </cfRule>
    <cfRule type="expression" dxfId="72" priority="75" stopIfTrue="1">
      <formula>IF(AND(D12&gt;0,E12&gt;0),1,0)=1</formula>
    </cfRule>
  </conditionalFormatting>
  <conditionalFormatting sqref="D16">
    <cfRule type="cellIs" dxfId="71" priority="72" stopIfTrue="1" operator="greaterThan">
      <formula>0</formula>
    </cfRule>
  </conditionalFormatting>
  <conditionalFormatting sqref="P16">
    <cfRule type="expression" dxfId="70" priority="70" stopIfTrue="1">
      <formula>IF(AND(SUM(D16:M16)&gt;12,P16=""),1,0)=1</formula>
    </cfRule>
    <cfRule type="expression" dxfId="69" priority="71" stopIfTrue="1">
      <formula>IF(AND(SUM(D16:M16)&gt;12,P16&lt;&gt;""),1,0)=1</formula>
    </cfRule>
  </conditionalFormatting>
  <conditionalFormatting sqref="E16">
    <cfRule type="expression" dxfId="68" priority="67" stopIfTrue="1">
      <formula>IF(AND(D16=0,E16&gt;0),1,0)=1</formula>
    </cfRule>
    <cfRule type="expression" dxfId="67" priority="68" stopIfTrue="1">
      <formula>IF(AND(D16&gt;0,E16=0),1,0)=1</formula>
    </cfRule>
    <cfRule type="expression" dxfId="66" priority="69" stopIfTrue="1">
      <formula>IF(AND(D16&gt;0,E16&gt;0),1,0)=1</formula>
    </cfRule>
  </conditionalFormatting>
  <conditionalFormatting sqref="N16">
    <cfRule type="expression" dxfId="65" priority="65" stopIfTrue="1">
      <formula>IF(AND(SUM(D16:M16)&gt;12,N16&lt;&gt;""),1,0)=1</formula>
    </cfRule>
    <cfRule type="expression" dxfId="64" priority="66" stopIfTrue="1">
      <formula>IF(AND(SUM(D16:M16)&gt;13,N16=""),1,0)=1</formula>
    </cfRule>
  </conditionalFormatting>
  <conditionalFormatting sqref="O16">
    <cfRule type="expression" dxfId="63" priority="63" stopIfTrue="1">
      <formula>IF(AND(SUM(D16:M16)&gt;12,O16=""),1,0)=1</formula>
    </cfRule>
    <cfRule type="expression" dxfId="62" priority="64" stopIfTrue="1">
      <formula>IF(AND(SUM(D16:M16)&gt;12,O16&lt;&gt;""),1,0)=1</formula>
    </cfRule>
  </conditionalFormatting>
  <conditionalFormatting sqref="H16">
    <cfRule type="expression" dxfId="61" priority="61" stopIfTrue="1">
      <formula>IF(AND(SUM($D16:G16)&gt;13,H16&gt;0),1,0)=1</formula>
    </cfRule>
    <cfRule type="expression" dxfId="60" priority="62" stopIfTrue="1">
      <formula>IF(AND(SUM($D16:G16)=0,H16&gt;0,I16&gt;0),1,0)=1</formula>
    </cfRule>
  </conditionalFormatting>
  <conditionalFormatting sqref="I16">
    <cfRule type="expression" dxfId="59" priority="58" stopIfTrue="1">
      <formula>IF(AND(SUM($D16:G16)=0,H16&gt;0,I16&gt;0),1,0)=1</formula>
    </cfRule>
    <cfRule type="expression" dxfId="58" priority="59" stopIfTrue="1">
      <formula>IF(AND(SUM($D16:G16)=0,H16&gt;0,I16=0),1,0)=1</formula>
    </cfRule>
    <cfRule type="expression" dxfId="57" priority="60" stopIfTrue="1">
      <formula>IF(AND(SUM($D16:G16)&gt;450,I16&gt;0),1,0)=1</formula>
    </cfRule>
  </conditionalFormatting>
  <conditionalFormatting sqref="F16">
    <cfRule type="expression" dxfId="56" priority="56" stopIfTrue="1">
      <formula>IF(AND(SUM($D16:E16)&gt;13,F16&gt;0),1,0)=1</formula>
    </cfRule>
    <cfRule type="expression" dxfId="55" priority="57" stopIfTrue="1">
      <formula>IF(AND(SUM($D16:E16)=0,F16&gt;0,G16&gt;0),1,0)=1</formula>
    </cfRule>
  </conditionalFormatting>
  <conditionalFormatting sqref="G16">
    <cfRule type="expression" dxfId="54" priority="53" stopIfTrue="1">
      <formula>IF(AND(SUM($D16:E16)=0,F16&gt;0,G16&gt;0),1,0)=1</formula>
    </cfRule>
    <cfRule type="expression" dxfId="53" priority="54" stopIfTrue="1">
      <formula>IF(AND(SUM($D16:E16)=0,F16&gt;0,G16=0),1,0)=1</formula>
    </cfRule>
    <cfRule type="expression" dxfId="52" priority="55" stopIfTrue="1">
      <formula>IF(AND(SUM($D16:E16)&gt;450,G16&gt;0),1,0)=1</formula>
    </cfRule>
  </conditionalFormatting>
  <conditionalFormatting sqref="J16">
    <cfRule type="expression" dxfId="51" priority="51" stopIfTrue="1">
      <formula>IF(AND(SUM($D16:I16)&gt;13,J16&gt;0),1,0)=1</formula>
    </cfRule>
    <cfRule type="expression" dxfId="50" priority="52" stopIfTrue="1">
      <formula>IF(AND(SUM($D16:I16)=0,J16&gt;0,K16&gt;0),1,0)=1</formula>
    </cfRule>
  </conditionalFormatting>
  <conditionalFormatting sqref="K16">
    <cfRule type="expression" dxfId="49" priority="48" stopIfTrue="1">
      <formula>IF(AND(SUM($D16:I16)=0,J16&gt;0,K16&gt;0),1,0)=1</formula>
    </cfRule>
    <cfRule type="expression" dxfId="48" priority="49" stopIfTrue="1">
      <formula>IF(AND(SUM($D16:I16)=0,J16&gt;0,K16=0),1,0)=1</formula>
    </cfRule>
    <cfRule type="expression" dxfId="47" priority="50" stopIfTrue="1">
      <formula>IF(AND(SUM($D16:I16)&gt;450,K16&gt;0),1,0)=1</formula>
    </cfRule>
  </conditionalFormatting>
  <conditionalFormatting sqref="L16">
    <cfRule type="expression" dxfId="46" priority="46" stopIfTrue="1">
      <formula>IF(AND(SUM($D16:K16)&gt;13,L16&gt;0),1,0)=1</formula>
    </cfRule>
    <cfRule type="expression" dxfId="45" priority="47" stopIfTrue="1">
      <formula>IF(AND(SUM($D16:K16)=0,L16&gt;0,M16&gt;0),1,0)=1</formula>
    </cfRule>
  </conditionalFormatting>
  <conditionalFormatting sqref="M16">
    <cfRule type="expression" dxfId="44" priority="43" stopIfTrue="1">
      <formula>IF(AND(SUM($D16:K16)=0,L16&gt;0,M16&gt;0),1,0)=1</formula>
    </cfRule>
    <cfRule type="expression" dxfId="43" priority="44" stopIfTrue="1">
      <formula>IF(AND(SUM($D16:K16)=0,L16&gt;0,M16=0),1,0)=1</formula>
    </cfRule>
    <cfRule type="expression" dxfId="42" priority="45" stopIfTrue="1">
      <formula>IF(AND(SUM($D16:K16)&gt;450,M16&gt;0),1,0)=1</formula>
    </cfRule>
  </conditionalFormatting>
  <conditionalFormatting sqref="D18">
    <cfRule type="cellIs" dxfId="41" priority="42" stopIfTrue="1" operator="greaterThan">
      <formula>0</formula>
    </cfRule>
  </conditionalFormatting>
  <conditionalFormatting sqref="P18">
    <cfRule type="expression" dxfId="40" priority="40" stopIfTrue="1">
      <formula>IF(AND(SUM(D18:M18)&gt;12,P18=""),1,0)=1</formula>
    </cfRule>
    <cfRule type="expression" dxfId="39" priority="41" stopIfTrue="1">
      <formula>IF(AND(SUM(D18:M18)&gt;12,P18&lt;&gt;""),1,0)=1</formula>
    </cfRule>
  </conditionalFormatting>
  <conditionalFormatting sqref="E18">
    <cfRule type="expression" dxfId="38" priority="37" stopIfTrue="1">
      <formula>IF(AND(D18=0,E18&gt;0),1,0)=1</formula>
    </cfRule>
    <cfRule type="expression" dxfId="37" priority="38" stopIfTrue="1">
      <formula>IF(AND(D18&gt;0,E18=0),1,0)=1</formula>
    </cfRule>
    <cfRule type="expression" dxfId="36" priority="39" stopIfTrue="1">
      <formula>IF(AND(D18&gt;0,E18&gt;0),1,0)=1</formula>
    </cfRule>
  </conditionalFormatting>
  <conditionalFormatting sqref="N18">
    <cfRule type="expression" dxfId="35" priority="35" stopIfTrue="1">
      <formula>IF(AND(SUM(D18:M18)&gt;12,N18&lt;&gt;""),1,0)=1</formula>
    </cfRule>
    <cfRule type="expression" dxfId="34" priority="36" stopIfTrue="1">
      <formula>IF(AND(SUM(D18:M18)&gt;13,N18=""),1,0)=1</formula>
    </cfRule>
  </conditionalFormatting>
  <conditionalFormatting sqref="O18">
    <cfRule type="expression" dxfId="33" priority="33" stopIfTrue="1">
      <formula>IF(AND(SUM(D18:M18)&gt;12,O18=""),1,0)=1</formula>
    </cfRule>
    <cfRule type="expression" dxfId="32" priority="34" stopIfTrue="1">
      <formula>IF(AND(SUM(D18:M18)&gt;12,O18&lt;&gt;""),1,0)=1</formula>
    </cfRule>
  </conditionalFormatting>
  <conditionalFormatting sqref="H18">
    <cfRule type="expression" dxfId="31" priority="31" stopIfTrue="1">
      <formula>IF(AND(SUM($D18:G18)&gt;13,H18&gt;0),1,0)=1</formula>
    </cfRule>
    <cfRule type="expression" dxfId="30" priority="32" stopIfTrue="1">
      <formula>IF(AND(SUM($D18:G18)=0,H18&gt;0,I18&gt;0),1,0)=1</formula>
    </cfRule>
  </conditionalFormatting>
  <conditionalFormatting sqref="I18">
    <cfRule type="expression" dxfId="29" priority="28" stopIfTrue="1">
      <formula>IF(AND(SUM($D18:G18)=0,H18&gt;0,I18&gt;0),1,0)=1</formula>
    </cfRule>
    <cfRule type="expression" dxfId="28" priority="29" stopIfTrue="1">
      <formula>IF(AND(SUM($D18:G18)=0,H18&gt;0,I18=0),1,0)=1</formula>
    </cfRule>
    <cfRule type="expression" dxfId="27" priority="30" stopIfTrue="1">
      <formula>IF(AND(SUM($D18:G18)&gt;450,I18&gt;0),1,0)=1</formula>
    </cfRule>
  </conditionalFormatting>
  <conditionalFormatting sqref="F18">
    <cfRule type="expression" dxfId="26" priority="26" stopIfTrue="1">
      <formula>IF(AND(SUM($D18:E18)&gt;13,F18&gt;0),1,0)=1</formula>
    </cfRule>
    <cfRule type="expression" dxfId="25" priority="27" stopIfTrue="1">
      <formula>IF(AND(SUM($D18:E18)=0,F18&gt;0,G18&gt;0),1,0)=1</formula>
    </cfRule>
  </conditionalFormatting>
  <conditionalFormatting sqref="G18">
    <cfRule type="expression" dxfId="24" priority="23" stopIfTrue="1">
      <formula>IF(AND(SUM($D18:E18)=0,F18&gt;0,G18&gt;0),1,0)=1</formula>
    </cfRule>
    <cfRule type="expression" dxfId="23" priority="24" stopIfTrue="1">
      <formula>IF(AND(SUM($D18:E18)=0,F18&gt;0,G18=0),1,0)=1</formula>
    </cfRule>
    <cfRule type="expression" dxfId="22" priority="25" stopIfTrue="1">
      <formula>IF(AND(SUM($D18:E18)&gt;450,G18&gt;0),1,0)=1</formula>
    </cfRule>
  </conditionalFormatting>
  <conditionalFormatting sqref="J18">
    <cfRule type="expression" dxfId="21" priority="21" stopIfTrue="1">
      <formula>IF(AND(SUM($D18:I18)&gt;13,J18&gt;0),1,0)=1</formula>
    </cfRule>
    <cfRule type="expression" dxfId="20" priority="22" stopIfTrue="1">
      <formula>IF(AND(SUM($D18:I18)=0,J18&gt;0,K18&gt;0),1,0)=1</formula>
    </cfRule>
  </conditionalFormatting>
  <conditionalFormatting sqref="K18">
    <cfRule type="expression" dxfId="19" priority="18" stopIfTrue="1">
      <formula>IF(AND(SUM($D18:I18)=0,J18&gt;0,K18&gt;0),1,0)=1</formula>
    </cfRule>
    <cfRule type="expression" dxfId="18" priority="19" stopIfTrue="1">
      <formula>IF(AND(SUM($D18:I18)=0,J18&gt;0,K18=0),1,0)=1</formula>
    </cfRule>
    <cfRule type="expression" dxfId="17" priority="20" stopIfTrue="1">
      <formula>IF(AND(SUM($D18:I18)&gt;450,K18&gt;0),1,0)=1</formula>
    </cfRule>
  </conditionalFormatting>
  <conditionalFormatting sqref="L18">
    <cfRule type="expression" dxfId="16" priority="16" stopIfTrue="1">
      <formula>IF(AND(SUM($D18:K18)&gt;13,L18&gt;0),1,0)=1</formula>
    </cfRule>
    <cfRule type="expression" dxfId="15" priority="17" stopIfTrue="1">
      <formula>IF(AND(SUM($D18:K18)=0,L18&gt;0,M18&gt;0),1,0)=1</formula>
    </cfRule>
  </conditionalFormatting>
  <conditionalFormatting sqref="M18">
    <cfRule type="expression" dxfId="14" priority="13" stopIfTrue="1">
      <formula>IF(AND(SUM($D18:K18)=0,L18&gt;0,M18&gt;0),1,0)=1</formula>
    </cfRule>
    <cfRule type="expression" dxfId="13" priority="14" stopIfTrue="1">
      <formula>IF(AND(SUM($D18:K18)=0,L18&gt;0,M18=0),1,0)=1</formula>
    </cfRule>
    <cfRule type="expression" dxfId="12" priority="15" stopIfTrue="1">
      <formula>IF(AND(SUM($D18:K18)&gt;450,M18&gt;0),1,0)=1</formula>
    </cfRule>
  </conditionalFormatting>
  <conditionalFormatting sqref="S10">
    <cfRule type="notContainsBlanks" dxfId="11" priority="12" stopIfTrue="1">
      <formula>LEN(TRIM(S10))&gt;0</formula>
    </cfRule>
  </conditionalFormatting>
  <conditionalFormatting sqref="S12">
    <cfRule type="notContainsBlanks" dxfId="10" priority="11" stopIfTrue="1">
      <formula>LEN(TRIM(S12))&gt;0</formula>
    </cfRule>
  </conditionalFormatting>
  <conditionalFormatting sqref="S14">
    <cfRule type="notContainsBlanks" dxfId="9" priority="10" stopIfTrue="1">
      <formula>LEN(TRIM(S14))&gt;0</formula>
    </cfRule>
  </conditionalFormatting>
  <conditionalFormatting sqref="S16">
    <cfRule type="notContainsBlanks" dxfId="8" priority="9" stopIfTrue="1">
      <formula>LEN(TRIM(S16))&gt;0</formula>
    </cfRule>
  </conditionalFormatting>
  <conditionalFormatting sqref="S18">
    <cfRule type="notContainsBlanks" dxfId="7" priority="8" stopIfTrue="1">
      <formula>LEN(TRIM(S18))&gt;0</formula>
    </cfRule>
  </conditionalFormatting>
  <conditionalFormatting sqref="S21">
    <cfRule type="notContainsBlanks" dxfId="6" priority="7" stopIfTrue="1">
      <formula>LEN(TRIM(S21))&gt;0</formula>
    </cfRule>
  </conditionalFormatting>
  <conditionalFormatting sqref="S22">
    <cfRule type="notContainsBlanks" dxfId="5" priority="6" stopIfTrue="1">
      <formula>LEN(TRIM(S22))&gt;0</formula>
    </cfRule>
  </conditionalFormatting>
  <conditionalFormatting sqref="S23">
    <cfRule type="notContainsBlanks" dxfId="4" priority="5" stopIfTrue="1">
      <formula>LEN(TRIM(S23))&gt;0</formula>
    </cfRule>
  </conditionalFormatting>
  <conditionalFormatting sqref="S24">
    <cfRule type="notContainsBlanks" dxfId="3" priority="4" stopIfTrue="1">
      <formula>LEN(TRIM(S24))&gt;0</formula>
    </cfRule>
  </conditionalFormatting>
  <conditionalFormatting sqref="S25">
    <cfRule type="notContainsBlanks" dxfId="2" priority="3" stopIfTrue="1">
      <formula>LEN(TRIM(S25))&gt;0</formula>
    </cfRule>
  </conditionalFormatting>
  <conditionalFormatting sqref="S26">
    <cfRule type="notContainsBlanks" dxfId="1" priority="2" stopIfTrue="1">
      <formula>LEN(TRIM(S26))&gt;0</formula>
    </cfRule>
  </conditionalFormatting>
  <conditionalFormatting sqref="S27">
    <cfRule type="notContainsBlanks" dxfId="0" priority="1" stopIfTrue="1">
      <formula>LEN(TRIM(S27))&gt;0</formula>
    </cfRule>
  </conditionalFormatting>
  <dataValidations count="10">
    <dataValidation type="whole" operator="greaterThan" allowBlank="1" showInputMessage="1" showErrorMessage="1" errorTitle="Beschränkung der Eingabewerte" error="Die untere Grenze für Kapitaldienste ist  500 EUR" sqref="D12">
      <formula1>499</formula1>
    </dataValidation>
    <dataValidation type="whole" operator="equal" allowBlank="1" showInputMessage="1" showErrorMessage="1" sqref="N10:P12">
      <formula1>0</formula1>
    </dataValidation>
    <dataValidation type="decimal" allowBlank="1" showInputMessage="1" showErrorMessage="1" sqref="N19:P20 N17:P17 N15:P15">
      <formula1>0</formula1>
      <formula2>0.3</formula2>
    </dataValidation>
    <dataValidation type="decimal" allowBlank="1" showInputMessage="1" showErrorMessage="1" error="Zinswerte werden nur bis 33% angenommen;alles andere ist sittenwirdrig! " sqref="N14 N16 N21:N27 N18">
      <formula1>0</formula1>
      <formula2>0.33</formula2>
    </dataValidation>
    <dataValidation type="whole" allowBlank="1" showInputMessage="1" showErrorMessage="1" error="Es werden max 60 tigungsfrei eMonate angenommen! " sqref="O14 O16 O21:O27 O18">
      <formula1>0</formula1>
      <formula2>60</formula2>
    </dataValidation>
    <dataValidation type="whole" allowBlank="1" showInputMessage="1" showErrorMessage="1" error="er werden maximal 20 Tilgungsjahre angenommen" sqref="P14 P16 P21:P27 P18">
      <formula1>1</formula1>
      <formula2>20</formula2>
    </dataValidation>
    <dataValidation type="list" allowBlank="1" showErrorMessage="1" promptTitle="Mit Mauszeiger auf Pfeil klicken" prompt="In Menü-Liste den Monat anklicken, in dem investiert werden soll._x000a_Keine Eingabe = Januar" sqref="E14 G18 M18 K18 I18 E18 M21:M27 K21:K27 I21:I27 G16 M16 K16 I16 G14 M14 K14 I14 E21:E27 G21:G27 E16">
      <formula1>$D$35:$O$35</formula1>
    </dataValidation>
    <dataValidation type="whole" operator="greaterThan" allowBlank="1" showInputMessage="1" showErrorMessage="1" error="Werte unter410 EUR als Betriebsausgaben im Jahr abschreiben oder in den Sammelposten eingeben" sqref="D14 J14 H14 F14 L14 D16 J16 H16 F16 L16 D21:D27 J21:J27 H21:H27 F21:F27 L21:L27 D18 J18 H18 F18 L18">
      <formula1>409</formula1>
    </dataValidation>
    <dataValidation type="list" allowBlank="1" showInputMessage="1" showErrorMessage="1" sqref="E12 E10">
      <formula1>$C$143:$C$154</formula1>
    </dataValidation>
    <dataValidation type="whole" errorStyle="information" operator="greaterThan" allowBlank="1" showInputMessage="1" showErrorMessage="1" errorTitle="Beschränkung der Eingabewerte" sqref="D10">
      <formula1>499</formula1>
    </dataValidation>
  </dataValidations>
  <printOptions horizontalCentered="1"/>
  <pageMargins left="0.59055118110236227" right="0.59055118110236227" top="0.59055118110236227" bottom="0.6692913385826772" header="0.31496062992125984" footer="0.31496062992125984"/>
  <pageSetup paperSize="9" scale="48" orientation="landscape" r:id="rId1"/>
  <headerFooter alignWithMargins="0">
    <oddFooter>&amp;L&amp;"Verdana,Standard"&amp;9&amp;A&amp;C&amp;"Verdana,Standard"&amp;9&amp;F&amp;R&amp;"Verdana,Standard"&amp;9© 2017 www.Kindermanns.de
Jürgen Erle&amp;6wein</oddFooter>
  </headerFooter>
  <rowBreaks count="1" manualBreakCount="1">
    <brk id="33" min="1" max="15" man="1"/>
  </rowBreaks>
  <ignoredErrors>
    <ignoredError sqref="M130 J8 L8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>
    <pageSetUpPr fitToPage="1"/>
  </sheetPr>
  <dimension ref="A1:EZ75"/>
  <sheetViews>
    <sheetView showGridLines="0" topLeftCell="A4" zoomScale="75" zoomScaleNormal="75" workbookViewId="0">
      <selection activeCell="J61" sqref="J61"/>
    </sheetView>
  </sheetViews>
  <sheetFormatPr baseColWidth="10" defaultColWidth="11.42578125" defaultRowHeight="12.75" x14ac:dyDescent="0.2"/>
  <cols>
    <col min="1" max="1" width="1.28515625" style="537" customWidth="1"/>
    <col min="2" max="7" width="10.7109375" style="537" customWidth="1"/>
    <col min="8" max="8" width="10.7109375" style="882" customWidth="1"/>
    <col min="9" max="22" width="10.7109375" style="537" customWidth="1"/>
    <col min="23" max="23" width="14.85546875" style="537" customWidth="1"/>
    <col min="24" max="24" width="36.140625" style="19" customWidth="1"/>
    <col min="25" max="36" width="11.42578125" style="537" customWidth="1"/>
    <col min="37" max="156" width="11.42578125" style="537" hidden="1" customWidth="1"/>
    <col min="157" max="16384" width="11.42578125" style="537"/>
  </cols>
  <sheetData>
    <row r="1" spans="1:19" ht="66" customHeight="1" x14ac:dyDescent="0.2"/>
    <row r="2" spans="1:19" ht="66" customHeight="1" x14ac:dyDescent="0.2"/>
    <row r="3" spans="1:19" ht="39" customHeight="1" x14ac:dyDescent="0.2">
      <c r="A3" s="880"/>
      <c r="B3" s="880" t="str">
        <f>'Deckblatt|Cover'!$M$7</f>
        <v>Deutsch</v>
      </c>
      <c r="H3" s="537"/>
      <c r="L3" s="1248" t="str">
        <f>"Cockpit-Chart "&amp;IF(B3="English","for Financial Plan of Enterprise ","zum Finanzplan des Unternehmens ")&amp;'Deckblatt Gruender|Data Founder'!D11</f>
        <v xml:space="preserve">Cockpit-Chart zum Finanzplan des Unternehmens </v>
      </c>
    </row>
    <row r="5" spans="1:19" ht="22.5" x14ac:dyDescent="0.3">
      <c r="E5" s="881" t="str">
        <f>IF('Deckblatt Gruender|Data Founder'!$D$8="English","Sales and Income (EUR)","Umsätze und Einnahmen (EUR)")</f>
        <v>Umsätze und Einnahmen (EUR)</v>
      </c>
      <c r="L5" s="881" t="str">
        <f>IF('Deckblatt Gruender|Data Founder'!$D$8="English","Capital Expenditures (EUR)","Investitionen (EUR)")</f>
        <v>Investitionen (EUR)</v>
      </c>
      <c r="S5" s="881" t="str">
        <f>IF('Deckblatt Gruender|Data Founder'!$D$8="English","Cost of Operation II (EUR)","Betriebskosten II (EUR)")</f>
        <v>Betriebskosten II (EUR)</v>
      </c>
    </row>
    <row r="26" spans="2:24" s="882" customFormat="1" x14ac:dyDescent="0.2">
      <c r="X26" s="879"/>
    </row>
    <row r="29" spans="2:24" x14ac:dyDescent="0.2">
      <c r="B29" s="882"/>
      <c r="C29" s="882"/>
      <c r="D29" s="882"/>
      <c r="E29" s="882"/>
      <c r="F29" s="882"/>
      <c r="I29" s="882"/>
      <c r="J29" s="882"/>
      <c r="K29" s="882"/>
      <c r="L29" s="882"/>
      <c r="M29" s="882"/>
      <c r="O29" s="882"/>
      <c r="P29" s="882"/>
      <c r="Q29" s="882"/>
      <c r="R29" s="882"/>
      <c r="S29" s="882"/>
      <c r="T29" s="882"/>
      <c r="U29" s="882"/>
      <c r="V29" s="882"/>
      <c r="W29" s="882"/>
      <c r="X29" s="879"/>
    </row>
    <row r="30" spans="2:24" x14ac:dyDescent="0.2">
      <c r="B30" s="882"/>
      <c r="C30" s="882"/>
      <c r="D30" s="882"/>
      <c r="E30" s="882"/>
      <c r="F30" s="882"/>
      <c r="H30" s="537" t="s">
        <v>441</v>
      </c>
      <c r="I30" s="882"/>
      <c r="J30" s="882"/>
      <c r="K30" s="882"/>
      <c r="L30" s="882"/>
      <c r="M30" s="882"/>
      <c r="O30" s="883" t="s">
        <v>440</v>
      </c>
      <c r="P30" s="882"/>
      <c r="V30" s="537" t="s">
        <v>439</v>
      </c>
    </row>
    <row r="32" spans="2:24" ht="22.5" x14ac:dyDescent="0.3">
      <c r="E32" s="881" t="str">
        <f>IF('Deckblatt Gruender|Data Founder'!$D$8="English","Earnings before Tax (EUR)","Ergebnis vor Steuer (EUR)")</f>
        <v>Ergebnis vor Steuer (EUR)</v>
      </c>
      <c r="L32" s="881" t="str">
        <f>IF('Deckblatt Gruender|Data Founder'!$D$8="English","Liquidity Trend (EUR)","Liquiditätsverlauf (EUR)")</f>
        <v>Liquiditätsverlauf (EUR)</v>
      </c>
      <c r="S32" s="881" t="str">
        <f>IF('Deckblatt Gruender|Data Founder'!$D$8="English","Financing (EUR)","Finanzierung (EUR)")</f>
        <v>Finanzierung (EUR)</v>
      </c>
    </row>
    <row r="53" spans="2:24" s="882" customFormat="1" x14ac:dyDescent="0.2">
      <c r="X53" s="879"/>
    </row>
    <row r="56" spans="2:24" x14ac:dyDescent="0.2">
      <c r="B56" s="882"/>
      <c r="C56" s="882"/>
      <c r="D56" s="882"/>
      <c r="E56" s="882"/>
      <c r="F56" s="882"/>
      <c r="I56" s="882"/>
      <c r="J56" s="882"/>
      <c r="K56" s="882"/>
      <c r="L56" s="882"/>
      <c r="M56" s="882"/>
      <c r="P56" s="882"/>
      <c r="Q56" s="882"/>
      <c r="R56" s="882"/>
      <c r="S56" s="882"/>
      <c r="T56" s="882"/>
      <c r="W56" s="882"/>
      <c r="X56" s="879"/>
    </row>
    <row r="57" spans="2:24" x14ac:dyDescent="0.2">
      <c r="B57" s="882"/>
      <c r="C57" s="882"/>
      <c r="D57" s="882"/>
      <c r="E57" s="882"/>
      <c r="F57" s="882"/>
      <c r="H57" s="537" t="s">
        <v>444</v>
      </c>
      <c r="I57" s="882"/>
      <c r="J57" s="882"/>
      <c r="K57" s="882"/>
      <c r="L57" s="882"/>
      <c r="M57" s="882"/>
      <c r="O57" s="537" t="s">
        <v>443</v>
      </c>
      <c r="P57" s="882"/>
      <c r="V57" s="537" t="s">
        <v>442</v>
      </c>
    </row>
    <row r="58" spans="2:24" ht="6" customHeight="1" x14ac:dyDescent="0.2">
      <c r="H58" s="537"/>
    </row>
    <row r="59" spans="2:24" x14ac:dyDescent="0.2">
      <c r="U59" s="880"/>
      <c r="V59" s="880"/>
    </row>
    <row r="61" spans="2:24" ht="16.5" customHeight="1" x14ac:dyDescent="0.2"/>
    <row r="75" spans="7:8" x14ac:dyDescent="0.2">
      <c r="G75" s="884"/>
      <c r="H75" s="537"/>
    </row>
  </sheetData>
  <sheetProtection algorithmName="SHA-512" hashValue="ELyaqmFTEVmwAa4Ks5ZpLEzNuhwIdAeTcrcfMu1IeM1zgEitcUBANFKjAzPInsANcj2iU4PMG9O47+gsHWTNSA==" saltValue="gdlzQz2KWqP6opZa8ERoeQ==" spinCount="100000" sheet="1" objects="1" scenarios="1"/>
  <printOptions horizontalCentered="1" verticalCentered="1"/>
  <pageMargins left="0.59055118110236227" right="0.59055118110236227" top="0.51181102362204722" bottom="0.51181102362204722" header="0.51181102362204722" footer="0.51181102362204722"/>
  <pageSetup paperSize="9" scale="56" orientation="landscape" r:id="rId1"/>
  <headerFooter>
    <oddFooter xml:space="preserve">&amp;L&amp;A&amp;C&amp;F&amp;R© copyright 2017 Juergen Erlewein 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>
    <pageSetUpPr fitToPage="1"/>
  </sheetPr>
  <dimension ref="A1:EZ45"/>
  <sheetViews>
    <sheetView showGridLines="0" zoomScale="80" zoomScaleNormal="80" workbookViewId="0">
      <selection activeCell="F1" sqref="F1"/>
    </sheetView>
  </sheetViews>
  <sheetFormatPr baseColWidth="10" defaultColWidth="11.5703125" defaultRowHeight="12.75" x14ac:dyDescent="0.2"/>
  <cols>
    <col min="1" max="15" width="11.5703125" style="19" customWidth="1"/>
    <col min="16" max="16" width="15.42578125" style="19" customWidth="1"/>
    <col min="17" max="17" width="8" style="19" customWidth="1"/>
    <col min="18" max="19" width="15" style="19" customWidth="1"/>
    <col min="20" max="36" width="11.5703125" style="19" customWidth="1"/>
    <col min="37" max="99" width="11.5703125" style="19" hidden="1" customWidth="1"/>
    <col min="100" max="101" width="142.5703125" style="19" hidden="1" customWidth="1"/>
    <col min="102" max="156" width="11.5703125" style="19" hidden="1" customWidth="1"/>
    <col min="157" max="16384" width="11.5703125" style="19"/>
  </cols>
  <sheetData>
    <row r="1" spans="1:103" ht="66" customHeight="1" x14ac:dyDescent="0.2"/>
    <row r="2" spans="1:103" ht="16.5" customHeight="1" x14ac:dyDescent="0.2"/>
    <row r="3" spans="1:103" x14ac:dyDescent="0.2">
      <c r="A3" s="1243"/>
      <c r="B3" s="18" t="str">
        <f>'Deckblatt Gruender|Data Founder'!D8</f>
        <v>Deutsch</v>
      </c>
    </row>
    <row r="4" spans="1:103" ht="18" x14ac:dyDescent="0.2">
      <c r="B4" s="29" t="str">
        <f>IF($B$3="English",IF(CW4="","",CW4),IF(CV4="","",CV4))</f>
        <v>Finanzplanung für Gründer und Gründerinnen leicht gemacht!</v>
      </c>
      <c r="CV4" s="20" t="s">
        <v>419</v>
      </c>
      <c r="CW4" s="20" t="s">
        <v>427</v>
      </c>
    </row>
    <row r="5" spans="1:103" ht="18" x14ac:dyDescent="0.2">
      <c r="B5" s="29" t="str">
        <f t="shared" ref="B5:B29" si="0">IF($B$3="English",IF(CW5="","",CW5),IF(CV5="","",CV5))</f>
        <v/>
      </c>
      <c r="AB5" s="917"/>
      <c r="CV5" s="20"/>
      <c r="CW5" s="20"/>
    </row>
    <row r="6" spans="1:103" ht="18" x14ac:dyDescent="0.2">
      <c r="B6" s="29" t="str">
        <f t="shared" si="0"/>
        <v>Vorwort</v>
      </c>
      <c r="AB6" s="917"/>
      <c r="CV6" s="20" t="s">
        <v>420</v>
      </c>
      <c r="CW6" s="20" t="s">
        <v>428</v>
      </c>
    </row>
    <row r="7" spans="1:103" ht="15" x14ac:dyDescent="0.2">
      <c r="B7" s="20" t="str">
        <f t="shared" si="0"/>
        <v/>
      </c>
      <c r="CV7" s="21"/>
      <c r="CW7" s="21"/>
    </row>
    <row r="8" spans="1:103" ht="15" x14ac:dyDescent="0.2">
      <c r="B8" s="25" t="str">
        <f t="shared" si="0"/>
        <v>Finanzplanungstabellen sind für Freiberufler,  Einzelunternehmer, umsatzsteuerpflichtigen Unternehmen, wie Personengesellschaften (z.B. GbR, KG),</v>
      </c>
      <c r="CV8" s="17" t="s">
        <v>452</v>
      </c>
      <c r="CW8" s="17" t="s">
        <v>436</v>
      </c>
      <c r="CX8" s="17"/>
    </row>
    <row r="9" spans="1:103" ht="15" x14ac:dyDescent="0.2">
      <c r="B9" s="25" t="str">
        <f t="shared" si="0"/>
        <v xml:space="preserve">Einzelhandel und Kapitalgesellschaften (wie GmbH) verwendbar.   </v>
      </c>
      <c r="CV9" s="19" t="s">
        <v>450</v>
      </c>
      <c r="CW9" s="19" t="s">
        <v>451</v>
      </c>
      <c r="CX9" s="17"/>
    </row>
    <row r="10" spans="1:103" ht="15" x14ac:dyDescent="0.2">
      <c r="B10" s="25" t="str">
        <f t="shared" si="0"/>
        <v/>
      </c>
      <c r="CW10" s="19" t="s">
        <v>173</v>
      </c>
    </row>
    <row r="11" spans="1:103" ht="15" x14ac:dyDescent="0.2">
      <c r="B11" s="25" t="str">
        <f t="shared" si="0"/>
        <v xml:space="preserve">Vor der Finanzplanung haben Existenzgründer und Existenzgründerinnen in der Regel eine große Scheu. Für Viele ist die Finanzplanung ein Buch </v>
      </c>
      <c r="CV11" s="17" t="s">
        <v>504</v>
      </c>
      <c r="CW11" s="19" t="s">
        <v>435</v>
      </c>
      <c r="CX11" s="9"/>
    </row>
    <row r="12" spans="1:103" ht="18" x14ac:dyDescent="0.2">
      <c r="B12" s="25" t="str">
        <f t="shared" si="0"/>
        <v>mit sieben Siegeln,ein bisher unbekanntes Terrain. Aber zu jeder Existenzgründung und zu jedem  Business-Plan gehört nun einmal auch eine grobe</v>
      </c>
      <c r="CV12" s="19" t="s">
        <v>505</v>
      </c>
      <c r="CW12" s="17" t="s">
        <v>509</v>
      </c>
      <c r="CX12" s="31"/>
    </row>
    <row r="13" spans="1:103" ht="15" x14ac:dyDescent="0.2">
      <c r="B13" s="25" t="str">
        <f t="shared" si="0"/>
        <v>Finanzplanung mit Umsatzvorausschau, Rentabilitätsberechnung und Liquiditätsbetrachtung. Erst diese Daten – auch wenn es nur Prognosewerte sind -</v>
      </c>
      <c r="CV13" s="19" t="s">
        <v>506</v>
      </c>
      <c r="CW13" s="19" t="s">
        <v>510</v>
      </c>
      <c r="CX13" s="7"/>
    </row>
    <row r="14" spans="1:103" ht="15" x14ac:dyDescent="0.2">
      <c r="B14" s="25" t="str">
        <f t="shared" si="0"/>
        <v>zeigen, ob das geplante Unternehmen voraussichtlich auch Gewinn abwirft und sich in den nächsten Jahren auch auf dem Markt durchsetzen kann.</v>
      </c>
      <c r="CV14" s="19" t="s">
        <v>507</v>
      </c>
      <c r="CW14" s="19" t="s">
        <v>511</v>
      </c>
      <c r="CX14" s="7"/>
    </row>
    <row r="15" spans="1:103" ht="15" x14ac:dyDescent="0.2">
      <c r="B15" s="25" t="str">
        <f t="shared" si="0"/>
        <v/>
      </c>
      <c r="CX15" s="7"/>
    </row>
    <row r="16" spans="1:103" ht="18" x14ac:dyDescent="0.2">
      <c r="B16" s="25" t="str">
        <f t="shared" si="0"/>
        <v>Ohne eine Darstellung der voraussichtlichen Finanzverhältnisse wird keine Bank dem Existenzgründer oder der Gründerin ein Darlehen geben oder einen</v>
      </c>
      <c r="CV16" s="17" t="s">
        <v>596</v>
      </c>
      <c r="CW16" s="17" t="s">
        <v>437</v>
      </c>
      <c r="CX16" s="30"/>
      <c r="CY16" s="30"/>
    </row>
    <row r="17" spans="2:102" ht="15" x14ac:dyDescent="0.2">
      <c r="B17" s="25" t="str">
        <f t="shared" si="0"/>
        <v xml:space="preserve">Kredit einräumen. Auch zur Erstellung der Tragfähigkeitsbescheinigung für die Agentur für Arbeit oder das Jobcenter ist eine Finanzplanung Voraussetzung.  </v>
      </c>
      <c r="CV17" s="19" t="s">
        <v>598</v>
      </c>
      <c r="CW17" s="19" t="s">
        <v>432</v>
      </c>
    </row>
    <row r="18" spans="2:102" ht="15" x14ac:dyDescent="0.2">
      <c r="B18" s="25" t="str">
        <f t="shared" si="0"/>
        <v xml:space="preserve">     </v>
      </c>
      <c r="CV18" s="19" t="s">
        <v>597</v>
      </c>
    </row>
    <row r="19" spans="2:102" ht="15" x14ac:dyDescent="0.2">
      <c r="B19" s="25" t="str">
        <f t="shared" si="0"/>
        <v>Die Tabellen sollen dem Gründer/der Gründerin die Finanzplanung erleichtern. Es wird empfohlen, die Tabellen, eine nach der anderen, auszufüllen.</v>
      </c>
      <c r="CV19" s="17" t="s">
        <v>508</v>
      </c>
      <c r="CW19" s="17" t="s">
        <v>433</v>
      </c>
    </row>
    <row r="20" spans="2:102" ht="15" x14ac:dyDescent="0.2">
      <c r="B20" s="25" t="str">
        <f t="shared" si="0"/>
        <v xml:space="preserve">Tabellen sind miteinander verknüpft, so dass jederzeit die Auswirkung einer Planänderung auf das Ergebnis erkennbar ist.  Außerdem wird jetzt sofort </v>
      </c>
      <c r="CV20" s="19" t="s">
        <v>421</v>
      </c>
      <c r="CW20" s="19" t="s">
        <v>434</v>
      </c>
    </row>
    <row r="21" spans="2:102" ht="15" x14ac:dyDescent="0.2">
      <c r="B21" s="25" t="str">
        <f t="shared" si="0"/>
        <v>aus den eingebenen Zahlen eine anschauliche Grafik über den jeweiligen Zeithorizont erzeugt. Zusätzlich sind dann alle Grafiken nochmals zusammen</v>
      </c>
      <c r="CV21" s="19" t="s">
        <v>422</v>
      </c>
      <c r="CW21" s="19" t="s">
        <v>595</v>
      </c>
      <c r="CX21" s="12"/>
    </row>
    <row r="22" spans="2:102" ht="15" x14ac:dyDescent="0.2">
      <c r="B22" s="25" t="str">
        <f>IF($B$3="English",IF(#REF!="","",#REF!),IF(CV22="","",CV22))</f>
        <v>im Blatt "Cockpit-Chart" zu sehen. Noch zu erledigende Arbeiten können in jeder Tabelle in die dafür vorgesehenen Kommentarzeilen geschrieben werden.</v>
      </c>
      <c r="CV22" s="19" t="s">
        <v>594</v>
      </c>
      <c r="CX22"/>
    </row>
    <row r="23" spans="2:102" ht="15" x14ac:dyDescent="0.2">
      <c r="B23" s="25" t="str">
        <f>IF($B$3="English",IF(CW24="","",CW24),IF(CV23="","",CV23))</f>
        <v/>
      </c>
    </row>
    <row r="24" spans="2:102" ht="15" x14ac:dyDescent="0.2">
      <c r="B24" s="25" t="str">
        <f>IF($B$3="English",IF(CW25="","",CW25),IF(CV24="","",CV24))</f>
        <v xml:space="preserve">Probieren Sie es! Mit den Tabellen ist die Finanzplanung für Ihr Unternehmen relativ einfach. </v>
      </c>
      <c r="CV24" s="17" t="s">
        <v>423</v>
      </c>
      <c r="CW24" s="17" t="s">
        <v>431</v>
      </c>
    </row>
    <row r="25" spans="2:102" ht="15" x14ac:dyDescent="0.2">
      <c r="B25" s="25" t="str">
        <f t="shared" si="0"/>
        <v/>
      </c>
    </row>
    <row r="26" spans="2:102" ht="15" x14ac:dyDescent="0.2">
      <c r="B26" s="28" t="str">
        <f t="shared" si="0"/>
        <v>Eine Bedienungsanleitung mit Tipps zum Ausfüllen der Tabellen kann aus dem Internet (www.kindermanns.de) unter Downloads heruntergeladen werden.</v>
      </c>
      <c r="CV26" s="27" t="s">
        <v>424</v>
      </c>
      <c r="CW26" s="27" t="s">
        <v>438</v>
      </c>
    </row>
    <row r="27" spans="2:102" ht="15" x14ac:dyDescent="0.2">
      <c r="B27" s="25" t="str">
        <f t="shared" si="0"/>
        <v/>
      </c>
    </row>
    <row r="28" spans="2:102" ht="15" x14ac:dyDescent="0.2">
      <c r="B28" s="25" t="str">
        <f t="shared" si="0"/>
        <v xml:space="preserve">Wir hoffen, dass die überarbeiten Tabellen die Finanzplanung erleichtern. Anregungen und Verbesserungsvorschläge sind herzlich willkommen. </v>
      </c>
      <c r="CV28" s="17" t="s">
        <v>425</v>
      </c>
      <c r="CW28" s="17" t="s">
        <v>429</v>
      </c>
    </row>
    <row r="29" spans="2:102" ht="15" x14ac:dyDescent="0.2">
      <c r="B29" s="25" t="str">
        <f t="shared" si="0"/>
        <v/>
      </c>
    </row>
    <row r="30" spans="2:102" ht="18" x14ac:dyDescent="0.35">
      <c r="B30" s="1244" t="s">
        <v>576</v>
      </c>
      <c r="E30" s="1245" t="str">
        <f>IF($B$3="English",IF($CW$30="","",$CW$30),IF($CV$30="","",$CV$30))</f>
        <v>und</v>
      </c>
      <c r="G30" s="1244" t="s">
        <v>577</v>
      </c>
      <c r="CV30" s="17" t="s">
        <v>578</v>
      </c>
      <c r="CW30" s="17" t="s">
        <v>579</v>
      </c>
    </row>
    <row r="32" spans="2:102" x14ac:dyDescent="0.2">
      <c r="B32" s="1246" t="s">
        <v>580</v>
      </c>
      <c r="G32" s="24" t="s">
        <v>581</v>
      </c>
      <c r="CV32" s="16" t="s">
        <v>426</v>
      </c>
      <c r="CW32" s="16" t="s">
        <v>430</v>
      </c>
    </row>
    <row r="35" spans="2:2" x14ac:dyDescent="0.2">
      <c r="B35" s="26" t="str">
        <f>IF($B$3="English",IF(CW32="","",CW32),IF(CV32="","",CV32))</f>
        <v>Jegliche Haftung für die Richtigkeit der berechneten Werte ist ausgeschlossen.</v>
      </c>
    </row>
    <row r="36" spans="2:2" x14ac:dyDescent="0.2">
      <c r="B36" s="22"/>
    </row>
    <row r="37" spans="2:2" x14ac:dyDescent="0.2">
      <c r="B37" s="23"/>
    </row>
    <row r="38" spans="2:2" x14ac:dyDescent="0.2">
      <c r="B38" s="23"/>
    </row>
    <row r="39" spans="2:2" x14ac:dyDescent="0.2">
      <c r="B39" s="23"/>
    </row>
    <row r="40" spans="2:2" x14ac:dyDescent="0.2">
      <c r="B40" s="23"/>
    </row>
    <row r="41" spans="2:2" x14ac:dyDescent="0.2">
      <c r="B41" s="23"/>
    </row>
    <row r="42" spans="2:2" x14ac:dyDescent="0.2">
      <c r="B42" s="24"/>
    </row>
    <row r="43" spans="2:2" x14ac:dyDescent="0.2">
      <c r="B43" s="23"/>
    </row>
    <row r="44" spans="2:2" x14ac:dyDescent="0.2">
      <c r="B44" s="23"/>
    </row>
    <row r="45" spans="2:2" x14ac:dyDescent="0.2">
      <c r="B45" s="23"/>
    </row>
  </sheetData>
  <sheetProtection algorithmName="SHA-512" hashValue="vuZxqfKIt+05SBA/nDlFWKXlSvpQsTEId3SeGxrejU5i7Tw75LX07ZGl08AoAbtB5w0E1MSCJG+8KyX3dX/79A==" saltValue="LOq3VhdoPsqKOET6fnsGqA==" spinCount="100000" sheet="1" objects="1" scenarios="1" selectLockedCells="1" selectUnlockedCells="1"/>
  <phoneticPr fontId="0" type="noConversion"/>
  <hyperlinks>
    <hyperlink ref="CV26" r:id="rId1"/>
    <hyperlink ref="CW26" r:id="rId2" display="A User Guide with tips for filling in the sheets can be downloaded from the internet (www.kindermanns.de) and their under Downloads."/>
    <hyperlink ref="B26" r:id="rId3" display="http://kindermanns.de/"/>
    <hyperlink ref="B32" r:id="rId4"/>
    <hyperlink ref="G32" r:id="rId5"/>
  </hyperlinks>
  <printOptions horizontalCentered="1"/>
  <pageMargins left="0.78740157480314965" right="0.78740157480314965" top="0.78740157480314965" bottom="0.78740157480314965" header="0.39370078740157483" footer="0.51181102362204722"/>
  <pageSetup paperSize="9" scale="71" orientation="landscape" r:id="rId6"/>
  <headerFooter>
    <oddFooter>&amp;L&amp;9&amp;A&amp;C&amp;9&amp;F&amp;R&amp;9 © 2017 www.Kindermanns.de
Jürgen Erlewein</oddFooter>
  </headerFooter>
  <drawing r:id="rId7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>
    <pageSetUpPr fitToPage="1"/>
  </sheetPr>
  <dimension ref="A1:EZ57"/>
  <sheetViews>
    <sheetView showGridLines="0" topLeftCell="A6" zoomScale="120" zoomScaleNormal="120" workbookViewId="0">
      <selection activeCell="D11" sqref="D11:J11"/>
    </sheetView>
  </sheetViews>
  <sheetFormatPr baseColWidth="10" defaultColWidth="11.5703125" defaultRowHeight="18" x14ac:dyDescent="0.25"/>
  <cols>
    <col min="1" max="1" width="31.5703125" style="292" customWidth="1"/>
    <col min="2" max="2" width="1.28515625" style="292" customWidth="1"/>
    <col min="3" max="3" width="1.28515625" style="301" customWidth="1"/>
    <col min="4" max="4" width="12.7109375" style="301" customWidth="1"/>
    <col min="5" max="5" width="21" style="292" customWidth="1"/>
    <col min="6" max="6" width="14.85546875" style="292" customWidth="1"/>
    <col min="7" max="7" width="17.140625" style="294" customWidth="1"/>
    <col min="8" max="8" width="2" style="292" customWidth="1"/>
    <col min="9" max="9" width="37.42578125" style="304" customWidth="1"/>
    <col min="10" max="10" width="2.5703125" style="301" customWidth="1"/>
    <col min="11" max="11" width="4.7109375" style="301" customWidth="1"/>
    <col min="12" max="12" width="3.85546875" style="301" customWidth="1"/>
    <col min="13" max="13" width="6" style="301" customWidth="1"/>
    <col min="14" max="14" width="8.42578125" style="301" customWidth="1"/>
    <col min="15" max="15" width="7.42578125" style="294" customWidth="1"/>
    <col min="16" max="16" width="7.42578125" style="292" customWidth="1"/>
    <col min="17" max="17" width="11" style="292" customWidth="1"/>
    <col min="18" max="18" width="7.28515625" style="1264" customWidth="1"/>
    <col min="19" max="19" width="11.5703125" style="287" customWidth="1"/>
    <col min="20" max="22" width="11.5703125" style="294" customWidth="1"/>
    <col min="23" max="36" width="11.5703125" style="292" customWidth="1"/>
    <col min="37" max="88" width="11.5703125" style="292" hidden="1" customWidth="1"/>
    <col min="89" max="89" width="26.140625" style="297" hidden="1" customWidth="1"/>
    <col min="90" max="90" width="31.7109375" style="297" hidden="1" customWidth="1"/>
    <col min="91" max="91" width="25.5703125" style="328" hidden="1" customWidth="1"/>
    <col min="92" max="92" width="56.42578125" style="1153" hidden="1" customWidth="1"/>
    <col min="93" max="93" width="58.5703125" style="944" hidden="1" customWidth="1"/>
    <col min="94" max="94" width="21" style="233" hidden="1" customWidth="1"/>
    <col min="95" max="95" width="17.140625" style="233" hidden="1" customWidth="1"/>
    <col min="96" max="96" width="24.5703125" style="233" hidden="1" customWidth="1"/>
    <col min="97" max="97" width="17.28515625" style="233" hidden="1" customWidth="1"/>
    <col min="98" max="98" width="37.42578125" style="233" hidden="1" customWidth="1"/>
    <col min="99" max="99" width="9.5703125" style="233" hidden="1" customWidth="1"/>
    <col min="100" max="100" width="7.28515625" style="272" hidden="1" customWidth="1"/>
    <col min="101" max="102" width="46.5703125" style="272" hidden="1" customWidth="1"/>
    <col min="103" max="103" width="6" style="272" hidden="1" customWidth="1"/>
    <col min="104" max="104" width="29.28515625" style="272" hidden="1" customWidth="1"/>
    <col min="105" max="105" width="24.28515625" style="272" hidden="1" customWidth="1"/>
    <col min="106" max="106" width="6" style="272" hidden="1" customWidth="1"/>
    <col min="107" max="107" width="11.5703125" style="272" hidden="1" customWidth="1"/>
    <col min="108" max="110" width="11.5703125" style="328" hidden="1" customWidth="1"/>
    <col min="111" max="114" width="11.5703125" style="297" hidden="1" customWidth="1"/>
    <col min="115" max="120" width="11.5703125" style="299" hidden="1" customWidth="1"/>
    <col min="121" max="126" width="11.5703125" style="297" hidden="1" customWidth="1"/>
    <col min="127" max="156" width="11.5703125" style="292" hidden="1" customWidth="1"/>
    <col min="157" max="157" width="11.5703125" style="292" customWidth="1"/>
    <col min="158" max="16384" width="11.5703125" style="292"/>
  </cols>
  <sheetData>
    <row r="1" spans="1:126" s="346" customFormat="1" ht="14.25" hidden="1" x14ac:dyDescent="0.2">
      <c r="A1" s="1296">
        <v>0.19</v>
      </c>
      <c r="C1" s="1297" t="str">
        <f>IF($D$8="English",CO1,CN1)</f>
        <v>FreiberuflerIn</v>
      </c>
      <c r="D1" s="1298"/>
      <c r="E1" s="346">
        <f>IF(ISNA(VLOOKUP(D13,C1:C5,1,FALSE)),1,VLOOKUP(D13,C1:C5,1,FALSE))</f>
        <v>1</v>
      </c>
      <c r="G1" s="1297" t="str">
        <f>IF($D$8="English",CS1,CR1)</f>
        <v>Kleinunternehmerregelung</v>
      </c>
      <c r="H1" s="346">
        <f>IF(ISNA(VLOOKUP(I13,G1:G2,1,FALSE)),1,VLOOKUP(I13,G1:G2,1,FALSE))</f>
        <v>1</v>
      </c>
      <c r="I1" s="1299"/>
      <c r="J1" s="346" t="str">
        <f>IF(OR(I13=G1,D13=C4),"mit MwSt","ohne MwSt")</f>
        <v>ohne MwSt</v>
      </c>
      <c r="K1" s="346" t="str">
        <f>IF(OR(I13=G1,D13=C4),"incl. VAT","w/o VAT")</f>
        <v>w/o VAT</v>
      </c>
      <c r="L1" s="346">
        <f ca="1">YEAR(TODAY())</f>
        <v>2017</v>
      </c>
      <c r="M1" s="1300">
        <f>IF(AND(D13="",I13=""),0,IF(AND(OR(D13=C1,D13=C2,D13=C3),I13=G2),0,IF(AND(OR(D13=C1,D13=C2,D13=C3),I13=G1),1,IF(D13=C4,2,3))))</f>
        <v>0</v>
      </c>
      <c r="N1" s="346" t="s">
        <v>551</v>
      </c>
      <c r="S1" s="346" t="s">
        <v>376</v>
      </c>
      <c r="T1" s="1297" t="s">
        <v>91</v>
      </c>
      <c r="V1" s="346" t="str">
        <f t="shared" ref="V1:V12" si="0">IF($D$8="English",S1,T1)</f>
        <v>Januar</v>
      </c>
      <c r="W1" s="346">
        <v>1</v>
      </c>
      <c r="X1" s="346">
        <f>IF(F15="",1,VLOOKUP(F15,V1:W14,2,FALSE))</f>
        <v>1</v>
      </c>
      <c r="CK1" s="432"/>
      <c r="CL1" s="432"/>
      <c r="CM1" s="1152"/>
      <c r="CN1" s="943" t="s">
        <v>142</v>
      </c>
      <c r="CO1" s="944" t="s">
        <v>413</v>
      </c>
      <c r="CP1" s="233"/>
      <c r="CQ1" s="233"/>
      <c r="CR1" s="233" t="s">
        <v>144</v>
      </c>
      <c r="CS1" s="233" t="s">
        <v>330</v>
      </c>
      <c r="CT1" s="233"/>
      <c r="CU1" s="233"/>
      <c r="CV1" s="272"/>
      <c r="CW1" s="272"/>
      <c r="CX1" s="272"/>
      <c r="CY1" s="272"/>
      <c r="CZ1" s="272"/>
      <c r="DA1" s="272"/>
      <c r="DB1" s="272"/>
      <c r="DC1" s="272"/>
      <c r="DD1" s="1153"/>
      <c r="DE1" s="1153"/>
      <c r="DF1" s="1153"/>
      <c r="DG1" s="432"/>
      <c r="DH1" s="432"/>
      <c r="DI1" s="432"/>
      <c r="DJ1" s="432"/>
      <c r="DK1" s="432"/>
      <c r="DL1" s="432"/>
      <c r="DM1" s="432"/>
      <c r="DN1" s="432"/>
      <c r="DO1" s="432"/>
      <c r="DP1" s="432"/>
      <c r="DQ1" s="432"/>
      <c r="DR1" s="432"/>
      <c r="DS1" s="432"/>
      <c r="DT1" s="432"/>
      <c r="DU1" s="432"/>
      <c r="DV1" s="432"/>
    </row>
    <row r="2" spans="1:126" s="346" customFormat="1" ht="14.25" hidden="1" x14ac:dyDescent="0.2">
      <c r="A2" s="1296">
        <v>7.0000000000000007E-2</v>
      </c>
      <c r="C2" s="1297" t="str">
        <f>IF($D$8="English",CO2,CN2)</f>
        <v>Einzelunternehmen</v>
      </c>
      <c r="D2" s="1298"/>
      <c r="G2" s="1297" t="str">
        <f>IF($D$8="English",CS2,CR2)</f>
        <v>umsatzsteuerpflichtig</v>
      </c>
      <c r="I2" s="1299"/>
      <c r="J2" s="346" t="str">
        <f>IF(J1="ohne MwSt","mit MwSt", "ohne MwSt")</f>
        <v>mit MwSt</v>
      </c>
      <c r="K2" s="346" t="str">
        <f>IF(K1="w/o VAT","incl VAT", "w/o VAT")</f>
        <v>incl VAT</v>
      </c>
      <c r="L2" s="346">
        <f ca="1">L1+1</f>
        <v>2018</v>
      </c>
      <c r="N2" s="346" t="s">
        <v>550</v>
      </c>
      <c r="S2" s="346" t="s">
        <v>414</v>
      </c>
      <c r="T2" s="1297" t="s">
        <v>92</v>
      </c>
      <c r="V2" s="346" t="str">
        <f t="shared" si="0"/>
        <v>Februar</v>
      </c>
      <c r="W2" s="346">
        <v>2</v>
      </c>
      <c r="CK2" s="432"/>
      <c r="CL2" s="432"/>
      <c r="CM2" s="1153"/>
      <c r="CN2" s="943" t="s">
        <v>167</v>
      </c>
      <c r="CO2" s="944" t="s">
        <v>327</v>
      </c>
      <c r="CP2" s="233"/>
      <c r="CQ2" s="233"/>
      <c r="CR2" s="233" t="s">
        <v>143</v>
      </c>
      <c r="CS2" s="233" t="s">
        <v>331</v>
      </c>
      <c r="CT2" s="233"/>
      <c r="CU2" s="233"/>
      <c r="CV2" s="272"/>
      <c r="CW2" s="272"/>
      <c r="CX2" s="272"/>
      <c r="CY2" s="272"/>
      <c r="CZ2" s="272"/>
      <c r="DA2" s="272"/>
      <c r="DB2" s="272"/>
      <c r="DC2" s="272"/>
      <c r="DD2" s="1153"/>
      <c r="DE2" s="1153"/>
      <c r="DF2" s="1153"/>
      <c r="DG2" s="432"/>
      <c r="DH2" s="432"/>
      <c r="DI2" s="432"/>
      <c r="DJ2" s="432"/>
      <c r="DK2" s="432"/>
      <c r="DL2" s="432"/>
      <c r="DM2" s="432"/>
      <c r="DN2" s="432"/>
      <c r="DO2" s="432"/>
      <c r="DP2" s="432"/>
      <c r="DQ2" s="432"/>
      <c r="DR2" s="432"/>
      <c r="DS2" s="432"/>
      <c r="DT2" s="432"/>
      <c r="DU2" s="432"/>
      <c r="DV2" s="432"/>
    </row>
    <row r="3" spans="1:126" s="346" customFormat="1" ht="14.25" hidden="1" x14ac:dyDescent="0.2">
      <c r="A3" s="1301"/>
      <c r="C3" s="1297" t="str">
        <f>IF($D$8="English",CO4,CN4)</f>
        <v>Personengesellschaft</v>
      </c>
      <c r="H3" s="1298"/>
      <c r="L3" s="346">
        <f ca="1">L2+1</f>
        <v>2019</v>
      </c>
      <c r="N3" s="346" t="s">
        <v>549</v>
      </c>
      <c r="S3" s="346" t="s">
        <v>378</v>
      </c>
      <c r="T3" s="1297" t="s">
        <v>3</v>
      </c>
      <c r="V3" s="346" t="str">
        <f t="shared" si="0"/>
        <v>März</v>
      </c>
      <c r="W3" s="346">
        <v>3</v>
      </c>
      <c r="CK3" s="432"/>
      <c r="CL3" s="432"/>
      <c r="CM3" s="1153"/>
      <c r="CN3" s="346" t="s">
        <v>446</v>
      </c>
      <c r="CO3" s="346" t="s">
        <v>447</v>
      </c>
      <c r="CP3" s="233"/>
      <c r="CQ3" s="233"/>
      <c r="CR3" s="233" t="s">
        <v>144</v>
      </c>
      <c r="CS3" s="233" t="s">
        <v>330</v>
      </c>
      <c r="CT3" s="233"/>
      <c r="CU3" s="233"/>
      <c r="CV3" s="272"/>
      <c r="CW3" s="272"/>
      <c r="CX3" s="272"/>
      <c r="CY3" s="272"/>
      <c r="CZ3" s="272"/>
      <c r="DA3" s="272"/>
      <c r="DB3" s="272"/>
      <c r="DC3" s="272"/>
      <c r="DD3" s="1153"/>
      <c r="DE3" s="1153"/>
      <c r="DF3" s="1153"/>
      <c r="DG3" s="432"/>
      <c r="DH3" s="432"/>
      <c r="DI3" s="432"/>
      <c r="DJ3" s="432"/>
      <c r="DK3" s="432"/>
      <c r="DL3" s="432"/>
      <c r="DM3" s="432"/>
      <c r="DN3" s="432"/>
      <c r="DO3" s="432"/>
      <c r="DP3" s="432"/>
      <c r="DQ3" s="432"/>
      <c r="DR3" s="432"/>
      <c r="DS3" s="432"/>
      <c r="DT3" s="432"/>
      <c r="DU3" s="432"/>
      <c r="DV3" s="432"/>
    </row>
    <row r="4" spans="1:126" s="346" customFormat="1" ht="14.25" hidden="1" x14ac:dyDescent="0.2">
      <c r="A4" s="1297">
        <v>12</v>
      </c>
      <c r="C4" s="1297" t="str">
        <f>IF($D$8="English",CO3,CN3)</f>
        <v>Einzelhandel</v>
      </c>
      <c r="D4" s="1298"/>
      <c r="E4" s="1298"/>
      <c r="G4" s="1297"/>
      <c r="K4" s="1297"/>
      <c r="L4" s="346">
        <f ca="1">L3+1</f>
        <v>2020</v>
      </c>
      <c r="N4" s="346" t="s">
        <v>548</v>
      </c>
      <c r="S4" s="346" t="s">
        <v>4</v>
      </c>
      <c r="T4" s="1297" t="s">
        <v>4</v>
      </c>
      <c r="V4" s="346" t="str">
        <f t="shared" si="0"/>
        <v>April</v>
      </c>
      <c r="W4" s="346">
        <v>4</v>
      </c>
      <c r="CK4" s="432"/>
      <c r="CL4" s="432"/>
      <c r="CM4" s="1153"/>
      <c r="CN4" s="943" t="s">
        <v>168</v>
      </c>
      <c r="CO4" s="944" t="s">
        <v>328</v>
      </c>
      <c r="CP4" s="233"/>
      <c r="CQ4" s="233"/>
      <c r="CR4" s="233"/>
      <c r="CS4" s="233"/>
      <c r="CT4" s="233"/>
      <c r="CU4" s="233"/>
      <c r="CV4" s="945"/>
      <c r="CW4" s="272"/>
      <c r="CX4" s="272"/>
      <c r="CY4" s="272"/>
      <c r="CZ4" s="272"/>
      <c r="DA4" s="272"/>
      <c r="DB4" s="272"/>
      <c r="DC4" s="272"/>
      <c r="DD4" s="1153"/>
      <c r="DE4" s="1153"/>
      <c r="DF4" s="1153"/>
      <c r="DG4" s="432"/>
      <c r="DH4" s="432"/>
      <c r="DI4" s="432"/>
      <c r="DJ4" s="432"/>
      <c r="DK4" s="432"/>
      <c r="DL4" s="432"/>
      <c r="DM4" s="432"/>
      <c r="DN4" s="432"/>
      <c r="DO4" s="432"/>
      <c r="DP4" s="432"/>
      <c r="DQ4" s="432"/>
      <c r="DR4" s="432"/>
      <c r="DS4" s="432"/>
      <c r="DT4" s="432"/>
      <c r="DU4" s="432"/>
      <c r="DV4" s="432"/>
    </row>
    <row r="5" spans="1:126" s="1122" customFormat="1" ht="68.099999999999994" customHeight="1" x14ac:dyDescent="0.2">
      <c r="A5" s="1123"/>
      <c r="C5" s="1097" t="str">
        <f>IF($D$8="English",CO7,CN7)</f>
        <v>Kapitalgesellschaft</v>
      </c>
      <c r="D5" s="1110"/>
      <c r="E5" s="1110"/>
      <c r="G5" s="1123"/>
      <c r="K5" s="1123"/>
      <c r="R5" s="1261"/>
      <c r="S5" s="287" t="s">
        <v>303</v>
      </c>
      <c r="T5" s="295" t="s">
        <v>5</v>
      </c>
      <c r="U5" s="287"/>
      <c r="V5" s="287" t="str">
        <f t="shared" si="0"/>
        <v>Mai</v>
      </c>
      <c r="W5" s="296">
        <v>5</v>
      </c>
      <c r="CK5" s="432"/>
      <c r="CL5" s="432"/>
      <c r="CM5" s="1153"/>
      <c r="CN5" s="943"/>
      <c r="CO5" s="944"/>
      <c r="CP5" s="233"/>
      <c r="CQ5" s="233"/>
      <c r="CR5" s="233"/>
      <c r="CS5" s="233"/>
      <c r="CT5" s="233"/>
      <c r="CU5" s="233"/>
      <c r="CV5" s="945"/>
      <c r="CW5" s="272"/>
      <c r="CX5" s="272"/>
      <c r="CY5" s="272"/>
      <c r="CZ5" s="272"/>
      <c r="DA5" s="272"/>
      <c r="DB5" s="272"/>
      <c r="DC5" s="272"/>
      <c r="DD5" s="1153"/>
      <c r="DE5" s="1153"/>
      <c r="DF5" s="1153"/>
      <c r="DG5" s="432"/>
      <c r="DH5" s="432"/>
      <c r="DI5" s="432"/>
      <c r="DJ5" s="432"/>
      <c r="DK5" s="912"/>
      <c r="DL5" s="912"/>
      <c r="DM5" s="912"/>
      <c r="DN5" s="912"/>
      <c r="DO5" s="912"/>
      <c r="DP5" s="912"/>
      <c r="DQ5" s="912"/>
      <c r="DR5" s="912"/>
      <c r="DS5" s="912"/>
      <c r="DT5" s="912"/>
      <c r="DU5" s="912"/>
      <c r="DV5" s="912"/>
    </row>
    <row r="6" spans="1:126" s="1122" customFormat="1" ht="14.25" x14ac:dyDescent="0.2">
      <c r="A6" s="1123"/>
      <c r="C6" s="1123"/>
      <c r="D6" s="1110"/>
      <c r="E6" s="1110"/>
      <c r="G6" s="1123"/>
      <c r="K6" s="1123"/>
      <c r="R6" s="1261"/>
      <c r="S6" s="287" t="s">
        <v>304</v>
      </c>
      <c r="T6" s="295" t="s">
        <v>6</v>
      </c>
      <c r="U6" s="287"/>
      <c r="V6" s="287" t="str">
        <f t="shared" si="0"/>
        <v>Juni</v>
      </c>
      <c r="W6" s="296">
        <v>6</v>
      </c>
      <c r="CK6" s="432"/>
      <c r="CL6" s="432"/>
      <c r="CM6" s="1153"/>
      <c r="CN6" s="943"/>
      <c r="CO6" s="944"/>
      <c r="CP6" s="233"/>
      <c r="CQ6" s="233"/>
      <c r="CR6" s="233"/>
      <c r="CS6" s="233"/>
      <c r="CT6" s="233"/>
      <c r="CU6" s="233"/>
      <c r="CV6" s="945"/>
      <c r="CW6" s="272"/>
      <c r="CX6" s="272"/>
      <c r="CY6" s="272"/>
      <c r="CZ6" s="272"/>
      <c r="DA6" s="272"/>
      <c r="DB6" s="272"/>
      <c r="DC6" s="272"/>
      <c r="DD6" s="1153"/>
      <c r="DE6" s="1153"/>
      <c r="DF6" s="1153"/>
      <c r="DG6" s="432"/>
      <c r="DH6" s="432"/>
      <c r="DI6" s="432"/>
      <c r="DJ6" s="432"/>
      <c r="DK6" s="912"/>
      <c r="DL6" s="912"/>
      <c r="DM6" s="912"/>
      <c r="DN6" s="912"/>
      <c r="DO6" s="912"/>
      <c r="DP6" s="912"/>
      <c r="DQ6" s="912"/>
      <c r="DR6" s="912"/>
      <c r="DS6" s="912"/>
      <c r="DT6" s="912"/>
      <c r="DU6" s="912"/>
      <c r="DV6" s="912"/>
    </row>
    <row r="7" spans="1:126" ht="27" x14ac:dyDescent="0.35">
      <c r="D7" s="1573" t="str">
        <f>IF($D$8="English",CP7,CO8)</f>
        <v>Finanzplan zum Businessplan</v>
      </c>
      <c r="E7" s="1573"/>
      <c r="F7" s="1573"/>
      <c r="G7" s="1573"/>
      <c r="H7" s="1573"/>
      <c r="I7" s="1573"/>
      <c r="J7" s="1114"/>
      <c r="K7" s="1115"/>
      <c r="L7" s="1116"/>
      <c r="O7" s="292"/>
      <c r="P7" s="293"/>
      <c r="Q7" s="293"/>
      <c r="R7" s="1265"/>
      <c r="S7" s="287" t="s">
        <v>305</v>
      </c>
      <c r="T7" s="295" t="s">
        <v>7</v>
      </c>
      <c r="V7" s="287" t="str">
        <f t="shared" si="0"/>
        <v>Juli</v>
      </c>
      <c r="W7" s="296">
        <v>7</v>
      </c>
      <c r="X7" s="294"/>
      <c r="Y7" s="294"/>
      <c r="Z7" s="294"/>
      <c r="AA7" s="294"/>
      <c r="AB7" s="294"/>
      <c r="AC7" s="294"/>
      <c r="AD7" s="294"/>
      <c r="AE7" s="294"/>
      <c r="AF7" s="294"/>
      <c r="AG7" s="294"/>
      <c r="AH7" s="294"/>
      <c r="AI7" s="294"/>
      <c r="AJ7" s="294"/>
      <c r="AK7" s="294"/>
      <c r="AL7" s="294"/>
      <c r="AM7" s="294"/>
      <c r="AN7" s="294"/>
      <c r="AO7" s="294"/>
      <c r="AP7" s="294"/>
      <c r="AQ7" s="294"/>
      <c r="AR7" s="294"/>
      <c r="AS7" s="294"/>
      <c r="AT7" s="294"/>
      <c r="AU7" s="294"/>
      <c r="AV7" s="294"/>
      <c r="AW7" s="294"/>
      <c r="AX7" s="294"/>
      <c r="AY7" s="294"/>
      <c r="AZ7" s="294"/>
      <c r="CK7" s="942" t="s">
        <v>572</v>
      </c>
      <c r="CL7" s="942" t="s">
        <v>573</v>
      </c>
      <c r="CN7" s="943" t="s">
        <v>117</v>
      </c>
      <c r="CO7" s="944" t="s">
        <v>329</v>
      </c>
      <c r="CP7" s="233" t="s">
        <v>332</v>
      </c>
      <c r="CV7" s="945"/>
      <c r="CW7" s="233"/>
      <c r="CX7" s="233"/>
      <c r="DK7" s="297"/>
      <c r="DL7" s="297"/>
      <c r="DM7" s="297"/>
      <c r="DN7" s="297"/>
      <c r="DO7" s="297"/>
      <c r="DP7" s="297"/>
    </row>
    <row r="8" spans="1:126" x14ac:dyDescent="0.25">
      <c r="A8" s="300"/>
      <c r="B8" s="300"/>
      <c r="D8" s="1002" t="str">
        <f>'Deckblatt|Cover'!$M$7</f>
        <v>Deutsch</v>
      </c>
      <c r="E8" s="218" t="s">
        <v>261</v>
      </c>
      <c r="F8"/>
      <c r="I8" s="302"/>
      <c r="K8" s="1115"/>
      <c r="L8" s="1116"/>
      <c r="P8" s="293"/>
      <c r="Q8" s="293"/>
      <c r="R8" s="1265"/>
      <c r="S8" s="287" t="s">
        <v>84</v>
      </c>
      <c r="T8" s="295" t="s">
        <v>84</v>
      </c>
      <c r="V8" s="287" t="str">
        <f t="shared" si="0"/>
        <v>August</v>
      </c>
      <c r="W8" s="296">
        <v>8</v>
      </c>
      <c r="X8" s="294"/>
      <c r="CK8" s="942" t="s">
        <v>574</v>
      </c>
      <c r="CL8" s="942" t="s">
        <v>575</v>
      </c>
      <c r="CM8" s="272" t="s">
        <v>260</v>
      </c>
      <c r="CN8" s="1153" t="s">
        <v>322</v>
      </c>
      <c r="CO8" s="944" t="s">
        <v>101</v>
      </c>
      <c r="CW8" s="1154"/>
      <c r="CX8" s="1154"/>
    </row>
    <row r="9" spans="1:126" ht="18" customHeight="1" x14ac:dyDescent="0.25">
      <c r="D9" s="303"/>
      <c r="E9" s="1001"/>
      <c r="F9" s="1249" t="str">
        <f>IF(OR($A$4=12,$A$4=2),IF($D$8="English",$CL$7,$CK$7),"")</f>
        <v>mit Monatsplanung im 1. Planjahr</v>
      </c>
      <c r="I9" s="302"/>
      <c r="K9" s="1115"/>
      <c r="L9" s="1116"/>
      <c r="P9" s="293"/>
      <c r="Q9" s="293"/>
      <c r="R9" s="1265"/>
      <c r="S9" s="308" t="s">
        <v>415</v>
      </c>
      <c r="T9" s="309" t="s">
        <v>93</v>
      </c>
      <c r="V9" s="287" t="str">
        <f t="shared" si="0"/>
        <v>September</v>
      </c>
      <c r="W9" s="310">
        <v>9</v>
      </c>
      <c r="X9" s="294"/>
      <c r="CW9" s="868"/>
      <c r="CX9" s="868"/>
    </row>
    <row r="10" spans="1:126" x14ac:dyDescent="0.25">
      <c r="K10" s="305"/>
      <c r="L10" s="1116"/>
      <c r="P10" s="293"/>
      <c r="Q10" s="293"/>
      <c r="R10" s="1265"/>
      <c r="S10" s="308" t="s">
        <v>379</v>
      </c>
      <c r="T10" s="309" t="s">
        <v>94</v>
      </c>
      <c r="V10" s="287" t="str">
        <f t="shared" si="0"/>
        <v>Oktober</v>
      </c>
      <c r="W10" s="310">
        <v>10</v>
      </c>
      <c r="X10" s="294"/>
      <c r="CV10" s="945"/>
    </row>
    <row r="11" spans="1:126" s="311" customFormat="1" x14ac:dyDescent="0.15">
      <c r="A11" s="300" t="str">
        <f>IF($D$8="English",CN11,CM11)</f>
        <v>Unternehmensname*):</v>
      </c>
      <c r="B11" s="300"/>
      <c r="C11" s="306"/>
      <c r="D11" s="1571"/>
      <c r="E11" s="1571"/>
      <c r="F11" s="1571"/>
      <c r="G11" s="1571"/>
      <c r="H11" s="1571"/>
      <c r="I11" s="1571"/>
      <c r="J11" s="1571"/>
      <c r="K11" s="307"/>
      <c r="L11" s="44" t="str">
        <f>IF($D$8="English",CX11,CW11)</f>
        <v>Grün hinterlegte Felder bitte ausfüllen</v>
      </c>
      <c r="M11" s="1117"/>
      <c r="N11" s="1118"/>
      <c r="O11" s="114"/>
      <c r="P11" s="114"/>
      <c r="Q11" s="114"/>
      <c r="R11" s="1266"/>
      <c r="S11" s="325" t="s">
        <v>95</v>
      </c>
      <c r="T11" s="326" t="s">
        <v>95</v>
      </c>
      <c r="U11" s="317"/>
      <c r="V11" s="287" t="str">
        <f t="shared" si="0"/>
        <v>November</v>
      </c>
      <c r="W11" s="327">
        <v>11</v>
      </c>
      <c r="X11" s="317"/>
      <c r="CK11" s="312"/>
      <c r="CL11" s="312"/>
      <c r="CM11" s="669" t="s">
        <v>552</v>
      </c>
      <c r="CN11" s="1155" t="s">
        <v>323</v>
      </c>
      <c r="CO11" s="1156"/>
      <c r="CP11" s="484"/>
      <c r="CQ11" s="484"/>
      <c r="CR11" s="484"/>
      <c r="CS11" s="484"/>
      <c r="CT11" s="39" t="str">
        <f>IF(AND(OR(CO13=CN1,CO13=CN2),CT12=""),"bitte Besteuerungsart auswählen",IF(AND(CO13=CN4,CT12=CR1),"Geht nicht! Bitte löschen",""))</f>
        <v/>
      </c>
      <c r="CU11" s="484"/>
      <c r="CV11" s="1157"/>
      <c r="CW11" s="1158" t="s">
        <v>320</v>
      </c>
      <c r="CX11" s="1158" t="s">
        <v>333</v>
      </c>
      <c r="CY11" s="1158"/>
      <c r="CZ11" s="1158"/>
      <c r="DA11" s="1158"/>
      <c r="DB11" s="1158"/>
      <c r="DC11" s="1158"/>
      <c r="DD11" s="1158"/>
      <c r="DE11" s="1158"/>
      <c r="DF11" s="312"/>
      <c r="DG11" s="312"/>
      <c r="DH11" s="312"/>
      <c r="DI11" s="312"/>
      <c r="DJ11" s="312"/>
      <c r="DK11" s="313"/>
      <c r="DL11" s="313"/>
      <c r="DM11" s="313"/>
      <c r="DN11" s="313"/>
      <c r="DO11" s="313"/>
      <c r="DP11" s="313"/>
      <c r="DQ11" s="312"/>
      <c r="DR11" s="312"/>
      <c r="DS11" s="312"/>
      <c r="DT11" s="312"/>
      <c r="DU11" s="312"/>
      <c r="DV11" s="312"/>
    </row>
    <row r="12" spans="1:126" s="311" customFormat="1" x14ac:dyDescent="0.2">
      <c r="A12" s="315"/>
      <c r="B12" s="315"/>
      <c r="C12" s="316"/>
      <c r="D12" s="1576" t="str">
        <f>IF(AND($I$13="",$D$13&lt;&gt;""),"",IF(AND($D$13="",$I$13=""),"",IF(OR($E$1=1,$H$1=1),"Neu auswählen/Select new","")))</f>
        <v/>
      </c>
      <c r="E12" s="1576"/>
      <c r="G12" s="317"/>
      <c r="H12" s="318"/>
      <c r="I12" s="1575" t="str">
        <f>IF(AND($D$13="",$I$13=""),"",IF(OR($E$1=1,$H$1=1),"Neu auswählen/Select new",IF(AND(OR($M$1=2,$M$1=3),OR($I$13="Kleinunternehmerregelung",$I$13="Smal business regulation")),"Neu auswählen/Select new","")))</f>
        <v/>
      </c>
      <c r="J12" s="1575"/>
      <c r="K12" s="319"/>
      <c r="L12" s="1118"/>
      <c r="M12" s="1118"/>
      <c r="N12" s="1118"/>
      <c r="O12" s="114"/>
      <c r="P12" s="114"/>
      <c r="Q12" s="114"/>
      <c r="R12" s="1266"/>
      <c r="S12" s="308" t="s">
        <v>380</v>
      </c>
      <c r="T12" s="309" t="s">
        <v>96</v>
      </c>
      <c r="U12" s="317"/>
      <c r="V12" s="287" t="str">
        <f t="shared" si="0"/>
        <v>Dezember</v>
      </c>
      <c r="W12" s="310">
        <v>12</v>
      </c>
      <c r="X12" s="317"/>
      <c r="CK12" s="312"/>
      <c r="CL12" s="312"/>
      <c r="CM12" s="669"/>
      <c r="CN12" s="1159"/>
      <c r="CO12" s="1160"/>
      <c r="CP12" s="39"/>
      <c r="CQ12" s="39"/>
      <c r="CR12" s="39"/>
      <c r="CS12" s="39"/>
      <c r="CT12" s="1161"/>
      <c r="CU12" s="39"/>
      <c r="CV12" s="1157"/>
      <c r="CW12" s="1158"/>
      <c r="CX12" s="1158"/>
      <c r="CY12" s="1158"/>
      <c r="CZ12" s="1158"/>
      <c r="DA12" s="1158"/>
      <c r="DB12" s="1158"/>
      <c r="DC12" s="1158"/>
      <c r="DD12" s="1158"/>
      <c r="DE12" s="1158"/>
      <c r="DF12" s="312"/>
      <c r="DG12" s="312"/>
      <c r="DH12" s="312"/>
      <c r="DI12" s="312"/>
      <c r="DJ12" s="312"/>
      <c r="DK12" s="313"/>
      <c r="DL12" s="313"/>
      <c r="DM12" s="313"/>
      <c r="DN12" s="313"/>
      <c r="DO12" s="313"/>
      <c r="DP12" s="313"/>
      <c r="DQ12" s="312"/>
      <c r="DR12" s="312"/>
      <c r="DS12" s="312"/>
      <c r="DT12" s="312"/>
      <c r="DU12" s="312"/>
      <c r="DV12" s="312"/>
    </row>
    <row r="13" spans="1:126" s="320" customFormat="1" ht="18.75" x14ac:dyDescent="0.25">
      <c r="A13" s="300" t="str">
        <f>IF($D$8="English",CN13,CM13)</f>
        <v>Unternehmensform*):</v>
      </c>
      <c r="B13" s="300"/>
      <c r="C13" s="303"/>
      <c r="D13" s="1568"/>
      <c r="E13" s="1568"/>
      <c r="G13" s="321"/>
      <c r="H13" s="300" t="str">
        <f>IF($D$8="English",CT13,CS13)</f>
        <v>Steuerpflicht*):</v>
      </c>
      <c r="I13" s="1568"/>
      <c r="J13" s="1568"/>
      <c r="K13" s="322"/>
      <c r="L13" s="1150" t="str">
        <f>IF($D$8="English",CX13,CW13)</f>
        <v>Voreingestellter Inhalt der roten Felder</v>
      </c>
      <c r="M13" s="1119"/>
      <c r="N13" s="1120"/>
      <c r="O13" s="324"/>
      <c r="P13" s="323"/>
      <c r="Q13" s="323"/>
      <c r="R13" s="1267"/>
      <c r="S13" s="321"/>
      <c r="T13" s="321"/>
      <c r="U13" s="321"/>
      <c r="V13" s="321"/>
      <c r="W13" s="321"/>
      <c r="X13" s="321"/>
      <c r="CK13" s="328"/>
      <c r="CL13" s="328"/>
      <c r="CM13" s="1162" t="s">
        <v>553</v>
      </c>
      <c r="CN13" s="1155" t="s">
        <v>324</v>
      </c>
      <c r="CO13" s="1163"/>
      <c r="CP13" s="1161"/>
      <c r="CQ13" s="233"/>
      <c r="CR13" s="233"/>
      <c r="CS13" s="233" t="s">
        <v>554</v>
      </c>
      <c r="CT13" s="1161" t="s">
        <v>555</v>
      </c>
      <c r="CV13" s="233"/>
      <c r="CW13" s="1164" t="s">
        <v>321</v>
      </c>
      <c r="CX13" s="1164" t="s">
        <v>404</v>
      </c>
      <c r="CY13" s="1152"/>
      <c r="CZ13" s="1152"/>
      <c r="DA13" s="1152"/>
      <c r="DB13" s="1152"/>
      <c r="DC13" s="1152"/>
      <c r="DD13" s="1152"/>
      <c r="DE13" s="1152"/>
      <c r="DF13" s="328"/>
      <c r="DG13" s="328"/>
      <c r="DH13" s="328"/>
      <c r="DI13" s="328"/>
      <c r="DJ13" s="328"/>
      <c r="DK13" s="298"/>
      <c r="DL13" s="298"/>
      <c r="DM13" s="298"/>
      <c r="DN13" s="298"/>
      <c r="DO13" s="298"/>
      <c r="DP13" s="298"/>
      <c r="DQ13" s="328"/>
      <c r="DR13" s="328"/>
      <c r="DS13" s="328"/>
      <c r="DT13" s="328"/>
      <c r="DU13" s="328"/>
      <c r="DV13" s="328"/>
    </row>
    <row r="14" spans="1:126" s="311" customFormat="1" x14ac:dyDescent="0.2">
      <c r="A14" s="315"/>
      <c r="B14" s="315"/>
      <c r="C14" s="316"/>
      <c r="F14" s="318"/>
      <c r="G14" s="329"/>
      <c r="H14" s="300"/>
      <c r="I14" s="318"/>
      <c r="J14" s="306"/>
      <c r="K14" s="307"/>
      <c r="L14" s="44" t="str">
        <f>IF($D$8="English",CX14,CW14)</f>
        <v>Unternehmensform:</v>
      </c>
      <c r="M14" s="1118"/>
      <c r="N14" s="887"/>
      <c r="O14" s="1151" t="str">
        <f>IF($D$8="English",CN14,CM14)</f>
        <v>Keine Kapitalgesellschaft</v>
      </c>
      <c r="P14" s="114"/>
      <c r="Q14" s="114"/>
      <c r="R14" s="1266"/>
      <c r="S14" s="317"/>
      <c r="T14" s="317"/>
      <c r="U14" s="317"/>
      <c r="V14" s="317"/>
      <c r="W14" s="317"/>
      <c r="X14" s="317"/>
      <c r="CK14" s="312"/>
      <c r="CL14" s="312"/>
      <c r="CM14" s="669" t="s">
        <v>250</v>
      </c>
      <c r="CN14" s="1159" t="s">
        <v>412</v>
      </c>
      <c r="CO14" s="1160"/>
      <c r="CP14" s="39"/>
      <c r="CQ14" s="39"/>
      <c r="CR14" s="39"/>
      <c r="CS14" s="39"/>
      <c r="CT14" s="39"/>
      <c r="CU14" s="39"/>
      <c r="CV14" s="1157"/>
      <c r="CW14" s="1152" t="s">
        <v>246</v>
      </c>
      <c r="CX14" s="1152" t="s">
        <v>407</v>
      </c>
      <c r="CY14" s="1158"/>
      <c r="CZ14" s="1152" t="s">
        <v>250</v>
      </c>
      <c r="DA14" s="1158" t="s">
        <v>400</v>
      </c>
      <c r="DB14" s="1158"/>
      <c r="DC14" s="1158"/>
      <c r="DE14" s="1158"/>
      <c r="DF14" s="312"/>
      <c r="DG14" s="312"/>
      <c r="DH14" s="312"/>
      <c r="DI14" s="312"/>
      <c r="DJ14" s="312"/>
      <c r="DK14" s="313"/>
      <c r="DL14" s="313"/>
      <c r="DM14" s="313"/>
      <c r="DN14" s="313"/>
      <c r="DO14" s="313"/>
      <c r="DP14" s="313"/>
      <c r="DQ14" s="312"/>
      <c r="DR14" s="312"/>
      <c r="DS14" s="312"/>
      <c r="DT14" s="312"/>
      <c r="DU14" s="312"/>
      <c r="DV14" s="312"/>
    </row>
    <row r="15" spans="1:126" s="320" customFormat="1" ht="18.75" x14ac:dyDescent="0.25">
      <c r="A15" s="300" t="str">
        <f>IF($D$8="English",CN15,CM15)</f>
        <v>Gründungsjahr*):</v>
      </c>
      <c r="B15" s="300"/>
      <c r="C15" s="330"/>
      <c r="D15" s="1242"/>
      <c r="E15" s="1494" t="str">
        <f>IF($D$8="English",CQ15,CP15)</f>
        <v>Gründungsmonat:</v>
      </c>
      <c r="F15" s="1260"/>
      <c r="G15" s="341"/>
      <c r="H15" s="300" t="str">
        <f>IF($D$8="English",CT15,CS15)</f>
        <v>Rechtsform**):</v>
      </c>
      <c r="I15" s="1569"/>
      <c r="J15" s="1569"/>
      <c r="K15" s="331"/>
      <c r="L15" s="44" t="str">
        <f>IF($D$8="English",CX15,CW15)</f>
        <v>Steuerpflicht:</v>
      </c>
      <c r="M15" s="1121"/>
      <c r="N15" s="1110"/>
      <c r="O15" s="1151" t="str">
        <f>IF($D$8="English",DA15,CZ15)</f>
        <v>umsatzsteuerpflichtig</v>
      </c>
      <c r="P15" s="332"/>
      <c r="Q15" s="332"/>
      <c r="R15" s="1262"/>
      <c r="S15" s="325"/>
      <c r="T15" s="321"/>
      <c r="U15" s="321"/>
      <c r="V15" s="303"/>
      <c r="W15" s="303"/>
      <c r="CK15" s="328"/>
      <c r="CL15" s="328"/>
      <c r="CM15" s="1162" t="s">
        <v>556</v>
      </c>
      <c r="CN15" s="1155" t="s">
        <v>340</v>
      </c>
      <c r="CO15" s="1160"/>
      <c r="CP15" s="1165" t="s">
        <v>233</v>
      </c>
      <c r="CQ15" s="39" t="s">
        <v>408</v>
      </c>
      <c r="CR15" s="233"/>
      <c r="CS15" s="233" t="s">
        <v>557</v>
      </c>
      <c r="CT15" s="1161" t="s">
        <v>558</v>
      </c>
      <c r="CU15" s="1161"/>
      <c r="CV15" s="945"/>
      <c r="CW15" s="1152" t="s">
        <v>247</v>
      </c>
      <c r="CX15" s="1152" t="s">
        <v>405</v>
      </c>
      <c r="CY15" s="1152"/>
      <c r="CZ15" s="1152" t="s">
        <v>143</v>
      </c>
      <c r="DA15" s="1152" t="s">
        <v>331</v>
      </c>
      <c r="DB15" s="1152"/>
      <c r="DC15" s="1152"/>
      <c r="DE15" s="1152"/>
      <c r="DF15" s="328"/>
      <c r="DG15" s="328"/>
      <c r="DH15" s="328"/>
      <c r="DI15" s="328"/>
      <c r="DJ15" s="328"/>
      <c r="DK15" s="298"/>
      <c r="DL15" s="298"/>
      <c r="DM15" s="298"/>
      <c r="DN15" s="298"/>
      <c r="DO15" s="298"/>
      <c r="DP15" s="298"/>
      <c r="DQ15" s="328"/>
      <c r="DR15" s="328"/>
      <c r="DS15" s="328"/>
      <c r="DT15" s="328"/>
      <c r="DU15" s="328"/>
      <c r="DV15" s="328"/>
    </row>
    <row r="16" spans="1:126" s="311" customFormat="1" x14ac:dyDescent="0.2">
      <c r="A16" s="315"/>
      <c r="B16" s="315"/>
      <c r="C16" s="316"/>
      <c r="D16" s="333"/>
      <c r="F16" s="318"/>
      <c r="G16" s="329"/>
      <c r="H16" s="318"/>
      <c r="I16" s="318"/>
      <c r="J16" s="306"/>
      <c r="K16" s="334"/>
      <c r="L16" s="44" t="str">
        <f>IF($D$8="English",CX16,CW16)</f>
        <v xml:space="preserve">Gründungsjahr: </v>
      </c>
      <c r="M16" s="1121"/>
      <c r="N16" s="1110"/>
      <c r="O16" s="1151" t="str">
        <f>IF($D$8="English",DA16,CZ16)</f>
        <v>aktuelles Jahr</v>
      </c>
      <c r="P16" s="332"/>
      <c r="Q16" s="114"/>
      <c r="R16" s="1263"/>
      <c r="S16" s="308"/>
      <c r="T16" s="317"/>
      <c r="U16" s="317"/>
      <c r="V16" s="316"/>
      <c r="W16" s="316"/>
      <c r="CK16" s="312"/>
      <c r="CL16" s="312"/>
      <c r="CM16" s="669"/>
      <c r="CN16" s="1159"/>
      <c r="CO16" s="1160"/>
      <c r="CP16" s="39"/>
      <c r="CQ16" s="39"/>
      <c r="CR16" s="39"/>
      <c r="CS16" s="39"/>
      <c r="CT16" s="39"/>
      <c r="CU16" s="39"/>
      <c r="CV16" s="1157"/>
      <c r="CW16" s="1152" t="s">
        <v>248</v>
      </c>
      <c r="CX16" s="1152" t="s">
        <v>406</v>
      </c>
      <c r="CY16" s="1152"/>
      <c r="CZ16" s="1152" t="s">
        <v>249</v>
      </c>
      <c r="DA16" s="1158" t="s">
        <v>334</v>
      </c>
      <c r="DB16" s="1158"/>
      <c r="DC16" s="1158"/>
      <c r="DE16" s="1158"/>
      <c r="DF16" s="312"/>
      <c r="DG16" s="312"/>
      <c r="DH16" s="312"/>
      <c r="DI16" s="312"/>
      <c r="DJ16" s="312"/>
      <c r="DK16" s="313"/>
      <c r="DL16" s="313"/>
      <c r="DM16" s="313"/>
      <c r="DN16" s="313"/>
      <c r="DO16" s="313"/>
      <c r="DP16" s="313"/>
      <c r="DQ16" s="312"/>
      <c r="DR16" s="312"/>
      <c r="DS16" s="312"/>
      <c r="DT16" s="312"/>
      <c r="DU16" s="312"/>
      <c r="DV16" s="312"/>
    </row>
    <row r="17" spans="1:126" s="320" customFormat="1" ht="18.75" x14ac:dyDescent="0.25">
      <c r="A17" s="300" t="str">
        <f>IF($D$8="English",CN17,CM17)</f>
        <v>Namen GründerIn(nen)*):</v>
      </c>
      <c r="B17" s="300"/>
      <c r="C17" s="330"/>
      <c r="D17" s="1571"/>
      <c r="E17" s="1571"/>
      <c r="F17" s="1571"/>
      <c r="G17" s="1571"/>
      <c r="H17" s="1571"/>
      <c r="I17" s="1571"/>
      <c r="J17" s="1572"/>
      <c r="K17" s="331"/>
      <c r="L17" s="44" t="str">
        <f>IF($D$8="English",CX17,CW17)</f>
        <v>Gründungsmonat:</v>
      </c>
      <c r="M17" s="1121"/>
      <c r="N17" s="1121"/>
      <c r="O17" s="1151" t="str">
        <f>IF($D$8="English",DA17,CZ17)</f>
        <v>Januar</v>
      </c>
      <c r="P17" s="332"/>
      <c r="Q17" s="332"/>
      <c r="R17" s="1262"/>
      <c r="S17" s="325"/>
      <c r="T17" s="321"/>
      <c r="U17" s="321"/>
      <c r="V17" s="303"/>
      <c r="W17" s="303"/>
      <c r="CK17" s="328"/>
      <c r="CL17" s="328"/>
      <c r="CM17" s="1162" t="s">
        <v>559</v>
      </c>
      <c r="CN17" s="1153" t="s">
        <v>326</v>
      </c>
      <c r="CO17" s="1160"/>
      <c r="CP17" s="484"/>
      <c r="CQ17" s="484"/>
      <c r="CR17" s="484"/>
      <c r="CS17" s="484"/>
      <c r="CT17" s="484"/>
      <c r="CU17" s="484"/>
      <c r="CV17" s="945"/>
      <c r="CW17" s="1152" t="s">
        <v>233</v>
      </c>
      <c r="CX17" s="1152" t="s">
        <v>570</v>
      </c>
      <c r="CY17" s="1152"/>
      <c r="CZ17" s="1152" t="s">
        <v>91</v>
      </c>
      <c r="DA17" s="1152" t="s">
        <v>569</v>
      </c>
      <c r="DB17" s="1152"/>
      <c r="DC17" s="1152"/>
      <c r="DD17" s="1152"/>
      <c r="DE17" s="1152"/>
      <c r="DF17" s="328"/>
      <c r="DG17" s="328"/>
      <c r="DH17" s="328"/>
      <c r="DI17" s="328"/>
      <c r="DJ17" s="328"/>
      <c r="DK17" s="298"/>
      <c r="DL17" s="298"/>
      <c r="DM17" s="298"/>
      <c r="DN17" s="298"/>
      <c r="DO17" s="298"/>
      <c r="DP17" s="298"/>
      <c r="DQ17" s="328"/>
      <c r="DR17" s="328"/>
      <c r="DS17" s="328"/>
      <c r="DT17" s="328"/>
      <c r="DU17" s="328"/>
      <c r="DV17" s="328"/>
    </row>
    <row r="18" spans="1:126" s="320" customFormat="1" x14ac:dyDescent="0.25">
      <c r="A18" s="335"/>
      <c r="B18" s="335"/>
      <c r="C18" s="330"/>
      <c r="D18" s="336"/>
      <c r="E18" s="337"/>
      <c r="F18" s="337"/>
      <c r="G18" s="338"/>
      <c r="H18" s="337"/>
      <c r="I18" s="304"/>
      <c r="J18" s="336"/>
      <c r="K18" s="331"/>
      <c r="L18" s="1118"/>
      <c r="M18" s="1121"/>
      <c r="N18" s="1121"/>
      <c r="O18" s="332"/>
      <c r="P18" s="332"/>
      <c r="Q18" s="332"/>
      <c r="R18" s="1262"/>
      <c r="S18" s="325"/>
      <c r="T18" s="321"/>
      <c r="U18" s="321"/>
      <c r="V18" s="321"/>
      <c r="CK18" s="328"/>
      <c r="CL18" s="328"/>
      <c r="CM18" s="1162"/>
      <c r="CN18" s="1153"/>
      <c r="CO18" s="944"/>
      <c r="CP18" s="233"/>
      <c r="CQ18" s="233"/>
      <c r="CR18" s="233"/>
      <c r="CS18" s="233"/>
      <c r="CT18" s="233"/>
      <c r="CU18" s="233"/>
      <c r="CV18" s="945"/>
      <c r="CW18" s="1158"/>
      <c r="CX18" s="1158"/>
      <c r="CY18" s="1152"/>
      <c r="CZ18" s="1152"/>
      <c r="DA18" s="1152"/>
      <c r="DB18" s="1152"/>
      <c r="DC18" s="1152"/>
      <c r="DD18" s="1152"/>
      <c r="DE18" s="1152"/>
      <c r="DF18" s="328"/>
      <c r="DG18" s="328"/>
      <c r="DH18" s="328"/>
      <c r="DI18" s="328"/>
      <c r="DJ18" s="328"/>
      <c r="DK18" s="298"/>
      <c r="DL18" s="298"/>
      <c r="DM18" s="298"/>
      <c r="DN18" s="298"/>
      <c r="DO18" s="298"/>
      <c r="DP18" s="298"/>
      <c r="DQ18" s="328"/>
      <c r="DR18" s="328"/>
      <c r="DS18" s="328"/>
      <c r="DT18" s="328"/>
      <c r="DU18" s="328"/>
      <c r="DV18" s="328"/>
    </row>
    <row r="19" spans="1:126" s="320" customFormat="1" ht="18.75" x14ac:dyDescent="0.25">
      <c r="A19" s="300" t="str">
        <f>IF($D$8="English",CN19,CM19)</f>
        <v>Adresse*):</v>
      </c>
      <c r="B19" s="300"/>
      <c r="C19" s="330"/>
      <c r="D19" s="1570"/>
      <c r="E19" s="1570"/>
      <c r="F19" s="1570"/>
      <c r="G19" s="1570"/>
      <c r="H19" s="1570"/>
      <c r="I19" s="1570"/>
      <c r="J19" s="1570"/>
      <c r="K19" s="331"/>
      <c r="L19"/>
      <c r="M19" s="1121"/>
      <c r="N19" s="1110"/>
      <c r="O19" s="288"/>
      <c r="P19" s="332"/>
      <c r="Q19" s="332"/>
      <c r="R19" s="1262"/>
      <c r="S19" s="325"/>
      <c r="T19" s="321"/>
      <c r="U19" s="321"/>
      <c r="V19" s="321"/>
      <c r="CK19" s="328"/>
      <c r="CL19" s="328"/>
      <c r="CM19" s="1162" t="s">
        <v>560</v>
      </c>
      <c r="CN19" s="1155" t="s">
        <v>325</v>
      </c>
      <c r="CO19" s="1163"/>
      <c r="CP19" s="1161"/>
      <c r="CQ19" s="1161"/>
      <c r="CR19" s="1161"/>
      <c r="CS19" s="1161"/>
      <c r="CT19" s="1161"/>
      <c r="CU19" s="1161"/>
      <c r="CV19" s="945"/>
      <c r="CW19" s="1152" t="s">
        <v>252</v>
      </c>
      <c r="CX19" s="1152" t="s">
        <v>401</v>
      </c>
      <c r="CY19" s="1152"/>
      <c r="CZ19" s="1152"/>
      <c r="DA19" s="1152"/>
      <c r="DB19" s="1152"/>
      <c r="DC19" s="1152"/>
      <c r="DD19" s="1152"/>
      <c r="DE19" s="1152"/>
      <c r="DF19" s="328"/>
      <c r="DG19" s="328"/>
      <c r="DH19" s="328"/>
      <c r="DI19" s="328"/>
      <c r="DJ19" s="328"/>
      <c r="DK19" s="298"/>
      <c r="DL19" s="298"/>
      <c r="DM19" s="298"/>
      <c r="DN19" s="298"/>
      <c r="DO19" s="298"/>
      <c r="DP19" s="298"/>
      <c r="DQ19" s="328"/>
      <c r="DR19" s="328"/>
      <c r="DS19" s="328"/>
      <c r="DT19" s="328"/>
      <c r="DU19" s="328"/>
      <c r="DV19" s="328"/>
    </row>
    <row r="20" spans="1:126" s="320" customFormat="1" x14ac:dyDescent="0.25">
      <c r="A20" s="335"/>
      <c r="B20" s="335"/>
      <c r="C20" s="330"/>
      <c r="D20" s="1570"/>
      <c r="E20" s="1570"/>
      <c r="F20" s="1570"/>
      <c r="G20" s="1570"/>
      <c r="H20" s="1570"/>
      <c r="I20" s="1570"/>
      <c r="J20" s="1570"/>
      <c r="K20" s="339"/>
      <c r="L20"/>
      <c r="M20" s="1121"/>
      <c r="N20" s="1110"/>
      <c r="O20" s="288"/>
      <c r="P20" s="332"/>
      <c r="Q20" s="332"/>
      <c r="R20" s="1262"/>
      <c r="S20" s="325"/>
      <c r="T20" s="321"/>
      <c r="U20" s="321"/>
      <c r="V20" s="321"/>
      <c r="CK20" s="328"/>
      <c r="CL20" s="328"/>
      <c r="CM20" s="1162"/>
      <c r="CN20" s="1153"/>
      <c r="CO20" s="1163"/>
      <c r="CP20" s="1161"/>
      <c r="CQ20" s="1161"/>
      <c r="CR20" s="1161"/>
      <c r="CS20" s="1161"/>
      <c r="CT20" s="1161"/>
      <c r="CU20" s="1161"/>
      <c r="CV20" s="945"/>
      <c r="CW20" s="1152" t="s">
        <v>253</v>
      </c>
      <c r="CX20" s="1152" t="s">
        <v>402</v>
      </c>
      <c r="CY20" s="1152"/>
      <c r="CZ20" s="1152"/>
      <c r="DA20" s="1152"/>
      <c r="DB20" s="1152"/>
      <c r="DC20" s="1152"/>
      <c r="DD20" s="1152"/>
      <c r="DE20" s="1152"/>
      <c r="DF20" s="328"/>
      <c r="DG20" s="328"/>
      <c r="DH20" s="328"/>
      <c r="DI20" s="328"/>
      <c r="DJ20" s="328"/>
      <c r="DK20" s="298"/>
      <c r="DL20" s="298"/>
      <c r="DM20" s="298"/>
      <c r="DN20" s="298"/>
      <c r="DO20" s="298"/>
      <c r="DP20" s="298"/>
      <c r="DQ20" s="328"/>
      <c r="DR20" s="328"/>
      <c r="DS20" s="328"/>
      <c r="DT20" s="328"/>
      <c r="DU20" s="328"/>
      <c r="DV20" s="328"/>
    </row>
    <row r="21" spans="1:126" s="320" customFormat="1" x14ac:dyDescent="0.25">
      <c r="A21" s="340"/>
      <c r="B21" s="340"/>
      <c r="C21" s="303"/>
      <c r="D21" s="336"/>
      <c r="E21" s="337"/>
      <c r="F21" s="337"/>
      <c r="G21" s="338"/>
      <c r="H21" s="337"/>
      <c r="I21" s="304"/>
      <c r="J21" s="336"/>
      <c r="K21" s="331"/>
      <c r="L21"/>
      <c r="M21" s="1121"/>
      <c r="N21" s="1110"/>
      <c r="O21" s="288"/>
      <c r="P21" s="332"/>
      <c r="Q21" s="332"/>
      <c r="R21" s="1262"/>
      <c r="S21" s="325"/>
      <c r="T21" s="321"/>
      <c r="U21" s="321"/>
      <c r="V21" s="321"/>
      <c r="CK21" s="328"/>
      <c r="CL21" s="328"/>
      <c r="CM21" s="1162"/>
      <c r="CN21" s="1153"/>
      <c r="CO21" s="1163"/>
      <c r="CP21" s="1161"/>
      <c r="CQ21" s="1161"/>
      <c r="CR21" s="1161"/>
      <c r="CS21" s="1161"/>
      <c r="CT21" s="1161"/>
      <c r="CU21" s="1161"/>
      <c r="CV21" s="945"/>
      <c r="CW21" s="1152" t="s">
        <v>512</v>
      </c>
      <c r="CX21" s="1152" t="s">
        <v>403</v>
      </c>
      <c r="CY21" s="1152"/>
      <c r="CZ21" s="1152"/>
      <c r="DA21" s="1152"/>
      <c r="DB21" s="1152"/>
      <c r="DC21" s="1152"/>
      <c r="DD21" s="1152"/>
      <c r="DE21" s="1152"/>
      <c r="DF21" s="328"/>
      <c r="DG21" s="328"/>
      <c r="DH21" s="328"/>
      <c r="DI21" s="328"/>
      <c r="DJ21" s="328"/>
      <c r="DK21" s="298"/>
      <c r="DL21" s="298"/>
      <c r="DM21" s="298"/>
      <c r="DN21" s="298"/>
      <c r="DO21" s="298"/>
      <c r="DP21" s="298"/>
      <c r="DQ21" s="328"/>
      <c r="DR21" s="328"/>
      <c r="DS21" s="328"/>
      <c r="DT21" s="328"/>
      <c r="DU21" s="328"/>
      <c r="DV21" s="328"/>
    </row>
    <row r="22" spans="1:126" s="320" customFormat="1" x14ac:dyDescent="0.25">
      <c r="A22" s="300" t="str">
        <f>IF($D$8="English",CN23,CM23)</f>
        <v>Telefon:</v>
      </c>
      <c r="B22" s="300"/>
      <c r="C22" s="330"/>
      <c r="D22" s="1569"/>
      <c r="E22" s="1569"/>
      <c r="G22" s="341"/>
      <c r="H22" s="300" t="str">
        <f>IF($D$8="English",CT23,CS23)</f>
        <v xml:space="preserve">Mobil: </v>
      </c>
      <c r="I22" s="1569"/>
      <c r="J22" s="1569"/>
      <c r="K22" s="331"/>
      <c r="L22"/>
      <c r="M22" s="1121"/>
      <c r="N22" s="1110"/>
      <c r="O22" s="288"/>
      <c r="P22" s="332"/>
      <c r="Q22" s="332"/>
      <c r="R22" s="1262"/>
      <c r="S22" s="325"/>
      <c r="T22" s="321"/>
      <c r="U22" s="321"/>
      <c r="V22" s="321"/>
      <c r="CK22" s="328"/>
      <c r="CL22" s="328"/>
      <c r="CM22" s="1162"/>
      <c r="CN22" s="1153"/>
      <c r="CO22" s="944"/>
      <c r="CP22" s="233"/>
      <c r="CQ22" s="233"/>
      <c r="CR22" s="233"/>
      <c r="CS22" s="233"/>
      <c r="CT22" s="233"/>
      <c r="CU22" s="233"/>
      <c r="CV22" s="945"/>
      <c r="CW22" s="1152" t="s">
        <v>513</v>
      </c>
      <c r="CX22" s="1152"/>
      <c r="CY22" s="1152"/>
      <c r="CZ22" s="1152"/>
      <c r="DA22" s="1152"/>
      <c r="DB22" s="1152"/>
      <c r="DC22" s="1152"/>
      <c r="DD22" s="1152"/>
      <c r="DE22" s="1152"/>
      <c r="DF22" s="328"/>
      <c r="DG22" s="328"/>
      <c r="DH22" s="328"/>
      <c r="DI22" s="328"/>
      <c r="DJ22" s="328"/>
      <c r="DK22" s="298"/>
      <c r="DL22" s="298"/>
      <c r="DM22" s="298"/>
      <c r="DN22" s="298"/>
      <c r="DO22" s="298"/>
      <c r="DP22" s="298"/>
      <c r="DQ22" s="328"/>
      <c r="DR22" s="328"/>
      <c r="DS22" s="328"/>
      <c r="DT22" s="328"/>
      <c r="DU22" s="328"/>
      <c r="DV22" s="328"/>
    </row>
    <row r="23" spans="1:126" s="320" customFormat="1" x14ac:dyDescent="0.25">
      <c r="J23" s="303"/>
      <c r="K23" s="331"/>
      <c r="L23"/>
      <c r="M23" s="1121"/>
      <c r="N23" s="1110"/>
      <c r="O23" s="288"/>
      <c r="P23" s="332"/>
      <c r="Q23" s="332"/>
      <c r="R23" s="1262"/>
      <c r="S23" s="325"/>
      <c r="T23" s="321"/>
      <c r="U23" s="321"/>
      <c r="V23" s="321"/>
      <c r="CK23" s="328"/>
      <c r="CL23" s="328"/>
      <c r="CM23" s="1162" t="s">
        <v>105</v>
      </c>
      <c r="CN23" s="1155" t="s">
        <v>409</v>
      </c>
      <c r="CO23" s="1574"/>
      <c r="CP23" s="1574"/>
      <c r="CQ23" s="233"/>
      <c r="CR23" s="233"/>
      <c r="CS23" s="233" t="s">
        <v>107</v>
      </c>
      <c r="CT23" s="1161" t="s">
        <v>107</v>
      </c>
      <c r="CU23" s="1161"/>
      <c r="CV23" s="945"/>
      <c r="CW23" s="1152" t="s">
        <v>514</v>
      </c>
      <c r="CX23" s="1152" t="s">
        <v>515</v>
      </c>
      <c r="CY23" s="1152"/>
      <c r="CZ23" s="1152"/>
      <c r="DA23" s="1152"/>
      <c r="DB23" s="1152"/>
      <c r="DC23" s="1152"/>
      <c r="DD23" s="1152"/>
      <c r="DE23" s="1152"/>
      <c r="DF23" s="328"/>
      <c r="DG23" s="328"/>
      <c r="DH23" s="328"/>
      <c r="DI23" s="328"/>
      <c r="DJ23" s="328"/>
      <c r="DK23" s="298"/>
      <c r="DL23" s="298"/>
      <c r="DM23" s="298"/>
      <c r="DN23" s="298"/>
      <c r="DO23" s="298"/>
      <c r="DP23" s="298"/>
      <c r="DQ23" s="328"/>
      <c r="DR23" s="328"/>
      <c r="DS23" s="328"/>
      <c r="DT23" s="328"/>
      <c r="DU23" s="328"/>
      <c r="DV23" s="328"/>
    </row>
    <row r="24" spans="1:126" s="320" customFormat="1" x14ac:dyDescent="0.25">
      <c r="A24" s="300" t="str">
        <f>IF($D$8="English",CN25,CM25)</f>
        <v>Mail:</v>
      </c>
      <c r="B24" s="300"/>
      <c r="C24" s="330"/>
      <c r="D24" s="1566"/>
      <c r="E24" s="1566"/>
      <c r="F24" s="1241"/>
      <c r="G24" s="342"/>
      <c r="H24" s="300" t="str">
        <f>IF($D$8="English",CT25,CS25)</f>
        <v>Abgabedatum*):</v>
      </c>
      <c r="I24" s="1567"/>
      <c r="J24" s="1567"/>
      <c r="K24" s="331"/>
      <c r="L24" s="336"/>
      <c r="M24" s="303"/>
      <c r="N24" s="336"/>
      <c r="O24" s="338"/>
      <c r="P24" s="338"/>
      <c r="R24" s="1262"/>
      <c r="S24" s="325"/>
      <c r="T24" s="321"/>
      <c r="U24" s="321"/>
      <c r="V24" s="321"/>
      <c r="CK24" s="328"/>
      <c r="CL24" s="328"/>
      <c r="CM24" s="1162"/>
      <c r="CN24" s="1153"/>
      <c r="CO24" s="944"/>
      <c r="CP24" s="233"/>
      <c r="CQ24" s="233"/>
      <c r="CR24" s="233"/>
      <c r="CS24" s="233"/>
      <c r="CT24" s="233"/>
      <c r="CU24" s="233"/>
      <c r="CV24" s="945"/>
      <c r="CW24" s="272"/>
      <c r="CX24" s="272"/>
      <c r="CY24" s="272"/>
      <c r="CZ24" s="272"/>
      <c r="DA24" s="272"/>
      <c r="DB24" s="272"/>
      <c r="DC24" s="272"/>
      <c r="DD24" s="328"/>
      <c r="DE24" s="328"/>
      <c r="DF24" s="328"/>
      <c r="DG24" s="328"/>
      <c r="DH24" s="328"/>
      <c r="DI24" s="328"/>
      <c r="DJ24" s="328"/>
      <c r="DK24" s="298"/>
      <c r="DL24" s="298"/>
      <c r="DM24" s="298"/>
      <c r="DN24" s="298"/>
      <c r="DO24" s="298"/>
      <c r="DP24" s="298"/>
      <c r="DQ24" s="328"/>
      <c r="DR24" s="328"/>
      <c r="DS24" s="328"/>
      <c r="DT24" s="328"/>
      <c r="DU24" s="328"/>
      <c r="DV24" s="328"/>
    </row>
    <row r="25" spans="1:126" s="320" customFormat="1" x14ac:dyDescent="0.25">
      <c r="J25" s="303"/>
      <c r="K25" s="331"/>
      <c r="L25" s="336"/>
      <c r="M25" s="303"/>
      <c r="N25" s="336"/>
      <c r="O25" s="338"/>
      <c r="R25" s="1262"/>
      <c r="S25" s="325"/>
      <c r="T25" s="321"/>
      <c r="U25" s="321"/>
      <c r="V25" s="321"/>
      <c r="CK25" s="328"/>
      <c r="CL25" s="328"/>
      <c r="CM25" s="1162" t="s">
        <v>106</v>
      </c>
      <c r="CN25" s="1155" t="s">
        <v>410</v>
      </c>
      <c r="CO25" s="1163"/>
      <c r="CP25" s="1161"/>
      <c r="CQ25" s="233"/>
      <c r="CR25" s="1161"/>
      <c r="CS25" s="233" t="s">
        <v>561</v>
      </c>
      <c r="CT25" s="1166" t="s">
        <v>411</v>
      </c>
      <c r="CU25" s="1161"/>
      <c r="CV25" s="945"/>
      <c r="CW25" s="272"/>
      <c r="CX25" s="272"/>
      <c r="CY25" s="272"/>
      <c r="CZ25" s="272"/>
      <c r="DA25" s="272"/>
      <c r="DB25" s="272"/>
      <c r="DC25" s="272"/>
      <c r="DD25" s="328"/>
      <c r="DE25" s="328"/>
      <c r="DF25" s="328"/>
      <c r="DG25" s="328"/>
      <c r="DH25" s="328"/>
      <c r="DI25" s="328"/>
      <c r="DJ25" s="328"/>
      <c r="DK25" s="298"/>
      <c r="DL25" s="298"/>
      <c r="DM25" s="298"/>
      <c r="DN25" s="298"/>
      <c r="DO25" s="298"/>
      <c r="DP25" s="298"/>
      <c r="DQ25" s="328"/>
      <c r="DR25" s="328"/>
      <c r="DS25" s="328"/>
      <c r="DT25" s="328"/>
      <c r="DU25" s="328"/>
      <c r="DV25" s="328"/>
    </row>
    <row r="26" spans="1:126" s="311" customFormat="1" x14ac:dyDescent="0.2">
      <c r="A26" s="315"/>
      <c r="B26" s="315"/>
      <c r="C26" s="316"/>
      <c r="D26" s="333"/>
      <c r="E26" s="343"/>
      <c r="G26" s="344"/>
      <c r="H26" s="343"/>
      <c r="I26" s="318"/>
      <c r="J26" s="333"/>
      <c r="K26" s="334"/>
      <c r="L26" s="333"/>
      <c r="M26" s="316"/>
      <c r="N26" s="333"/>
      <c r="O26" s="344"/>
      <c r="R26" s="1263"/>
      <c r="S26" s="308"/>
      <c r="T26" s="317"/>
      <c r="U26" s="317"/>
      <c r="V26" s="317"/>
      <c r="CK26" s="312"/>
      <c r="CL26" s="312"/>
      <c r="CM26" s="669"/>
      <c r="CN26" s="1159"/>
      <c r="CO26" s="1160"/>
      <c r="CP26" s="39"/>
      <c r="CQ26" s="39"/>
      <c r="CR26" s="39"/>
      <c r="CS26" s="39"/>
      <c r="CT26" s="39"/>
      <c r="CU26" s="39"/>
      <c r="CV26" s="1157"/>
      <c r="CW26" s="58"/>
      <c r="CX26" s="58"/>
      <c r="CY26" s="58"/>
      <c r="CZ26" s="58"/>
      <c r="DA26" s="58"/>
      <c r="DB26" s="58"/>
      <c r="DC26" s="58"/>
      <c r="DD26" s="312"/>
      <c r="DE26" s="312"/>
      <c r="DF26" s="312"/>
      <c r="DG26" s="312"/>
      <c r="DH26" s="312"/>
      <c r="DI26" s="312"/>
      <c r="DJ26" s="312"/>
      <c r="DK26" s="313"/>
      <c r="DL26" s="313"/>
      <c r="DM26" s="313"/>
      <c r="DN26" s="313"/>
      <c r="DO26" s="313"/>
      <c r="DP26" s="313"/>
      <c r="DQ26" s="312"/>
      <c r="DR26" s="312"/>
      <c r="DS26" s="312"/>
      <c r="DT26" s="312"/>
      <c r="DU26" s="312"/>
      <c r="DV26" s="312"/>
    </row>
    <row r="27" spans="1:126" s="311" customFormat="1" x14ac:dyDescent="0.2">
      <c r="C27" s="44" t="str">
        <f>IF($D$8="English",CO27,CN27)</f>
        <v>*) Pflichtfelder sind Mindestangaben für einen Businessplan</v>
      </c>
      <c r="D27" s="114"/>
      <c r="E27" s="114"/>
      <c r="G27" s="317"/>
      <c r="I27" s="318"/>
      <c r="J27" s="316"/>
      <c r="K27" s="334"/>
      <c r="L27" s="316"/>
      <c r="M27" s="316"/>
      <c r="N27" s="316"/>
      <c r="O27" s="317"/>
      <c r="R27" s="1263"/>
      <c r="S27" s="308"/>
      <c r="T27" s="317"/>
      <c r="U27" s="317"/>
      <c r="V27" s="317"/>
      <c r="CK27" s="312"/>
      <c r="CL27" s="312"/>
      <c r="CM27" s="312"/>
      <c r="CN27" s="1159" t="s">
        <v>562</v>
      </c>
      <c r="CO27" s="1160" t="s">
        <v>563</v>
      </c>
      <c r="CP27" s="39"/>
      <c r="CQ27" s="39"/>
      <c r="CR27" s="39"/>
      <c r="CS27" s="39" t="s">
        <v>173</v>
      </c>
      <c r="CT27" s="39"/>
      <c r="CU27" s="39"/>
      <c r="CV27" s="1157"/>
      <c r="CW27" s="58"/>
      <c r="CX27" s="58"/>
      <c r="CY27" s="58"/>
      <c r="CZ27" s="58"/>
      <c r="DA27" s="58"/>
      <c r="DB27" s="58"/>
      <c r="DC27" s="58"/>
      <c r="DD27" s="312"/>
      <c r="DE27" s="312"/>
      <c r="DF27" s="312"/>
      <c r="DG27" s="312"/>
      <c r="DH27" s="312"/>
      <c r="DI27" s="312"/>
      <c r="DJ27" s="312"/>
      <c r="DK27" s="313"/>
      <c r="DL27" s="313"/>
      <c r="DM27" s="313"/>
      <c r="DN27" s="313"/>
      <c r="DO27" s="313"/>
      <c r="DP27" s="313"/>
      <c r="DQ27" s="312"/>
      <c r="DR27" s="312"/>
      <c r="DS27" s="312"/>
      <c r="DT27" s="312"/>
      <c r="DU27" s="312"/>
      <c r="DV27" s="312"/>
    </row>
    <row r="28" spans="1:126" x14ac:dyDescent="0.25">
      <c r="C28" s="44" t="str">
        <f>IF($D$8="English",CO28,CN28)</f>
        <v xml:space="preserve">**) Erläuterung zu Rechtsformen siehe z.B. </v>
      </c>
      <c r="D28" s="346"/>
      <c r="E28" s="346"/>
      <c r="F28" s="347" t="s">
        <v>166</v>
      </c>
      <c r="I28" s="292"/>
      <c r="CN28" s="1167" t="s">
        <v>564</v>
      </c>
      <c r="CO28" s="944" t="s">
        <v>565</v>
      </c>
    </row>
    <row r="32" spans="1:126" x14ac:dyDescent="0.25">
      <c r="K32" s="348"/>
      <c r="CV32" s="945"/>
    </row>
    <row r="33" spans="9:100" x14ac:dyDescent="0.25">
      <c r="K33" s="349"/>
      <c r="CV33" s="945"/>
    </row>
    <row r="34" spans="9:100" x14ac:dyDescent="0.25">
      <c r="K34" s="350"/>
      <c r="CV34" s="1157"/>
    </row>
    <row r="35" spans="9:100" x14ac:dyDescent="0.25">
      <c r="I35" s="292"/>
      <c r="K35" s="351"/>
      <c r="CV35" s="1157"/>
    </row>
    <row r="36" spans="9:100" x14ac:dyDescent="0.25">
      <c r="I36" s="292"/>
      <c r="K36" s="351"/>
      <c r="CV36" s="1157"/>
    </row>
    <row r="37" spans="9:100" x14ac:dyDescent="0.25">
      <c r="I37" s="292"/>
      <c r="K37" s="349"/>
      <c r="CV37" s="945"/>
    </row>
    <row r="38" spans="9:100" x14ac:dyDescent="0.25">
      <c r="I38" s="292"/>
      <c r="K38" s="349"/>
      <c r="CV38" s="945"/>
    </row>
    <row r="39" spans="9:100" x14ac:dyDescent="0.25">
      <c r="I39" s="292"/>
      <c r="K39" s="349"/>
      <c r="CV39" s="945"/>
    </row>
    <row r="40" spans="9:100" x14ac:dyDescent="0.25">
      <c r="I40" s="292"/>
      <c r="K40" s="352"/>
      <c r="CV40" s="1157"/>
    </row>
    <row r="41" spans="9:100" x14ac:dyDescent="0.25">
      <c r="I41" s="292"/>
      <c r="K41" s="349"/>
      <c r="CV41" s="945"/>
    </row>
    <row r="42" spans="9:100" x14ac:dyDescent="0.25">
      <c r="I42" s="292"/>
      <c r="K42" s="349"/>
      <c r="CV42" s="945"/>
    </row>
    <row r="43" spans="9:100" x14ac:dyDescent="0.25">
      <c r="I43" s="292"/>
      <c r="K43" s="349"/>
      <c r="CV43" s="945"/>
    </row>
    <row r="44" spans="9:100" x14ac:dyDescent="0.25">
      <c r="I44" s="292"/>
      <c r="K44" s="352"/>
      <c r="CV44" s="1157"/>
    </row>
    <row r="45" spans="9:100" x14ac:dyDescent="0.25">
      <c r="I45" s="292"/>
      <c r="K45" s="349"/>
      <c r="CV45" s="945"/>
    </row>
    <row r="46" spans="9:100" x14ac:dyDescent="0.25">
      <c r="I46" s="292"/>
      <c r="K46" s="349"/>
      <c r="CV46" s="945"/>
    </row>
    <row r="47" spans="9:100" x14ac:dyDescent="0.25">
      <c r="I47" s="292"/>
      <c r="K47" s="349"/>
      <c r="CV47" s="945"/>
    </row>
    <row r="48" spans="9:100" x14ac:dyDescent="0.25">
      <c r="I48" s="292"/>
      <c r="K48" s="349"/>
      <c r="CV48" s="945"/>
    </row>
    <row r="49" spans="9:100" x14ac:dyDescent="0.25">
      <c r="I49" s="292"/>
      <c r="K49" s="349"/>
      <c r="CV49" s="945"/>
    </row>
    <row r="50" spans="9:100" x14ac:dyDescent="0.25">
      <c r="I50" s="292"/>
      <c r="K50" s="349"/>
      <c r="CV50" s="945"/>
    </row>
    <row r="51" spans="9:100" x14ac:dyDescent="0.25">
      <c r="I51" s="292"/>
      <c r="K51" s="349"/>
      <c r="CV51" s="945"/>
    </row>
    <row r="52" spans="9:100" x14ac:dyDescent="0.25">
      <c r="I52" s="292"/>
      <c r="K52" s="349"/>
      <c r="CV52" s="945"/>
    </row>
    <row r="53" spans="9:100" x14ac:dyDescent="0.25">
      <c r="I53" s="292"/>
      <c r="K53" s="349"/>
      <c r="CV53" s="945"/>
    </row>
    <row r="54" spans="9:100" x14ac:dyDescent="0.25">
      <c r="I54" s="292"/>
      <c r="K54" s="351"/>
      <c r="CV54" s="1157"/>
    </row>
    <row r="55" spans="9:100" x14ac:dyDescent="0.25">
      <c r="I55" s="292"/>
      <c r="K55" s="351"/>
      <c r="CV55" s="1157"/>
    </row>
    <row r="56" spans="9:100" x14ac:dyDescent="0.25">
      <c r="I56" s="292"/>
      <c r="K56" s="349"/>
      <c r="CV56" s="945"/>
    </row>
    <row r="57" spans="9:100" x14ac:dyDescent="0.25">
      <c r="I57" s="292"/>
      <c r="K57" s="349"/>
      <c r="CV57" s="945"/>
    </row>
  </sheetData>
  <sheetProtection algorithmName="SHA-512" hashValue="w4trCP73HHeDX/Ja5yuS/9Nq/4Z4RTaGjww4FBnGgZDWGsNXoHQ/aRuCx3rOlT9Rf0WHraEPvkB9kDubF8phlA==" saltValue="1yjBH0s0cJOhfSjBaX+JJA==" spinCount="100000" sheet="1" objects="1" scenarios="1" selectLockedCells="1"/>
  <mergeCells count="15">
    <mergeCell ref="D7:I7"/>
    <mergeCell ref="CO23:CP23"/>
    <mergeCell ref="D11:J11"/>
    <mergeCell ref="I12:J12"/>
    <mergeCell ref="D12:E12"/>
    <mergeCell ref="D24:E24"/>
    <mergeCell ref="I24:J24"/>
    <mergeCell ref="D13:E13"/>
    <mergeCell ref="I13:J13"/>
    <mergeCell ref="I15:J15"/>
    <mergeCell ref="D19:J19"/>
    <mergeCell ref="D20:J20"/>
    <mergeCell ref="D17:J17"/>
    <mergeCell ref="D22:E22"/>
    <mergeCell ref="I22:J22"/>
  </mergeCells>
  <conditionalFormatting sqref="CT12:CT13">
    <cfRule type="expression" dxfId="653" priority="99" stopIfTrue="1">
      <formula>IF(CT12&lt;&gt;"",1,"")=1</formula>
    </cfRule>
  </conditionalFormatting>
  <conditionalFormatting sqref="CP11:CS11 CU11">
    <cfRule type="expression" dxfId="652" priority="61" stopIfTrue="1">
      <formula>IF(CP11&lt;&gt;"",1,0)=1</formula>
    </cfRule>
  </conditionalFormatting>
  <conditionalFormatting sqref="CP13">
    <cfRule type="expression" dxfId="651" priority="60" stopIfTrue="1">
      <formula>IF(CP13&lt;&gt;"",1,"")=1</formula>
    </cfRule>
  </conditionalFormatting>
  <conditionalFormatting sqref="CP20:CU20">
    <cfRule type="expression" dxfId="650" priority="59" stopIfTrue="1">
      <formula>IF(CP20&lt;&gt;"",1,"")=1</formula>
    </cfRule>
  </conditionalFormatting>
  <conditionalFormatting sqref="CP19:CU19">
    <cfRule type="expression" dxfId="649" priority="57" stopIfTrue="1">
      <formula>IF(CP19&lt;&gt;"",1,"")=1</formula>
    </cfRule>
  </conditionalFormatting>
  <conditionalFormatting sqref="CP21:CU21">
    <cfRule type="expression" dxfId="648" priority="56" stopIfTrue="1">
      <formula>IF(CP21&lt;&gt;"",1,"")=1</formula>
    </cfRule>
  </conditionalFormatting>
  <conditionalFormatting sqref="CP23">
    <cfRule type="expression" dxfId="647" priority="54" stopIfTrue="1">
      <formula>IF(CP23&lt;&gt;"",1,"")=1</formula>
    </cfRule>
  </conditionalFormatting>
  <conditionalFormatting sqref="CP25">
    <cfRule type="expression" dxfId="646" priority="51" stopIfTrue="1">
      <formula>IF(CP25&lt;&gt;"",1,"")=1</formula>
    </cfRule>
  </conditionalFormatting>
  <conditionalFormatting sqref="CT23:CU23">
    <cfRule type="expression" dxfId="645" priority="50" stopIfTrue="1">
      <formula>IF(CT23&lt;&gt;"",1,"")=1</formula>
    </cfRule>
  </conditionalFormatting>
  <conditionalFormatting sqref="CP17:CU17">
    <cfRule type="expression" dxfId="644" priority="52" stopIfTrue="1">
      <formula>IF(CP17&lt;&gt;"",1,0)=1</formula>
    </cfRule>
  </conditionalFormatting>
  <conditionalFormatting sqref="CT25:CU25">
    <cfRule type="expression" dxfId="643" priority="49" stopIfTrue="1">
      <formula>IF(CT25&lt;&gt;"",1,"")=1</formula>
    </cfRule>
  </conditionalFormatting>
  <conditionalFormatting sqref="CT15:CU15">
    <cfRule type="expression" dxfId="642" priority="48" stopIfTrue="1">
      <formula>IF(CT15&lt;&gt;"",1,"")=1</formula>
    </cfRule>
  </conditionalFormatting>
  <conditionalFormatting sqref="CO11">
    <cfRule type="expression" dxfId="641" priority="33" stopIfTrue="1">
      <formula>IF(CO11&lt;&gt;"",1,0)=1</formula>
    </cfRule>
  </conditionalFormatting>
  <conditionalFormatting sqref="CO13">
    <cfRule type="expression" dxfId="640" priority="32" stopIfTrue="1">
      <formula>IF(CO13&lt;&gt;"",1,"")=1</formula>
    </cfRule>
  </conditionalFormatting>
  <conditionalFormatting sqref="CO20">
    <cfRule type="expression" dxfId="639" priority="31" stopIfTrue="1">
      <formula>IF(CO20&lt;&gt;"",1,"")=1</formula>
    </cfRule>
  </conditionalFormatting>
  <conditionalFormatting sqref="CO19">
    <cfRule type="expression" dxfId="638" priority="30" stopIfTrue="1">
      <formula>IF(CO19&lt;&gt;"",1,"")=1</formula>
    </cfRule>
  </conditionalFormatting>
  <conditionalFormatting sqref="CO21">
    <cfRule type="expression" dxfId="637" priority="29" stopIfTrue="1">
      <formula>IF(CO21&lt;&gt;"",1,"")=1</formula>
    </cfRule>
  </conditionalFormatting>
  <conditionalFormatting sqref="CO23">
    <cfRule type="expression" dxfId="636" priority="28" stopIfTrue="1">
      <formula>IF(CO23&lt;&gt;"",1,"")=1</formula>
    </cfRule>
  </conditionalFormatting>
  <conditionalFormatting sqref="CO25">
    <cfRule type="expression" dxfId="635" priority="25" stopIfTrue="1">
      <formula>IF(CO25&lt;&gt;"",1,"")=1</formula>
    </cfRule>
  </conditionalFormatting>
  <conditionalFormatting sqref="D15">
    <cfRule type="expression" dxfId="634" priority="10" stopIfTrue="1">
      <formula>IF(D15&lt;&gt;"",1,0)=1</formula>
    </cfRule>
  </conditionalFormatting>
  <conditionalFormatting sqref="I15:J15">
    <cfRule type="expression" dxfId="633" priority="5" stopIfTrue="1">
      <formula>IF(I15&lt;&gt;"",1,"")=1</formula>
    </cfRule>
  </conditionalFormatting>
  <conditionalFormatting sqref="D11:J11">
    <cfRule type="expression" dxfId="632" priority="18" stopIfTrue="1">
      <formula>IF(D11&lt;&gt;"",1,0)=1</formula>
    </cfRule>
  </conditionalFormatting>
  <conditionalFormatting sqref="D13:E13">
    <cfRule type="expression" dxfId="631" priority="17" stopIfTrue="1">
      <formula>IF(D13&lt;&gt;"",1,"")=1</formula>
    </cfRule>
  </conditionalFormatting>
  <conditionalFormatting sqref="D20:J20">
    <cfRule type="expression" dxfId="630" priority="16" stopIfTrue="1">
      <formula>IF(D20&lt;&gt;"",1,"")=1</formula>
    </cfRule>
  </conditionalFormatting>
  <conditionalFormatting sqref="D19:J19">
    <cfRule type="expression" dxfId="629" priority="14" stopIfTrue="1">
      <formula>IF(D19&lt;&gt;"",1,"")=1</formula>
    </cfRule>
  </conditionalFormatting>
  <conditionalFormatting sqref="I13:J13">
    <cfRule type="expression" dxfId="628" priority="12" stopIfTrue="1">
      <formula>IF(I13&lt;&gt;"",1,"")=1</formula>
    </cfRule>
  </conditionalFormatting>
  <conditionalFormatting sqref="D22:E22">
    <cfRule type="expression" dxfId="627" priority="11" stopIfTrue="1">
      <formula>IF(D22&lt;&gt;"",1,"")=1</formula>
    </cfRule>
  </conditionalFormatting>
  <conditionalFormatting sqref="D24:E24">
    <cfRule type="expression" dxfId="626" priority="8" stopIfTrue="1">
      <formula>IF(D24&lt;&gt;"",1,"")=1</formula>
    </cfRule>
  </conditionalFormatting>
  <conditionalFormatting sqref="I22:J22">
    <cfRule type="expression" dxfId="625" priority="7" stopIfTrue="1">
      <formula>IF(I22&lt;&gt;"",1,"")=1</formula>
    </cfRule>
  </conditionalFormatting>
  <conditionalFormatting sqref="D17:J17">
    <cfRule type="expression" dxfId="624" priority="9" stopIfTrue="1">
      <formula>IF(D17&lt;&gt;"",1,0)=1</formula>
    </cfRule>
  </conditionalFormatting>
  <conditionalFormatting sqref="I24:J24">
    <cfRule type="expression" dxfId="623" priority="6" stopIfTrue="1">
      <formula>IF(I24&lt;&gt;"",1,"")=1</formula>
    </cfRule>
  </conditionalFormatting>
  <conditionalFormatting sqref="F15">
    <cfRule type="expression" dxfId="622" priority="4" stopIfTrue="1">
      <formula>IF(F15&lt;&gt;"",1,0)=1</formula>
    </cfRule>
  </conditionalFormatting>
  <conditionalFormatting sqref="D17:J17">
    <cfRule type="expression" dxfId="621" priority="3" stopIfTrue="1">
      <formula>IF(D17&lt;&gt;"",1,0)=1</formula>
    </cfRule>
  </conditionalFormatting>
  <conditionalFormatting sqref="D20:J20">
    <cfRule type="expression" dxfId="620" priority="2" stopIfTrue="1">
      <formula>IF(D20&lt;&gt;"",1,"")=1</formula>
    </cfRule>
  </conditionalFormatting>
  <conditionalFormatting sqref="D19:J19">
    <cfRule type="expression" dxfId="619" priority="1" stopIfTrue="1">
      <formula>IF(D19&lt;&gt;"",1,"")=1</formula>
    </cfRule>
  </conditionalFormatting>
  <dataValidations count="6">
    <dataValidation type="list" allowBlank="1" showErrorMessage="1" error="Jahreszahl bitte 4-stellig eingeben" promptTitle="Jahreszahl 4-stellig eingeben" prompt="Aktuelles Jahr und die 3 Folgejahre sind als Eingabe zugelassen" sqref="D15">
      <formula1>$L$1:$L$4</formula1>
    </dataValidation>
    <dataValidation type="list" allowBlank="1" showErrorMessage="1" sqref="CT12 I13:J13">
      <formula1>$G$1:$G$2</formula1>
    </dataValidation>
    <dataValidation type="list" allowBlank="1" showInputMessage="1" showErrorMessage="1" sqref="CP13">
      <formula1>$C$1:$C$4</formula1>
    </dataValidation>
    <dataValidation type="list" allowBlank="1" showInputMessage="1" showErrorMessage="1" sqref="CO13">
      <formula1>$C$1:$C$6</formula1>
    </dataValidation>
    <dataValidation type="list" allowBlank="1" showInputMessage="1" showErrorMessage="1" sqref="D13:E13">
      <formula1>$C$1:$C$5</formula1>
    </dataValidation>
    <dataValidation type="list" allowBlank="1" showInputMessage="1" showErrorMessage="1" sqref="F15">
      <formula1>$V$1:$V$12</formula1>
    </dataValidation>
  </dataValidations>
  <hyperlinks>
    <hyperlink ref="F28" r:id="rId1"/>
  </hyperlinks>
  <printOptions horizontalCentered="1"/>
  <pageMargins left="0.51181102362204722" right="1.1023622047244095" top="0.78740157480314965" bottom="0.78740157480314965" header="0.31496062992125984" footer="0.31496062992125984"/>
  <pageSetup paperSize="9" scale="89" orientation="landscape" r:id="rId2"/>
  <headerFooter>
    <oddFooter>&amp;L&amp;8&amp;A&amp;C&amp;8&amp;F&amp;R&amp;9© 2017 www.Kindermanns.de
Jürgen Erlewein</oddFooter>
  </headerFooter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EZ478"/>
  <sheetViews>
    <sheetView showGridLines="0" topLeftCell="B2" zoomScale="80" zoomScaleNormal="80" zoomScaleSheetLayoutView="81" zoomScalePageLayoutView="50" workbookViewId="0">
      <selection activeCell="D7" sqref="D7"/>
    </sheetView>
  </sheetViews>
  <sheetFormatPr baseColWidth="10" defaultColWidth="28.85546875" defaultRowHeight="14.25" x14ac:dyDescent="0.2"/>
  <cols>
    <col min="1" max="1" width="2.5703125" style="219" customWidth="1"/>
    <col min="2" max="2" width="5.85546875" style="222" customWidth="1"/>
    <col min="3" max="3" width="60.140625" style="422" customWidth="1"/>
    <col min="4" max="15" width="14.7109375" style="222" customWidth="1"/>
    <col min="16" max="16" width="14.7109375" style="286" customWidth="1"/>
    <col min="17" max="17" width="4.7109375" style="286" customWidth="1"/>
    <col min="18" max="18" width="4.7109375" style="55" customWidth="1"/>
    <col min="19" max="19" width="51.7109375" style="232" customWidth="1"/>
    <col min="20" max="36" width="28.85546875" style="219" customWidth="1"/>
    <col min="37" max="58" width="28.85546875" style="219" hidden="1" customWidth="1"/>
    <col min="59" max="98" width="28.85546875" style="222" hidden="1" customWidth="1"/>
    <col min="99" max="99" width="5.85546875" style="355" hidden="1" customWidth="1"/>
    <col min="100" max="100" width="161.5703125" style="363" hidden="1" customWidth="1"/>
    <col min="101" max="101" width="83.5703125" style="363" hidden="1" customWidth="1"/>
    <col min="102" max="103" width="19.140625" style="222" hidden="1" customWidth="1"/>
    <col min="104" max="156" width="28.85546875" style="222" hidden="1" customWidth="1"/>
    <col min="157" max="16384" width="28.85546875" style="222"/>
  </cols>
  <sheetData>
    <row r="1" spans="1:136" ht="66" customHeight="1" x14ac:dyDescent="0.2"/>
    <row r="2" spans="1:136" s="219" customFormat="1" ht="21.95" customHeight="1" x14ac:dyDescent="0.2">
      <c r="A2" s="218"/>
      <c r="B2" s="220" t="str">
        <f>'Deckblatt Gruender|Data Founder'!$D$8</f>
        <v>Deutsch</v>
      </c>
      <c r="C2" s="353">
        <f ca="1">YEAR(TODAY())</f>
        <v>2017</v>
      </c>
      <c r="E2" s="245"/>
      <c r="F2" s="246"/>
      <c r="O2" s="247"/>
      <c r="P2" s="354"/>
      <c r="Q2" s="354"/>
      <c r="R2" s="55"/>
      <c r="T2" s="224" t="s">
        <v>229</v>
      </c>
      <c r="CU2" s="355"/>
      <c r="CV2" s="223"/>
      <c r="CW2" s="223"/>
      <c r="CZ2" s="39" t="s">
        <v>1</v>
      </c>
      <c r="DA2" s="39" t="s">
        <v>2</v>
      </c>
      <c r="DB2" s="39" t="s">
        <v>3</v>
      </c>
      <c r="DC2" s="39" t="s">
        <v>4</v>
      </c>
      <c r="DD2" s="39" t="s">
        <v>5</v>
      </c>
      <c r="DE2" s="39" t="s">
        <v>6</v>
      </c>
      <c r="DF2" s="39" t="s">
        <v>7</v>
      </c>
      <c r="DG2" s="39" t="s">
        <v>8</v>
      </c>
      <c r="DH2" s="39" t="s">
        <v>9</v>
      </c>
      <c r="DI2" s="39" t="s">
        <v>10</v>
      </c>
      <c r="DJ2" s="39" t="s">
        <v>11</v>
      </c>
      <c r="DK2" s="39" t="s">
        <v>12</v>
      </c>
      <c r="DL2" s="39" t="str">
        <f ca="1">"Jahr "&amp;'1 Pers.Ausgaben|Pers Expenses'!C4</f>
        <v>Jahr 2017</v>
      </c>
    </row>
    <row r="3" spans="1:136" s="225" customFormat="1" ht="24.75" x14ac:dyDescent="0.3">
      <c r="B3" s="460" t="str">
        <f ca="1">IF(B2="English",CW3,CV3)&amp;$C$4</f>
        <v>1a  Persönliche Ausgaben in EUR für die Monate des Jahres 2017</v>
      </c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354"/>
      <c r="R3" s="311"/>
      <c r="T3" s="36" t="s">
        <v>310</v>
      </c>
      <c r="CU3" s="259"/>
      <c r="CV3" s="337" t="str">
        <f>"1a  Persönliche Ausgaben in EUR für die Monate des Jahres "</f>
        <v xml:space="preserve">1a  Persönliche Ausgaben in EUR für die Monate des Jahres </v>
      </c>
      <c r="CW3" s="357" t="str">
        <f>"1a  Personal Expenses in EUR for the Months of the Year "</f>
        <v xml:space="preserve">1a  Personal Expenses in EUR for the Months of the Year </v>
      </c>
      <c r="CZ3" s="39" t="s">
        <v>73</v>
      </c>
      <c r="DA3" s="39" t="s">
        <v>74</v>
      </c>
      <c r="DB3" s="39" t="s">
        <v>306</v>
      </c>
      <c r="DC3" s="39" t="s">
        <v>76</v>
      </c>
      <c r="DD3" s="39" t="s">
        <v>303</v>
      </c>
      <c r="DE3" s="39" t="s">
        <v>304</v>
      </c>
      <c r="DF3" s="39" t="s">
        <v>305</v>
      </c>
      <c r="DG3" s="39" t="s">
        <v>79</v>
      </c>
      <c r="DH3" s="39" t="s">
        <v>307</v>
      </c>
      <c r="DI3" s="39" t="s">
        <v>308</v>
      </c>
      <c r="DJ3" s="39" t="s">
        <v>82</v>
      </c>
      <c r="DK3" s="39" t="s">
        <v>309</v>
      </c>
      <c r="DL3" s="39" t="str">
        <f ca="1">"Year "&amp;'1 Pers.Ausgaben|Pers Expenses'!C4</f>
        <v>Year 2017</v>
      </c>
    </row>
    <row r="4" spans="1:136" s="225" customFormat="1" ht="15" thickBot="1" x14ac:dyDescent="0.25">
      <c r="B4" s="220"/>
      <c r="C4" s="353">
        <f ca="1">IF('Deckblatt Gruender|Data Founder'!D15&lt;&gt;"",'Deckblatt Gruender|Data Founder'!D15,'1 Pers.Ausgaben|Pers Expenses'!C2)</f>
        <v>2017</v>
      </c>
      <c r="D4" s="251"/>
      <c r="E4" s="251"/>
      <c r="F4" s="251"/>
      <c r="G4" s="251"/>
      <c r="H4" s="251"/>
      <c r="I4" s="251"/>
      <c r="J4" s="251"/>
      <c r="K4" s="251"/>
      <c r="L4" s="251"/>
      <c r="M4" s="251"/>
      <c r="N4" s="253"/>
      <c r="O4" s="251"/>
      <c r="P4" s="251"/>
      <c r="Q4" s="354"/>
      <c r="R4" s="34"/>
      <c r="T4" s="36"/>
      <c r="U4" s="251"/>
      <c r="V4" s="251"/>
      <c r="W4" s="251"/>
      <c r="X4" s="251"/>
      <c r="Y4" s="255"/>
      <c r="AB4" s="256"/>
      <c r="AC4" s="256"/>
      <c r="AD4" s="257"/>
      <c r="AE4" s="258"/>
      <c r="AF4" s="258"/>
      <c r="CU4" s="355"/>
      <c r="CV4" s="223"/>
      <c r="CW4" s="223"/>
      <c r="EB4" s="229"/>
      <c r="EC4" s="219"/>
      <c r="ED4" s="219"/>
      <c r="EE4" s="219"/>
      <c r="EF4" s="219"/>
    </row>
    <row r="5" spans="1:136" s="58" customFormat="1" ht="15" thickBot="1" x14ac:dyDescent="0.25">
      <c r="A5" s="55"/>
      <c r="B5" s="49" t="s">
        <v>302</v>
      </c>
      <c r="C5" s="358" t="str">
        <f>IF($B$2="English", CW5,CV5)</f>
        <v>Kostenart</v>
      </c>
      <c r="D5" s="51" t="str">
        <f>IF($B$2="English", CZ3,CZ2)</f>
        <v>Jan.</v>
      </c>
      <c r="E5" s="51" t="str">
        <f t="shared" ref="E5:O5" si="0">IF($B$2="English", DA3,DA2)</f>
        <v>Febr.</v>
      </c>
      <c r="F5" s="51" t="str">
        <f t="shared" si="0"/>
        <v>März</v>
      </c>
      <c r="G5" s="51" t="str">
        <f t="shared" si="0"/>
        <v>April</v>
      </c>
      <c r="H5" s="51" t="str">
        <f t="shared" si="0"/>
        <v>Mai</v>
      </c>
      <c r="I5" s="51" t="str">
        <f t="shared" si="0"/>
        <v>Juni</v>
      </c>
      <c r="J5" s="51" t="str">
        <f t="shared" si="0"/>
        <v>Juli</v>
      </c>
      <c r="K5" s="51" t="str">
        <f t="shared" si="0"/>
        <v>Aug.</v>
      </c>
      <c r="L5" s="51" t="str">
        <f t="shared" si="0"/>
        <v>Sept.</v>
      </c>
      <c r="M5" s="51" t="str">
        <f t="shared" si="0"/>
        <v>Okt.</v>
      </c>
      <c r="N5" s="51" t="str">
        <f t="shared" si="0"/>
        <v>Nov.</v>
      </c>
      <c r="O5" s="51" t="str">
        <f t="shared" si="0"/>
        <v>Dez.</v>
      </c>
      <c r="P5" s="52" t="str">
        <f ca="1">IF(B2="English","Year ","Jahr ")&amp;C4</f>
        <v>Jahr 2017</v>
      </c>
      <c r="Q5" s="354"/>
      <c r="R5" s="53"/>
      <c r="S5" s="54" t="str">
        <f>IF(B2="English",T3,T2)</f>
        <v>Aufgaben und/oder Kommentar</v>
      </c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CU5" s="355"/>
      <c r="CV5" s="359" t="s">
        <v>0</v>
      </c>
      <c r="CW5" s="359" t="s">
        <v>383</v>
      </c>
    </row>
    <row r="6" spans="1:136" x14ac:dyDescent="0.2">
      <c r="B6" s="360">
        <v>1</v>
      </c>
      <c r="C6" s="361" t="str">
        <f>IF($B$2="English", CW6,CV6)</f>
        <v>Wohnen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362"/>
      <c r="Q6" s="354"/>
      <c r="R6" s="65"/>
      <c r="CV6" s="363" t="s">
        <v>40</v>
      </c>
      <c r="CW6" s="364" t="s">
        <v>602</v>
      </c>
    </row>
    <row r="7" spans="1:136" x14ac:dyDescent="0.2">
      <c r="B7" s="360"/>
      <c r="C7" s="365" t="str">
        <f t="shared" ref="C7:C13" si="1">IF($B$2="English", CW7,CV7)</f>
        <v>Miete (oder vergleichbare Belastung)</v>
      </c>
      <c r="D7" s="73"/>
      <c r="E7" s="73"/>
      <c r="F7" s="73"/>
      <c r="G7" s="73"/>
      <c r="H7" s="73"/>
      <c r="I7" s="73"/>
      <c r="J7" s="73"/>
      <c r="K7" s="73"/>
      <c r="L7" s="73"/>
      <c r="M7" s="73"/>
      <c r="N7" s="73"/>
      <c r="O7" s="73"/>
      <c r="P7" s="366">
        <f>SUM(D7:O7)</f>
        <v>0</v>
      </c>
      <c r="Q7" s="354"/>
      <c r="S7" s="1546"/>
      <c r="CV7" s="363" t="s">
        <v>13</v>
      </c>
      <c r="CW7" s="69" t="s">
        <v>603</v>
      </c>
    </row>
    <row r="8" spans="1:136" x14ac:dyDescent="0.2">
      <c r="B8" s="360"/>
      <c r="C8" s="365" t="str">
        <f t="shared" si="1"/>
        <v xml:space="preserve">Heizung, Schornsteinfeger, Emission </v>
      </c>
      <c r="D8" s="73"/>
      <c r="E8" s="73"/>
      <c r="F8" s="73"/>
      <c r="G8" s="73"/>
      <c r="H8" s="73"/>
      <c r="I8" s="73"/>
      <c r="J8" s="73"/>
      <c r="K8" s="73"/>
      <c r="L8" s="73"/>
      <c r="M8" s="73"/>
      <c r="N8" s="73"/>
      <c r="O8" s="73"/>
      <c r="P8" s="366">
        <f t="shared" ref="P8:P14" si="2">SUM(D8:O8)</f>
        <v>0</v>
      </c>
      <c r="Q8" s="354"/>
      <c r="S8" s="1546"/>
      <c r="CV8" s="363" t="s">
        <v>14</v>
      </c>
      <c r="CW8" s="69" t="s">
        <v>604</v>
      </c>
    </row>
    <row r="9" spans="1:136" x14ac:dyDescent="0.2">
      <c r="B9" s="360"/>
      <c r="C9" s="365" t="str">
        <f t="shared" si="1"/>
        <v>Strom, Wasser, Abwasser, Müll</v>
      </c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366">
        <f t="shared" si="2"/>
        <v>0</v>
      </c>
      <c r="Q9" s="354"/>
      <c r="S9" s="1546"/>
      <c r="CV9" s="363" t="s">
        <v>15</v>
      </c>
      <c r="CW9" s="69" t="s">
        <v>279</v>
      </c>
    </row>
    <row r="10" spans="1:136" x14ac:dyDescent="0.2">
      <c r="B10" s="360"/>
      <c r="C10" s="365" t="str">
        <f t="shared" si="1"/>
        <v>Telefon, Mobil, Fax, Internet</v>
      </c>
      <c r="D10" s="73"/>
      <c r="E10" s="73"/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366">
        <f t="shared" si="2"/>
        <v>0</v>
      </c>
      <c r="Q10" s="354"/>
      <c r="S10" s="1546"/>
      <c r="CV10" s="363" t="s">
        <v>16</v>
      </c>
      <c r="CW10" s="69" t="s">
        <v>605</v>
      </c>
    </row>
    <row r="11" spans="1:136" x14ac:dyDescent="0.2">
      <c r="B11" s="360"/>
      <c r="C11" s="365" t="str">
        <f t="shared" si="1"/>
        <v>Rundfunk / Fernsehen usw.</v>
      </c>
      <c r="D11" s="73"/>
      <c r="E11" s="73"/>
      <c r="F11" s="73"/>
      <c r="G11" s="73"/>
      <c r="H11" s="73"/>
      <c r="I11" s="73"/>
      <c r="J11" s="73"/>
      <c r="K11" s="73"/>
      <c r="L11" s="73"/>
      <c r="M11" s="73"/>
      <c r="N11" s="73"/>
      <c r="O11" s="73"/>
      <c r="P11" s="366">
        <f t="shared" si="2"/>
        <v>0</v>
      </c>
      <c r="Q11" s="354"/>
      <c r="S11" s="1546"/>
      <c r="CV11" s="363" t="s">
        <v>17</v>
      </c>
      <c r="CW11" s="69" t="s">
        <v>611</v>
      </c>
    </row>
    <row r="12" spans="1:136" x14ac:dyDescent="0.2">
      <c r="B12" s="360"/>
      <c r="C12" s="365" t="str">
        <f t="shared" si="1"/>
        <v>Kredit (Zins u. Tilgung)</v>
      </c>
      <c r="D12" s="73"/>
      <c r="E12" s="73"/>
      <c r="F12" s="73"/>
      <c r="G12" s="73"/>
      <c r="H12" s="73"/>
      <c r="I12" s="73"/>
      <c r="J12" s="73"/>
      <c r="K12" s="73"/>
      <c r="L12" s="73"/>
      <c r="M12" s="73"/>
      <c r="N12" s="73"/>
      <c r="O12" s="73"/>
      <c r="P12" s="366">
        <f t="shared" si="2"/>
        <v>0</v>
      </c>
      <c r="Q12" s="354"/>
      <c r="S12" s="1546"/>
      <c r="CV12" s="363" t="s">
        <v>18</v>
      </c>
      <c r="CW12" s="69" t="s">
        <v>267</v>
      </c>
    </row>
    <row r="13" spans="1:136" x14ac:dyDescent="0.2">
      <c r="B13" s="360"/>
      <c r="C13" s="365" t="str">
        <f t="shared" si="1"/>
        <v>Wohnungsreparaturen</v>
      </c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366">
        <f t="shared" si="2"/>
        <v>0</v>
      </c>
      <c r="Q13" s="354"/>
      <c r="S13" s="1546"/>
      <c r="CV13" s="363" t="s">
        <v>19</v>
      </c>
      <c r="CW13" s="69" t="s">
        <v>606</v>
      </c>
    </row>
    <row r="14" spans="1:136" x14ac:dyDescent="0.2">
      <c r="B14" s="360"/>
      <c r="C14" s="1545" t="s">
        <v>20</v>
      </c>
      <c r="D14" s="73"/>
      <c r="E14" s="73"/>
      <c r="F14" s="73"/>
      <c r="G14" s="73"/>
      <c r="H14" s="73"/>
      <c r="I14" s="73"/>
      <c r="J14" s="73"/>
      <c r="K14" s="73"/>
      <c r="L14" s="73"/>
      <c r="M14" s="73"/>
      <c r="N14" s="73"/>
      <c r="O14" s="73"/>
      <c r="P14" s="366">
        <f t="shared" si="2"/>
        <v>0</v>
      </c>
      <c r="Q14" s="354"/>
      <c r="S14" s="1546"/>
      <c r="CV14" s="363" t="s">
        <v>20</v>
      </c>
      <c r="CW14" s="69" t="s">
        <v>278</v>
      </c>
    </row>
    <row r="15" spans="1:136" ht="15" thickBot="1" x14ac:dyDescent="0.25">
      <c r="B15" s="367"/>
      <c r="C15" s="368" t="str">
        <f>IF('Deckblatt Gruender|Data Founder'!$D$8="Deutsch",CV15,CW15)</f>
        <v>Summe</v>
      </c>
      <c r="D15" s="369">
        <f>SUM(D7:D14)</f>
        <v>0</v>
      </c>
      <c r="E15" s="369">
        <f t="shared" ref="E15:O15" si="3">SUM(E7:E14)</f>
        <v>0</v>
      </c>
      <c r="F15" s="369">
        <f t="shared" si="3"/>
        <v>0</v>
      </c>
      <c r="G15" s="369">
        <f t="shared" si="3"/>
        <v>0</v>
      </c>
      <c r="H15" s="369">
        <f t="shared" si="3"/>
        <v>0</v>
      </c>
      <c r="I15" s="369">
        <f t="shared" si="3"/>
        <v>0</v>
      </c>
      <c r="J15" s="369">
        <f t="shared" si="3"/>
        <v>0</v>
      </c>
      <c r="K15" s="369">
        <f t="shared" si="3"/>
        <v>0</v>
      </c>
      <c r="L15" s="369">
        <f t="shared" si="3"/>
        <v>0</v>
      </c>
      <c r="M15" s="369">
        <f t="shared" si="3"/>
        <v>0</v>
      </c>
      <c r="N15" s="369">
        <f t="shared" si="3"/>
        <v>0</v>
      </c>
      <c r="O15" s="369">
        <f t="shared" si="3"/>
        <v>0</v>
      </c>
      <c r="P15" s="370">
        <f>SUM(P7:P14)</f>
        <v>0</v>
      </c>
      <c r="Q15" s="354"/>
      <c r="CV15" s="363" t="s">
        <v>42</v>
      </c>
      <c r="CW15" s="364" t="s">
        <v>262</v>
      </c>
    </row>
    <row r="16" spans="1:136" ht="15" thickTop="1" x14ac:dyDescent="0.2">
      <c r="B16" s="360">
        <v>2</v>
      </c>
      <c r="C16" s="361" t="str">
        <f>IF($B$2="English", CW16,CV16)</f>
        <v>Lebensunterhalt / Haushaltsgeld</v>
      </c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/>
      <c r="P16" s="366"/>
      <c r="Q16" s="354"/>
      <c r="CV16" s="363" t="s">
        <v>21</v>
      </c>
      <c r="CW16" s="371" t="s">
        <v>607</v>
      </c>
    </row>
    <row r="17" spans="2:101" x14ac:dyDescent="0.2">
      <c r="B17" s="360"/>
      <c r="C17" s="365" t="str">
        <f>IF($B$2="English", CW17,CV17)</f>
        <v>Lebensmittel , auswärts Essen</v>
      </c>
      <c r="D17" s="73"/>
      <c r="E17" s="73"/>
      <c r="F17" s="73"/>
      <c r="G17" s="73"/>
      <c r="H17" s="73"/>
      <c r="I17" s="73"/>
      <c r="J17" s="73"/>
      <c r="K17" s="73"/>
      <c r="L17" s="73"/>
      <c r="M17" s="73"/>
      <c r="N17" s="73"/>
      <c r="O17" s="73"/>
      <c r="P17" s="366">
        <f>SUM(D17:O17)</f>
        <v>0</v>
      </c>
      <c r="Q17" s="354"/>
      <c r="S17" s="1546"/>
      <c r="CV17" s="363" t="s">
        <v>22</v>
      </c>
      <c r="CW17" s="69" t="s">
        <v>608</v>
      </c>
    </row>
    <row r="18" spans="2:101" x14ac:dyDescent="0.2">
      <c r="B18" s="360"/>
      <c r="C18" s="365" t="str">
        <f>IF($B$2="English", CW18,CV18)</f>
        <v>Kleidung, kosmetika, Sonstiges</v>
      </c>
      <c r="D18" s="73"/>
      <c r="E18" s="73"/>
      <c r="F18" s="73"/>
      <c r="G18" s="73"/>
      <c r="H18" s="73"/>
      <c r="I18" s="73"/>
      <c r="J18" s="73"/>
      <c r="K18" s="73"/>
      <c r="L18" s="73"/>
      <c r="M18" s="73"/>
      <c r="N18" s="73"/>
      <c r="O18" s="73"/>
      <c r="P18" s="366">
        <f>SUM(D18:O18)</f>
        <v>0</v>
      </c>
      <c r="Q18" s="354"/>
      <c r="S18" s="1546"/>
      <c r="CV18" s="363" t="s">
        <v>23</v>
      </c>
      <c r="CW18" s="69" t="s">
        <v>609</v>
      </c>
    </row>
    <row r="19" spans="2:101" ht="15" thickBot="1" x14ac:dyDescent="0.25">
      <c r="B19" s="367"/>
      <c r="C19" s="368" t="str">
        <f>IF('Deckblatt Gruender|Data Founder'!$D$8="Deutsch",CV19,CW19)</f>
        <v>Summe</v>
      </c>
      <c r="D19" s="369">
        <f>SUM(D17:D18)</f>
        <v>0</v>
      </c>
      <c r="E19" s="369">
        <f t="shared" ref="E19:O19" si="4">SUM(E17:E18)</f>
        <v>0</v>
      </c>
      <c r="F19" s="369">
        <f t="shared" si="4"/>
        <v>0</v>
      </c>
      <c r="G19" s="369">
        <f t="shared" si="4"/>
        <v>0</v>
      </c>
      <c r="H19" s="369">
        <f t="shared" si="4"/>
        <v>0</v>
      </c>
      <c r="I19" s="369">
        <f t="shared" si="4"/>
        <v>0</v>
      </c>
      <c r="J19" s="369">
        <f t="shared" si="4"/>
        <v>0</v>
      </c>
      <c r="K19" s="369">
        <f t="shared" si="4"/>
        <v>0</v>
      </c>
      <c r="L19" s="369">
        <f t="shared" si="4"/>
        <v>0</v>
      </c>
      <c r="M19" s="369">
        <f t="shared" si="4"/>
        <v>0</v>
      </c>
      <c r="N19" s="369">
        <f t="shared" si="4"/>
        <v>0</v>
      </c>
      <c r="O19" s="369">
        <f t="shared" si="4"/>
        <v>0</v>
      </c>
      <c r="P19" s="370">
        <f>SUM(P17:P18)</f>
        <v>0</v>
      </c>
      <c r="Q19" s="354"/>
      <c r="CV19" s="363" t="s">
        <v>42</v>
      </c>
      <c r="CW19" s="364" t="s">
        <v>262</v>
      </c>
    </row>
    <row r="20" spans="2:101" ht="15" thickTop="1" x14ac:dyDescent="0.2">
      <c r="B20" s="360">
        <v>3</v>
      </c>
      <c r="C20" s="361" t="str">
        <f>IF($B$2="English", CW20,CV20)</f>
        <v>PKW</v>
      </c>
      <c r="D20" s="168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366"/>
      <c r="Q20" s="354"/>
      <c r="CV20" s="363" t="s">
        <v>41</v>
      </c>
      <c r="CW20" s="371" t="s">
        <v>272</v>
      </c>
    </row>
    <row r="21" spans="2:101" x14ac:dyDescent="0.2">
      <c r="B21" s="360"/>
      <c r="C21" s="365" t="str">
        <f>IF($B$2="English", CW21,CV21)</f>
        <v>Kredit (Zins u. Tilgung) / Leasing</v>
      </c>
      <c r="D21" s="73"/>
      <c r="E21" s="73"/>
      <c r="F21" s="73"/>
      <c r="G21" s="73"/>
      <c r="H21" s="73"/>
      <c r="I21" s="73"/>
      <c r="J21" s="73"/>
      <c r="K21" s="73"/>
      <c r="L21" s="73"/>
      <c r="M21" s="73"/>
      <c r="N21" s="73"/>
      <c r="O21" s="73"/>
      <c r="P21" s="366">
        <f>SUM(D21:O21)</f>
        <v>0</v>
      </c>
      <c r="Q21" s="354"/>
      <c r="S21" s="1546"/>
      <c r="CV21" s="363" t="s">
        <v>24</v>
      </c>
      <c r="CW21" s="69" t="s">
        <v>268</v>
      </c>
    </row>
    <row r="22" spans="2:101" x14ac:dyDescent="0.2">
      <c r="B22" s="360"/>
      <c r="C22" s="365" t="str">
        <f>IF($B$2="English", CW22,CV22)</f>
        <v>Versicherung, Steuern, Reparaturen</v>
      </c>
      <c r="D22" s="73"/>
      <c r="E22" s="73"/>
      <c r="F22" s="73"/>
      <c r="G22" s="73"/>
      <c r="H22" s="73"/>
      <c r="I22" s="73"/>
      <c r="J22" s="73"/>
      <c r="K22" s="73"/>
      <c r="L22" s="73"/>
      <c r="M22" s="73"/>
      <c r="N22" s="73"/>
      <c r="O22" s="73"/>
      <c r="P22" s="366">
        <f>SUM(D22:O22)</f>
        <v>0</v>
      </c>
      <c r="Q22" s="354"/>
      <c r="S22" s="1546"/>
      <c r="CV22" s="363" t="s">
        <v>25</v>
      </c>
      <c r="CW22" s="69" t="s">
        <v>291</v>
      </c>
    </row>
    <row r="23" spans="2:101" x14ac:dyDescent="0.2">
      <c r="B23" s="360"/>
      <c r="C23" s="365" t="str">
        <f>IF($B$2="English", CW23,CV23)</f>
        <v>Benzin / Diesel / Reparaturen</v>
      </c>
      <c r="D23" s="73"/>
      <c r="E23" s="73"/>
      <c r="F23" s="73"/>
      <c r="G23" s="73"/>
      <c r="H23" s="73"/>
      <c r="I23" s="73"/>
      <c r="J23" s="73"/>
      <c r="K23" s="73"/>
      <c r="L23" s="73"/>
      <c r="M23" s="73"/>
      <c r="N23" s="73"/>
      <c r="O23" s="73"/>
      <c r="P23" s="366">
        <f>SUM(D23:O23)</f>
        <v>0</v>
      </c>
      <c r="Q23" s="354"/>
      <c r="S23" s="1546"/>
      <c r="CV23" s="363" t="s">
        <v>26</v>
      </c>
      <c r="CW23" s="69" t="s">
        <v>610</v>
      </c>
    </row>
    <row r="24" spans="2:101" ht="15" thickBot="1" x14ac:dyDescent="0.25">
      <c r="B24" s="367"/>
      <c r="C24" s="368" t="str">
        <f>IF('Deckblatt Gruender|Data Founder'!$D$8="Deutsch",CV24,CW24)</f>
        <v>Summe</v>
      </c>
      <c r="D24" s="369">
        <f>SUM(D21:D23)</f>
        <v>0</v>
      </c>
      <c r="E24" s="369">
        <f t="shared" ref="E24:O24" si="5">SUM(E21:E23)</f>
        <v>0</v>
      </c>
      <c r="F24" s="369">
        <f t="shared" si="5"/>
        <v>0</v>
      </c>
      <c r="G24" s="369">
        <f t="shared" si="5"/>
        <v>0</v>
      </c>
      <c r="H24" s="369">
        <f t="shared" si="5"/>
        <v>0</v>
      </c>
      <c r="I24" s="369">
        <f t="shared" si="5"/>
        <v>0</v>
      </c>
      <c r="J24" s="369">
        <f t="shared" si="5"/>
        <v>0</v>
      </c>
      <c r="K24" s="369">
        <f t="shared" si="5"/>
        <v>0</v>
      </c>
      <c r="L24" s="369">
        <f t="shared" si="5"/>
        <v>0</v>
      </c>
      <c r="M24" s="369">
        <f t="shared" si="5"/>
        <v>0</v>
      </c>
      <c r="N24" s="369">
        <f t="shared" si="5"/>
        <v>0</v>
      </c>
      <c r="O24" s="369">
        <f t="shared" si="5"/>
        <v>0</v>
      </c>
      <c r="P24" s="370">
        <f>SUM(P21:P23)</f>
        <v>0</v>
      </c>
      <c r="Q24" s="354"/>
      <c r="CV24" s="363" t="s">
        <v>42</v>
      </c>
      <c r="CW24" s="364" t="s">
        <v>262</v>
      </c>
    </row>
    <row r="25" spans="2:101" ht="15" thickTop="1" x14ac:dyDescent="0.2">
      <c r="B25" s="360">
        <v>4</v>
      </c>
      <c r="C25" s="361" t="str">
        <f t="shared" ref="C25:C34" si="6">IF($B$2="English", CW25,CV25)</f>
        <v>Versicherungen</v>
      </c>
      <c r="D25" s="168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366"/>
      <c r="Q25" s="354"/>
      <c r="CV25" s="363" t="s">
        <v>27</v>
      </c>
      <c r="CW25" s="371" t="s">
        <v>292</v>
      </c>
    </row>
    <row r="26" spans="2:101" x14ac:dyDescent="0.2">
      <c r="B26" s="360"/>
      <c r="C26" s="365" t="str">
        <f t="shared" si="6"/>
        <v>Rentenversicherung, freiw. Versicher. 1)</v>
      </c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366">
        <f>SUM(D26:O26)</f>
        <v>0</v>
      </c>
      <c r="Q26" s="354"/>
      <c r="S26" s="1546"/>
      <c r="CV26" s="363" t="s">
        <v>657</v>
      </c>
      <c r="CW26" s="69" t="s">
        <v>662</v>
      </c>
    </row>
    <row r="27" spans="2:101" x14ac:dyDescent="0.2">
      <c r="B27" s="360"/>
      <c r="C27" s="365" t="str">
        <f t="shared" si="6"/>
        <v>Krankenversicherung u Medikamente 2)</v>
      </c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366">
        <f>SUM(D27:O27)</f>
        <v>0</v>
      </c>
      <c r="Q27" s="354"/>
      <c r="S27" s="1546"/>
      <c r="CV27" s="363" t="s">
        <v>658</v>
      </c>
      <c r="CW27" s="69" t="s">
        <v>663</v>
      </c>
    </row>
    <row r="28" spans="2:101" x14ac:dyDescent="0.2">
      <c r="B28" s="360"/>
      <c r="C28" s="365" t="str">
        <f t="shared" si="6"/>
        <v>Unfallversicherung, Berufsunfähigkeit</v>
      </c>
      <c r="D28" s="73"/>
      <c r="E28" s="73"/>
      <c r="F28" s="73"/>
      <c r="G28" s="73"/>
      <c r="H28" s="73"/>
      <c r="I28" s="73"/>
      <c r="J28" s="73"/>
      <c r="K28" s="73"/>
      <c r="L28" s="73"/>
      <c r="M28" s="73"/>
      <c r="N28" s="73"/>
      <c r="O28" s="73"/>
      <c r="P28" s="366">
        <f>SUM(D28:O28)</f>
        <v>0</v>
      </c>
      <c r="Q28" s="354"/>
      <c r="S28" s="1546"/>
      <c r="CV28" s="363" t="s">
        <v>28</v>
      </c>
      <c r="CW28" s="69" t="s">
        <v>288</v>
      </c>
    </row>
    <row r="29" spans="2:101" x14ac:dyDescent="0.2">
      <c r="B29" s="360"/>
      <c r="C29" s="365" t="str">
        <f t="shared" si="6"/>
        <v>Hausratsversicherung, Haftpflicht</v>
      </c>
      <c r="D29" s="73"/>
      <c r="E29" s="73"/>
      <c r="F29" s="73"/>
      <c r="G29" s="73"/>
      <c r="H29" s="73"/>
      <c r="I29" s="73"/>
      <c r="J29" s="73"/>
      <c r="K29" s="73"/>
      <c r="L29" s="73"/>
      <c r="M29" s="73"/>
      <c r="N29" s="73"/>
      <c r="O29" s="73"/>
      <c r="P29" s="366">
        <f>SUM(D29:O29)</f>
        <v>0</v>
      </c>
      <c r="Q29" s="354"/>
      <c r="S29" s="1546"/>
      <c r="CV29" s="363" t="s">
        <v>29</v>
      </c>
      <c r="CW29" s="69" t="s">
        <v>614</v>
      </c>
    </row>
    <row r="30" spans="2:101" x14ac:dyDescent="0.2">
      <c r="B30" s="360"/>
      <c r="C30" s="365" t="str">
        <f t="shared" si="6"/>
        <v>Sonstige.Versicherungen.</v>
      </c>
      <c r="D30" s="73"/>
      <c r="E30" s="73"/>
      <c r="F30" s="73"/>
      <c r="G30" s="73"/>
      <c r="H30" s="73"/>
      <c r="I30" s="73"/>
      <c r="J30" s="73"/>
      <c r="K30" s="73"/>
      <c r="L30" s="73"/>
      <c r="M30" s="73"/>
      <c r="N30" s="73"/>
      <c r="O30" s="73"/>
      <c r="P30" s="366">
        <f>SUM(D30:O30)</f>
        <v>0</v>
      </c>
      <c r="Q30" s="354"/>
      <c r="S30" s="1546"/>
      <c r="CV30" s="363" t="s">
        <v>30</v>
      </c>
      <c r="CW30" s="69" t="s">
        <v>277</v>
      </c>
    </row>
    <row r="31" spans="2:101" ht="15" thickBot="1" x14ac:dyDescent="0.25">
      <c r="B31" s="367"/>
      <c r="C31" s="368" t="str">
        <f t="shared" si="6"/>
        <v>Summe</v>
      </c>
      <c r="D31" s="369">
        <f>SUM(D26:D30)</f>
        <v>0</v>
      </c>
      <c r="E31" s="369">
        <f t="shared" ref="E31:O31" si="7">SUM(E26:E30)</f>
        <v>0</v>
      </c>
      <c r="F31" s="369">
        <f t="shared" si="7"/>
        <v>0</v>
      </c>
      <c r="G31" s="369">
        <f t="shared" si="7"/>
        <v>0</v>
      </c>
      <c r="H31" s="369">
        <f t="shared" si="7"/>
        <v>0</v>
      </c>
      <c r="I31" s="369">
        <f t="shared" si="7"/>
        <v>0</v>
      </c>
      <c r="J31" s="369">
        <f t="shared" si="7"/>
        <v>0</v>
      </c>
      <c r="K31" s="369">
        <f t="shared" si="7"/>
        <v>0</v>
      </c>
      <c r="L31" s="369">
        <f t="shared" si="7"/>
        <v>0</v>
      </c>
      <c r="M31" s="369">
        <f t="shared" si="7"/>
        <v>0</v>
      </c>
      <c r="N31" s="369">
        <f t="shared" si="7"/>
        <v>0</v>
      </c>
      <c r="O31" s="369">
        <f t="shared" si="7"/>
        <v>0</v>
      </c>
      <c r="P31" s="370">
        <f>SUM(P26:P30)</f>
        <v>0</v>
      </c>
      <c r="Q31" s="354"/>
      <c r="CV31" s="363" t="s">
        <v>42</v>
      </c>
      <c r="CW31" s="364" t="s">
        <v>262</v>
      </c>
    </row>
    <row r="32" spans="2:101" ht="15" thickTop="1" x14ac:dyDescent="0.2">
      <c r="B32" s="360">
        <v>5</v>
      </c>
      <c r="C32" s="361" t="str">
        <f t="shared" si="6"/>
        <v>Freizeit / Unterhaltung</v>
      </c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366"/>
      <c r="Q32" s="354"/>
      <c r="CV32" s="363" t="s">
        <v>31</v>
      </c>
      <c r="CW32" s="371" t="s">
        <v>265</v>
      </c>
    </row>
    <row r="33" spans="1:101" x14ac:dyDescent="0.2">
      <c r="B33" s="360"/>
      <c r="C33" s="365" t="str">
        <f t="shared" si="6"/>
        <v xml:space="preserve">Hobby, Bücher, Geschenke </v>
      </c>
      <c r="D33" s="73"/>
      <c r="E33" s="73"/>
      <c r="F33" s="73"/>
      <c r="G33" s="73"/>
      <c r="H33" s="73"/>
      <c r="I33" s="73"/>
      <c r="J33" s="73"/>
      <c r="K33" s="73"/>
      <c r="L33" s="73"/>
      <c r="M33" s="73"/>
      <c r="N33" s="73"/>
      <c r="O33" s="73"/>
      <c r="P33" s="366">
        <f>SUM(D33:O33)</f>
        <v>0</v>
      </c>
      <c r="Q33" s="354"/>
      <c r="S33" s="1546"/>
      <c r="CV33" s="363" t="s">
        <v>32</v>
      </c>
      <c r="CW33" s="69" t="s">
        <v>612</v>
      </c>
    </row>
    <row r="34" spans="1:101" x14ac:dyDescent="0.2">
      <c r="B34" s="360"/>
      <c r="C34" s="365" t="str">
        <f t="shared" si="6"/>
        <v>Urlaub, Reisen, Sonstiges</v>
      </c>
      <c r="D34" s="73"/>
      <c r="E34" s="73"/>
      <c r="F34" s="73"/>
      <c r="G34" s="73"/>
      <c r="H34" s="73"/>
      <c r="I34" s="73"/>
      <c r="J34" s="73"/>
      <c r="K34" s="73"/>
      <c r="L34" s="73"/>
      <c r="M34" s="73"/>
      <c r="N34" s="73"/>
      <c r="O34" s="73"/>
      <c r="P34" s="366">
        <f>SUM(D34:O34)</f>
        <v>0</v>
      </c>
      <c r="Q34" s="354"/>
      <c r="S34" s="1546"/>
      <c r="CV34" s="363" t="s">
        <v>33</v>
      </c>
      <c r="CW34" s="69" t="s">
        <v>613</v>
      </c>
    </row>
    <row r="35" spans="1:101" ht="15" thickBot="1" x14ac:dyDescent="0.25">
      <c r="B35" s="367"/>
      <c r="C35" s="368" t="str">
        <f>IF('Deckblatt Gruender|Data Founder'!$D$8="Deutsch",CV35,CW35)</f>
        <v>Summe</v>
      </c>
      <c r="D35" s="369">
        <f>SUM(D33:D34)</f>
        <v>0</v>
      </c>
      <c r="E35" s="369">
        <f t="shared" ref="E35:O35" si="8">SUM(E33:E34)</f>
        <v>0</v>
      </c>
      <c r="F35" s="369">
        <f t="shared" si="8"/>
        <v>0</v>
      </c>
      <c r="G35" s="369">
        <f t="shared" si="8"/>
        <v>0</v>
      </c>
      <c r="H35" s="369">
        <f t="shared" si="8"/>
        <v>0</v>
      </c>
      <c r="I35" s="369">
        <f t="shared" si="8"/>
        <v>0</v>
      </c>
      <c r="J35" s="369">
        <f t="shared" si="8"/>
        <v>0</v>
      </c>
      <c r="K35" s="369">
        <f t="shared" si="8"/>
        <v>0</v>
      </c>
      <c r="L35" s="369">
        <f t="shared" si="8"/>
        <v>0</v>
      </c>
      <c r="M35" s="369">
        <f t="shared" si="8"/>
        <v>0</v>
      </c>
      <c r="N35" s="369">
        <f t="shared" si="8"/>
        <v>0</v>
      </c>
      <c r="O35" s="369">
        <f t="shared" si="8"/>
        <v>0</v>
      </c>
      <c r="P35" s="370">
        <f>SUM(P33:P34)</f>
        <v>0</v>
      </c>
      <c r="Q35" s="354"/>
      <c r="R35" s="95"/>
      <c r="CV35" s="363" t="s">
        <v>42</v>
      </c>
      <c r="CW35" s="364" t="s">
        <v>262</v>
      </c>
    </row>
    <row r="36" spans="1:101" ht="15" thickTop="1" x14ac:dyDescent="0.2">
      <c r="B36" s="372">
        <v>6</v>
      </c>
      <c r="C36" s="361" t="str">
        <f>IF($B$2="English", CW36,CV36)</f>
        <v>Zahlungsverpflichtungen</v>
      </c>
      <c r="D36" s="168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366"/>
      <c r="Q36" s="354"/>
      <c r="CV36" s="363" t="s">
        <v>37</v>
      </c>
      <c r="CW36" s="371" t="s">
        <v>293</v>
      </c>
    </row>
    <row r="37" spans="1:101" x14ac:dyDescent="0.2">
      <c r="B37" s="360"/>
      <c r="C37" s="365" t="str">
        <f>IF($B$2="English", CW37,CV37)</f>
        <v>Unterhalt, Kredittilgung, Weiterbildung</v>
      </c>
      <c r="D37" s="73"/>
      <c r="E37" s="73"/>
      <c r="F37" s="73"/>
      <c r="G37" s="73"/>
      <c r="H37" s="73"/>
      <c r="I37" s="73"/>
      <c r="J37" s="73"/>
      <c r="K37" s="73"/>
      <c r="L37" s="73"/>
      <c r="M37" s="73"/>
      <c r="N37" s="73"/>
      <c r="O37" s="73"/>
      <c r="P37" s="366">
        <f>SUM(D37:O37)</f>
        <v>0</v>
      </c>
      <c r="Q37" s="354"/>
      <c r="S37" s="1546"/>
      <c r="CV37" s="363" t="s">
        <v>38</v>
      </c>
      <c r="CW37" s="69" t="s">
        <v>615</v>
      </c>
    </row>
    <row r="38" spans="1:101" x14ac:dyDescent="0.2">
      <c r="B38" s="360"/>
      <c r="C38" s="365" t="str">
        <f>IF($B$2="English", CW38,CV38)</f>
        <v>Sonstige private Kredite (Zins + Tilg.)</v>
      </c>
      <c r="D38" s="73"/>
      <c r="E38" s="73"/>
      <c r="F38" s="73"/>
      <c r="G38" s="73"/>
      <c r="H38" s="73"/>
      <c r="I38" s="73"/>
      <c r="J38" s="73"/>
      <c r="K38" s="73"/>
      <c r="L38" s="73"/>
      <c r="M38" s="73"/>
      <c r="N38" s="73"/>
      <c r="O38" s="73"/>
      <c r="P38" s="366">
        <f>SUM(D38:O38)</f>
        <v>0</v>
      </c>
      <c r="Q38" s="354"/>
      <c r="S38" s="1546"/>
      <c r="CV38" s="363" t="s">
        <v>39</v>
      </c>
      <c r="CW38" s="69" t="s">
        <v>276</v>
      </c>
    </row>
    <row r="39" spans="1:101" ht="15" thickBot="1" x14ac:dyDescent="0.25">
      <c r="A39" s="229"/>
      <c r="B39" s="367"/>
      <c r="C39" s="368" t="str">
        <f>IF('Deckblatt Gruender|Data Founder'!$D$8="Deutsch",CV39,CW39)</f>
        <v>Summe</v>
      </c>
      <c r="D39" s="369">
        <f>SUM(D37:D38)</f>
        <v>0</v>
      </c>
      <c r="E39" s="369">
        <f t="shared" ref="E39:O39" si="9">SUM(E37:E38)</f>
        <v>0</v>
      </c>
      <c r="F39" s="369">
        <f t="shared" si="9"/>
        <v>0</v>
      </c>
      <c r="G39" s="369">
        <f t="shared" si="9"/>
        <v>0</v>
      </c>
      <c r="H39" s="369">
        <f t="shared" si="9"/>
        <v>0</v>
      </c>
      <c r="I39" s="369">
        <f t="shared" si="9"/>
        <v>0</v>
      </c>
      <c r="J39" s="369">
        <f t="shared" si="9"/>
        <v>0</v>
      </c>
      <c r="K39" s="369">
        <f t="shared" si="9"/>
        <v>0</v>
      </c>
      <c r="L39" s="369">
        <f t="shared" si="9"/>
        <v>0</v>
      </c>
      <c r="M39" s="369">
        <f t="shared" si="9"/>
        <v>0</v>
      </c>
      <c r="N39" s="369">
        <f t="shared" si="9"/>
        <v>0</v>
      </c>
      <c r="O39" s="369">
        <f t="shared" si="9"/>
        <v>0</v>
      </c>
      <c r="P39" s="370">
        <f>SUM(P37:P38)</f>
        <v>0</v>
      </c>
      <c r="Q39" s="354"/>
      <c r="CV39" s="363" t="s">
        <v>42</v>
      </c>
      <c r="CW39" s="364" t="s">
        <v>262</v>
      </c>
    </row>
    <row r="40" spans="1:101" ht="15" thickTop="1" x14ac:dyDescent="0.2">
      <c r="B40" s="372">
        <v>7</v>
      </c>
      <c r="C40" s="361" t="str">
        <f>IF($B$2="English", CW40,CV40)</f>
        <v>Verschiedenes</v>
      </c>
      <c r="D40" s="168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366"/>
      <c r="Q40" s="354"/>
      <c r="CV40" s="363" t="s">
        <v>34</v>
      </c>
      <c r="CW40" s="371" t="s">
        <v>290</v>
      </c>
    </row>
    <row r="41" spans="1:101" x14ac:dyDescent="0.2">
      <c r="B41" s="360"/>
      <c r="C41" s="365" t="str">
        <f>IF($B$2="English", CW41,CV41)</f>
        <v>Vereinsbeiträge, Spenden, Bausparen</v>
      </c>
      <c r="D41" s="73"/>
      <c r="E41" s="73"/>
      <c r="F41" s="73"/>
      <c r="G41" s="73"/>
      <c r="H41" s="73"/>
      <c r="I41" s="73"/>
      <c r="J41" s="73"/>
      <c r="K41" s="73"/>
      <c r="L41" s="73"/>
      <c r="M41" s="73"/>
      <c r="N41" s="73"/>
      <c r="O41" s="73"/>
      <c r="P41" s="366">
        <f>SUM(D41:O41)</f>
        <v>0</v>
      </c>
      <c r="Q41" s="354"/>
      <c r="R41" s="96"/>
      <c r="S41" s="1546"/>
      <c r="CV41" s="363" t="s">
        <v>35</v>
      </c>
      <c r="CW41" s="69" t="s">
        <v>289</v>
      </c>
    </row>
    <row r="42" spans="1:101" x14ac:dyDescent="0.2">
      <c r="B42" s="360"/>
      <c r="C42" s="365" t="str">
        <f>IF($B$2="English", CW43,CV43)</f>
        <v>Beratung (Steuer, Recht usw.)</v>
      </c>
      <c r="D42" s="73"/>
      <c r="E42" s="73"/>
      <c r="F42" s="73"/>
      <c r="G42" s="73"/>
      <c r="H42" s="73"/>
      <c r="I42" s="73"/>
      <c r="J42" s="73"/>
      <c r="K42" s="73"/>
      <c r="L42" s="73"/>
      <c r="M42" s="73"/>
      <c r="N42" s="73"/>
      <c r="O42" s="73"/>
      <c r="P42" s="366">
        <f>SUM(D42:O42)</f>
        <v>0</v>
      </c>
      <c r="Q42" s="354"/>
      <c r="R42" s="96"/>
      <c r="S42" s="1546"/>
      <c r="CW42" s="69"/>
    </row>
    <row r="43" spans="1:101" x14ac:dyDescent="0.2">
      <c r="B43" s="360"/>
      <c r="C43" s="1545" t="s">
        <v>456</v>
      </c>
      <c r="D43" s="73"/>
      <c r="E43" s="73"/>
      <c r="F43" s="73"/>
      <c r="G43" s="73"/>
      <c r="H43" s="73"/>
      <c r="I43" s="73"/>
      <c r="J43" s="73"/>
      <c r="K43" s="73"/>
      <c r="L43" s="73"/>
      <c r="M43" s="73"/>
      <c r="N43" s="73"/>
      <c r="O43" s="73"/>
      <c r="P43" s="366">
        <f>SUM(D43:O43)</f>
        <v>0</v>
      </c>
      <c r="Q43" s="354"/>
      <c r="S43" s="1546"/>
      <c r="CV43" s="363" t="s">
        <v>36</v>
      </c>
      <c r="CW43" s="69" t="s">
        <v>616</v>
      </c>
    </row>
    <row r="44" spans="1:101" ht="15" thickBot="1" x14ac:dyDescent="0.25">
      <c r="B44" s="367"/>
      <c r="C44" s="368" t="str">
        <f>IF('Deckblatt Gruender|Data Founder'!$D$8="Deutsch",CV44,CW44)</f>
        <v>Summe</v>
      </c>
      <c r="D44" s="369">
        <f t="shared" ref="D44:P44" si="10">SUM(D41:D43)</f>
        <v>0</v>
      </c>
      <c r="E44" s="369">
        <f t="shared" si="10"/>
        <v>0</v>
      </c>
      <c r="F44" s="369">
        <f t="shared" si="10"/>
        <v>0</v>
      </c>
      <c r="G44" s="369">
        <f t="shared" si="10"/>
        <v>0</v>
      </c>
      <c r="H44" s="369">
        <f t="shared" si="10"/>
        <v>0</v>
      </c>
      <c r="I44" s="369">
        <f t="shared" si="10"/>
        <v>0</v>
      </c>
      <c r="J44" s="369">
        <f t="shared" si="10"/>
        <v>0</v>
      </c>
      <c r="K44" s="369">
        <f t="shared" si="10"/>
        <v>0</v>
      </c>
      <c r="L44" s="369">
        <f t="shared" si="10"/>
        <v>0</v>
      </c>
      <c r="M44" s="369">
        <f t="shared" si="10"/>
        <v>0</v>
      </c>
      <c r="N44" s="369">
        <f t="shared" si="10"/>
        <v>0</v>
      </c>
      <c r="O44" s="369">
        <f t="shared" si="10"/>
        <v>0</v>
      </c>
      <c r="P44" s="370">
        <f t="shared" si="10"/>
        <v>0</v>
      </c>
      <c r="Q44" s="354"/>
      <c r="CV44" s="363" t="s">
        <v>42</v>
      </c>
      <c r="CW44" s="364" t="s">
        <v>262</v>
      </c>
    </row>
    <row r="45" spans="1:101" ht="15.75" thickTop="1" thickBot="1" x14ac:dyDescent="0.25">
      <c r="B45" s="373"/>
      <c r="C45" s="374" t="str">
        <f>IF($B$2="English", CW45,CV45)</f>
        <v xml:space="preserve">Gesamtausgaben o. Einkommensteuer </v>
      </c>
      <c r="D45" s="375">
        <f t="shared" ref="D45:O45" si="11">SUM(D6:D44)/2</f>
        <v>0</v>
      </c>
      <c r="E45" s="375">
        <f t="shared" si="11"/>
        <v>0</v>
      </c>
      <c r="F45" s="375">
        <f t="shared" si="11"/>
        <v>0</v>
      </c>
      <c r="G45" s="375">
        <f t="shared" si="11"/>
        <v>0</v>
      </c>
      <c r="H45" s="375">
        <f t="shared" si="11"/>
        <v>0</v>
      </c>
      <c r="I45" s="375">
        <f t="shared" si="11"/>
        <v>0</v>
      </c>
      <c r="J45" s="375">
        <f t="shared" si="11"/>
        <v>0</v>
      </c>
      <c r="K45" s="375">
        <f t="shared" si="11"/>
        <v>0</v>
      </c>
      <c r="L45" s="375">
        <f t="shared" si="11"/>
        <v>0</v>
      </c>
      <c r="M45" s="375">
        <f t="shared" si="11"/>
        <v>0</v>
      </c>
      <c r="N45" s="375">
        <f t="shared" si="11"/>
        <v>0</v>
      </c>
      <c r="O45" s="375">
        <f t="shared" si="11"/>
        <v>0</v>
      </c>
      <c r="P45" s="376">
        <f>SUM(P7:P44)/2</f>
        <v>0</v>
      </c>
      <c r="Q45" s="354"/>
      <c r="CV45" s="363" t="s">
        <v>661</v>
      </c>
      <c r="CW45" s="371" t="s">
        <v>660</v>
      </c>
    </row>
    <row r="46" spans="1:101" s="220" customFormat="1" x14ac:dyDescent="0.2">
      <c r="C46" s="377"/>
      <c r="D46" s="378">
        <f>IF(D45=0,0,1)</f>
        <v>0</v>
      </c>
      <c r="E46" s="378">
        <f t="shared" ref="E46:O46" si="12">IF(E45=0,0,1)</f>
        <v>0</v>
      </c>
      <c r="F46" s="378">
        <f t="shared" si="12"/>
        <v>0</v>
      </c>
      <c r="G46" s="378">
        <f t="shared" si="12"/>
        <v>0</v>
      </c>
      <c r="H46" s="378">
        <f t="shared" si="12"/>
        <v>0</v>
      </c>
      <c r="I46" s="378">
        <f t="shared" si="12"/>
        <v>0</v>
      </c>
      <c r="J46" s="378">
        <f t="shared" si="12"/>
        <v>0</v>
      </c>
      <c r="K46" s="378">
        <f t="shared" si="12"/>
        <v>0</v>
      </c>
      <c r="L46" s="378">
        <f t="shared" si="12"/>
        <v>0</v>
      </c>
      <c r="M46" s="378">
        <f t="shared" si="12"/>
        <v>0</v>
      </c>
      <c r="N46" s="378">
        <f t="shared" si="12"/>
        <v>0</v>
      </c>
      <c r="O46" s="378">
        <f t="shared" si="12"/>
        <v>0</v>
      </c>
      <c r="P46" s="379">
        <f>SUM(D46:O46)</f>
        <v>0</v>
      </c>
      <c r="Q46" s="354"/>
      <c r="R46" s="55"/>
      <c r="S46" s="224"/>
      <c r="CU46" s="355"/>
      <c r="CV46" s="363"/>
      <c r="CW46" s="363"/>
    </row>
    <row r="47" spans="1:101" s="220" customFormat="1" x14ac:dyDescent="0.2">
      <c r="C47" s="377"/>
      <c r="D47" s="378"/>
      <c r="E47" s="378"/>
      <c r="F47" s="378"/>
      <c r="G47" s="378"/>
      <c r="H47" s="378"/>
      <c r="I47" s="378"/>
      <c r="J47" s="378"/>
      <c r="K47" s="378"/>
      <c r="L47" s="378"/>
      <c r="M47" s="378"/>
      <c r="N47" s="378"/>
      <c r="O47" s="378"/>
      <c r="P47" s="379"/>
      <c r="Q47" s="354"/>
      <c r="R47" s="55"/>
      <c r="S47" s="224"/>
      <c r="CU47" s="355"/>
      <c r="CV47" s="363"/>
      <c r="CW47" s="363"/>
    </row>
    <row r="48" spans="1:101" s="225" customFormat="1" ht="24.75" x14ac:dyDescent="0.25">
      <c r="B48" s="40" t="str">
        <f ca="1">IF(B2="English",CW48,CV48)&amp;$C$4&amp;" - "&amp;$C$4+4</f>
        <v>1b  Persönliche Ausgaben in EUR für die Jahre 2017 - 2021</v>
      </c>
      <c r="D48" s="250"/>
      <c r="E48" s="250"/>
      <c r="F48" s="250"/>
      <c r="G48" s="250"/>
      <c r="H48" s="250"/>
      <c r="I48" s="250"/>
      <c r="J48" s="250"/>
      <c r="K48" s="250"/>
      <c r="L48" s="250"/>
      <c r="M48" s="1074" t="str">
        <f>IF(B2="English","Personal Drawings (EUR)","Privatentnahmen (EUR)")</f>
        <v>Privatentnahmen (EUR)</v>
      </c>
      <c r="N48" s="250"/>
      <c r="O48" s="250"/>
      <c r="P48" s="250"/>
      <c r="Q48" s="354"/>
      <c r="R48" s="55"/>
      <c r="S48" s="261"/>
      <c r="CU48" s="355"/>
      <c r="CV48" s="337" t="str">
        <f>"1b  Persönliche Ausgaben in EUR für die Jahre "</f>
        <v xml:space="preserve">1b  Persönliche Ausgaben in EUR für die Jahre </v>
      </c>
      <c r="CW48" s="357" t="str">
        <f>"1b  Personal Expenses in EUR for the Years "</f>
        <v xml:space="preserve">1b  Personal Expenses in EUR for the Years </v>
      </c>
    </row>
    <row r="49" spans="2:101" s="225" customFormat="1" ht="14.25" customHeight="1" thickBot="1" x14ac:dyDescent="0.3">
      <c r="B49" s="40"/>
      <c r="D49" s="250"/>
      <c r="E49" s="250"/>
      <c r="F49" s="250"/>
      <c r="G49" s="250"/>
      <c r="H49" s="250"/>
      <c r="I49" s="250"/>
      <c r="J49" s="250"/>
      <c r="K49" s="250"/>
      <c r="L49" s="250"/>
      <c r="M49" s="1074"/>
      <c r="N49" s="250"/>
      <c r="O49" s="250"/>
      <c r="P49" s="250"/>
      <c r="Q49" s="354"/>
      <c r="R49" s="55"/>
      <c r="S49" s="261"/>
      <c r="CU49" s="355"/>
      <c r="CV49" s="337"/>
      <c r="CW49" s="357"/>
    </row>
    <row r="50" spans="2:101" ht="15" thickBot="1" x14ac:dyDescent="0.25">
      <c r="B50" s="380" t="str">
        <f>B5</f>
        <v>No.</v>
      </c>
      <c r="C50" s="358" t="str">
        <f>C5</f>
        <v>Kostenart</v>
      </c>
      <c r="D50" s="227">
        <f ca="1">C4</f>
        <v>2017</v>
      </c>
      <c r="E50" s="227">
        <f ca="1">D50+1</f>
        <v>2018</v>
      </c>
      <c r="F50" s="227">
        <f ca="1">E50+1</f>
        <v>2019</v>
      </c>
      <c r="G50" s="227">
        <f ca="1">F50+1</f>
        <v>2020</v>
      </c>
      <c r="H50" s="1372">
        <f ca="1">G50+1</f>
        <v>2021</v>
      </c>
      <c r="I50" s="264"/>
      <c r="J50" s="220"/>
      <c r="K50" s="220"/>
      <c r="L50" s="220"/>
      <c r="M50" s="220"/>
      <c r="N50" s="220"/>
      <c r="O50" s="219"/>
      <c r="P50" s="219"/>
      <c r="Q50" s="354"/>
      <c r="S50" s="261"/>
      <c r="CV50" s="381" t="str">
        <f t="shared" ref="CV50:CV86" si="13">CV5</f>
        <v>Kostenart</v>
      </c>
      <c r="CW50" s="381"/>
    </row>
    <row r="51" spans="2:101" ht="18.95" customHeight="1" x14ac:dyDescent="0.2">
      <c r="B51" s="360">
        <v>1</v>
      </c>
      <c r="C51" s="361" t="str">
        <f t="shared" ref="C51:C87" si="14">C6</f>
        <v>Wohnen</v>
      </c>
      <c r="D51" s="168"/>
      <c r="E51" s="168"/>
      <c r="F51" s="168"/>
      <c r="G51" s="168"/>
      <c r="H51" s="1550"/>
      <c r="I51" s="264"/>
      <c r="J51" s="219"/>
      <c r="K51" s="219"/>
      <c r="L51" s="219"/>
      <c r="N51" s="219"/>
      <c r="O51" s="219"/>
      <c r="P51" s="219"/>
      <c r="Q51" s="354"/>
      <c r="CV51" s="381" t="str">
        <f t="shared" si="13"/>
        <v>Wohnen</v>
      </c>
      <c r="CW51" s="381"/>
    </row>
    <row r="52" spans="2:101" x14ac:dyDescent="0.2">
      <c r="B52" s="360"/>
      <c r="C52" s="365" t="str">
        <f t="shared" si="14"/>
        <v>Miete (oder vergleichbare Belastung)</v>
      </c>
      <c r="D52" s="168">
        <f t="shared" ref="D52:D64" si="15">P7</f>
        <v>0</v>
      </c>
      <c r="E52" s="382"/>
      <c r="F52" s="382"/>
      <c r="G52" s="382"/>
      <c r="H52" s="382"/>
      <c r="I52" s="264"/>
      <c r="J52" s="219"/>
      <c r="K52" s="219"/>
      <c r="L52" s="219"/>
      <c r="M52" s="219"/>
      <c r="N52" s="219"/>
      <c r="O52" s="219"/>
      <c r="P52" s="219"/>
      <c r="Q52" s="354"/>
      <c r="S52" s="1546"/>
      <c r="CV52" s="381" t="str">
        <f t="shared" si="13"/>
        <v>Miete (oder vergleichbare Belastung)</v>
      </c>
      <c r="CW52" s="381"/>
    </row>
    <row r="53" spans="2:101" x14ac:dyDescent="0.2">
      <c r="B53" s="360"/>
      <c r="C53" s="365" t="str">
        <f t="shared" si="14"/>
        <v xml:space="preserve">Heizung, Schornsteinfeger, Emission </v>
      </c>
      <c r="D53" s="168">
        <f t="shared" si="15"/>
        <v>0</v>
      </c>
      <c r="E53" s="382"/>
      <c r="F53" s="382"/>
      <c r="G53" s="382"/>
      <c r="H53" s="1551"/>
      <c r="I53" s="264"/>
      <c r="J53" s="219"/>
      <c r="K53" s="219"/>
      <c r="L53" s="219"/>
      <c r="M53" s="219"/>
      <c r="N53" s="219"/>
      <c r="O53" s="219"/>
      <c r="P53" s="219"/>
      <c r="Q53" s="354"/>
      <c r="S53" s="1546"/>
      <c r="CV53" s="381" t="str">
        <f t="shared" si="13"/>
        <v xml:space="preserve">Heizung, Schornsteinfeger, Emission </v>
      </c>
      <c r="CW53" s="381"/>
    </row>
    <row r="54" spans="2:101" x14ac:dyDescent="0.2">
      <c r="B54" s="360"/>
      <c r="C54" s="365" t="str">
        <f t="shared" si="14"/>
        <v>Strom, Wasser, Abwasser, Müll</v>
      </c>
      <c r="D54" s="168">
        <f t="shared" si="15"/>
        <v>0</v>
      </c>
      <c r="E54" s="382"/>
      <c r="F54" s="382"/>
      <c r="G54" s="382"/>
      <c r="H54" s="1551"/>
      <c r="I54" s="264"/>
      <c r="J54" s="219"/>
      <c r="K54" s="219"/>
      <c r="L54" s="219"/>
      <c r="M54" s="219"/>
      <c r="N54" s="219"/>
      <c r="O54" s="219"/>
      <c r="P54" s="219"/>
      <c r="Q54" s="354"/>
      <c r="S54" s="1546"/>
      <c r="CV54" s="381" t="str">
        <f t="shared" si="13"/>
        <v>Strom, Wasser, Abwasser, Müll</v>
      </c>
      <c r="CW54" s="381"/>
    </row>
    <row r="55" spans="2:101" x14ac:dyDescent="0.2">
      <c r="B55" s="360"/>
      <c r="C55" s="365" t="str">
        <f t="shared" si="14"/>
        <v>Telefon, Mobil, Fax, Internet</v>
      </c>
      <c r="D55" s="168">
        <f t="shared" si="15"/>
        <v>0</v>
      </c>
      <c r="E55" s="382"/>
      <c r="F55" s="382"/>
      <c r="G55" s="382"/>
      <c r="H55" s="1551"/>
      <c r="I55" s="264"/>
      <c r="J55" s="219"/>
      <c r="K55" s="219"/>
      <c r="L55" s="219"/>
      <c r="M55" s="219"/>
      <c r="N55" s="219"/>
      <c r="O55" s="219"/>
      <c r="P55" s="219"/>
      <c r="Q55" s="354"/>
      <c r="S55" s="1546"/>
      <c r="CV55" s="381" t="str">
        <f t="shared" si="13"/>
        <v>Telefon, Mobil, Fax, Internet</v>
      </c>
      <c r="CW55" s="381"/>
    </row>
    <row r="56" spans="2:101" x14ac:dyDescent="0.2">
      <c r="B56" s="360"/>
      <c r="C56" s="365" t="str">
        <f t="shared" si="14"/>
        <v>Rundfunk / Fernsehen usw.</v>
      </c>
      <c r="D56" s="168">
        <f t="shared" si="15"/>
        <v>0</v>
      </c>
      <c r="E56" s="382"/>
      <c r="F56" s="382"/>
      <c r="G56" s="382"/>
      <c r="H56" s="1551"/>
      <c r="I56" s="264"/>
      <c r="J56" s="219"/>
      <c r="K56" s="219"/>
      <c r="L56" s="219"/>
      <c r="M56" s="219"/>
      <c r="N56" s="219"/>
      <c r="O56" s="219"/>
      <c r="P56" s="219"/>
      <c r="Q56" s="354"/>
      <c r="S56" s="1546"/>
      <c r="CV56" s="381" t="str">
        <f t="shared" si="13"/>
        <v>Rundfunk / Fernsehen usw.</v>
      </c>
      <c r="CW56" s="381"/>
    </row>
    <row r="57" spans="2:101" x14ac:dyDescent="0.2">
      <c r="B57" s="360"/>
      <c r="C57" s="365" t="str">
        <f t="shared" si="14"/>
        <v>Kredit (Zins u. Tilgung)</v>
      </c>
      <c r="D57" s="168">
        <f t="shared" si="15"/>
        <v>0</v>
      </c>
      <c r="E57" s="382"/>
      <c r="F57" s="382"/>
      <c r="G57" s="382"/>
      <c r="H57" s="1551"/>
      <c r="I57" s="264"/>
      <c r="J57" s="219"/>
      <c r="K57" s="219"/>
      <c r="L57" s="219"/>
      <c r="M57" s="219"/>
      <c r="N57" s="219"/>
      <c r="O57" s="219"/>
      <c r="P57" s="219"/>
      <c r="Q57" s="354"/>
      <c r="S57" s="1546"/>
      <c r="CV57" s="381" t="str">
        <f t="shared" si="13"/>
        <v>Kredit (Zins u. Tilgung)</v>
      </c>
      <c r="CW57" s="381"/>
    </row>
    <row r="58" spans="2:101" x14ac:dyDescent="0.2">
      <c r="B58" s="360"/>
      <c r="C58" s="365" t="str">
        <f t="shared" si="14"/>
        <v>Wohnungsreparaturen</v>
      </c>
      <c r="D58" s="168">
        <f t="shared" si="15"/>
        <v>0</v>
      </c>
      <c r="E58" s="382"/>
      <c r="F58" s="382"/>
      <c r="G58" s="382"/>
      <c r="H58" s="1551"/>
      <c r="I58" s="264"/>
      <c r="J58" s="219"/>
      <c r="K58" s="219"/>
      <c r="L58" s="219"/>
      <c r="M58" s="219"/>
      <c r="N58" s="219"/>
      <c r="O58" s="219"/>
      <c r="P58" s="219"/>
      <c r="Q58" s="354"/>
      <c r="S58" s="1546"/>
      <c r="CV58" s="381" t="str">
        <f t="shared" si="13"/>
        <v>Wohnungsreparaturen</v>
      </c>
      <c r="CW58" s="381"/>
    </row>
    <row r="59" spans="2:101" x14ac:dyDescent="0.2">
      <c r="B59" s="360"/>
      <c r="C59" s="365" t="str">
        <f t="shared" si="14"/>
        <v>Sonstiges (z.B. Grundsteuern)</v>
      </c>
      <c r="D59" s="168">
        <f t="shared" si="15"/>
        <v>0</v>
      </c>
      <c r="E59" s="382"/>
      <c r="F59" s="382"/>
      <c r="G59" s="382"/>
      <c r="H59" s="1551"/>
      <c r="I59" s="264"/>
      <c r="J59" s="219"/>
      <c r="K59" s="219"/>
      <c r="L59" s="219"/>
      <c r="M59" s="219"/>
      <c r="N59" s="219"/>
      <c r="O59" s="219"/>
      <c r="P59" s="219"/>
      <c r="Q59" s="354"/>
      <c r="S59" s="1546"/>
      <c r="CV59" s="381" t="str">
        <f t="shared" si="13"/>
        <v>Sonstiges (z.B. Grundsteuern)</v>
      </c>
      <c r="CW59" s="381"/>
    </row>
    <row r="60" spans="2:101" ht="15" thickBot="1" x14ac:dyDescent="0.25">
      <c r="B60" s="367"/>
      <c r="C60" s="368" t="str">
        <f t="shared" si="14"/>
        <v>Summe</v>
      </c>
      <c r="D60" s="369">
        <f t="shared" si="15"/>
        <v>0</v>
      </c>
      <c r="E60" s="383">
        <f>SUM(E52:E59)</f>
        <v>0</v>
      </c>
      <c r="F60" s="369">
        <f>SUM(F52:F59)</f>
        <v>0</v>
      </c>
      <c r="G60" s="369">
        <f>SUM(G52:G59)</f>
        <v>0</v>
      </c>
      <c r="H60" s="1552">
        <f>SUM(H52:H59)</f>
        <v>0</v>
      </c>
      <c r="I60" s="264"/>
      <c r="J60" s="219"/>
      <c r="K60" s="219"/>
      <c r="L60" s="219"/>
      <c r="M60" s="219"/>
      <c r="N60" s="219"/>
      <c r="O60" s="219"/>
      <c r="P60" s="219"/>
      <c r="Q60" s="354"/>
      <c r="CV60" s="381" t="str">
        <f t="shared" si="13"/>
        <v>Summe</v>
      </c>
      <c r="CW60" s="381"/>
    </row>
    <row r="61" spans="2:101" ht="15" thickTop="1" x14ac:dyDescent="0.2">
      <c r="B61" s="360">
        <v>2</v>
      </c>
      <c r="C61" s="361" t="str">
        <f t="shared" si="14"/>
        <v>Lebensunterhalt / Haushaltsgeld</v>
      </c>
      <c r="D61" s="168">
        <f t="shared" si="15"/>
        <v>0</v>
      </c>
      <c r="E61" s="384"/>
      <c r="F61" s="168"/>
      <c r="G61" s="168"/>
      <c r="H61" s="1550"/>
      <c r="I61" s="264"/>
      <c r="J61" s="219"/>
      <c r="K61" s="219"/>
      <c r="L61" s="219"/>
      <c r="M61" s="219"/>
      <c r="N61" s="219"/>
      <c r="O61" s="219"/>
      <c r="P61" s="219"/>
      <c r="Q61" s="219"/>
      <c r="CV61" s="381" t="str">
        <f t="shared" si="13"/>
        <v>Lebensunterhalt / Haushaltsgeld</v>
      </c>
      <c r="CW61" s="381"/>
    </row>
    <row r="62" spans="2:101" x14ac:dyDescent="0.2">
      <c r="B62" s="360"/>
      <c r="C62" s="365" t="str">
        <f t="shared" si="14"/>
        <v>Lebensmittel , auswärts Essen</v>
      </c>
      <c r="D62" s="168">
        <f t="shared" si="15"/>
        <v>0</v>
      </c>
      <c r="E62" s="382"/>
      <c r="F62" s="382"/>
      <c r="G62" s="382"/>
      <c r="H62" s="1551"/>
      <c r="I62" s="264"/>
      <c r="J62" s="219"/>
      <c r="K62" s="219"/>
      <c r="L62" s="219"/>
      <c r="M62" s="219"/>
      <c r="N62" s="219"/>
      <c r="O62" s="219"/>
      <c r="P62" s="219"/>
      <c r="Q62" s="219"/>
      <c r="S62" s="1546"/>
      <c r="CV62" s="381" t="str">
        <f t="shared" si="13"/>
        <v>Lebensmittel , auswärts Essen</v>
      </c>
      <c r="CW62" s="381"/>
    </row>
    <row r="63" spans="2:101" x14ac:dyDescent="0.2">
      <c r="B63" s="360"/>
      <c r="C63" s="365" t="str">
        <f t="shared" si="14"/>
        <v>Kleidung, kosmetika, Sonstiges</v>
      </c>
      <c r="D63" s="168">
        <f t="shared" si="15"/>
        <v>0</v>
      </c>
      <c r="E63" s="382"/>
      <c r="F63" s="382"/>
      <c r="G63" s="382"/>
      <c r="H63" s="1551"/>
      <c r="I63" s="264"/>
      <c r="J63" s="219"/>
      <c r="K63" s="219"/>
      <c r="L63" s="219"/>
      <c r="M63" s="219"/>
      <c r="N63" s="219"/>
      <c r="O63" s="219"/>
      <c r="P63" s="219"/>
      <c r="Q63" s="219"/>
      <c r="S63" s="1546"/>
      <c r="CV63" s="381" t="str">
        <f t="shared" si="13"/>
        <v>Kleidung, kosmetika, Sonstiges</v>
      </c>
      <c r="CW63" s="381"/>
    </row>
    <row r="64" spans="2:101" ht="15" thickBot="1" x14ac:dyDescent="0.25">
      <c r="B64" s="367"/>
      <c r="C64" s="368" t="str">
        <f t="shared" si="14"/>
        <v>Summe</v>
      </c>
      <c r="D64" s="369">
        <f t="shared" si="15"/>
        <v>0</v>
      </c>
      <c r="E64" s="383">
        <f>SUM(E62:E63)</f>
        <v>0</v>
      </c>
      <c r="F64" s="369">
        <f>SUM(F62:F63)</f>
        <v>0</v>
      </c>
      <c r="G64" s="369">
        <f>SUM(G62:G63)</f>
        <v>0</v>
      </c>
      <c r="H64" s="1552">
        <f>SUM(H62:H63)</f>
        <v>0</v>
      </c>
      <c r="I64" s="264"/>
      <c r="J64" s="219"/>
      <c r="K64" s="219"/>
      <c r="L64" s="219"/>
      <c r="M64" s="219"/>
      <c r="N64" s="219"/>
      <c r="O64" s="219"/>
      <c r="P64" s="219"/>
      <c r="Q64" s="219"/>
      <c r="CV64" s="381" t="str">
        <f t="shared" si="13"/>
        <v>Summe</v>
      </c>
      <c r="CW64" s="381"/>
    </row>
    <row r="65" spans="2:101" ht="15" thickTop="1" x14ac:dyDescent="0.2">
      <c r="B65" s="360">
        <v>3</v>
      </c>
      <c r="C65" s="361" t="str">
        <f t="shared" si="14"/>
        <v>PKW</v>
      </c>
      <c r="D65" s="168"/>
      <c r="E65" s="384"/>
      <c r="F65" s="168"/>
      <c r="G65" s="168"/>
      <c r="H65" s="1550"/>
      <c r="I65" s="264"/>
      <c r="J65" s="219"/>
      <c r="K65" s="219"/>
      <c r="L65" s="219"/>
      <c r="M65" s="219"/>
      <c r="N65" s="219"/>
      <c r="O65" s="219"/>
      <c r="P65" s="219"/>
      <c r="Q65" s="219"/>
      <c r="CV65" s="381" t="str">
        <f t="shared" si="13"/>
        <v>PKW</v>
      </c>
      <c r="CW65" s="381"/>
    </row>
    <row r="66" spans="2:101" x14ac:dyDescent="0.2">
      <c r="B66" s="360"/>
      <c r="C66" s="365" t="str">
        <f t="shared" si="14"/>
        <v>Kredit (Zins u. Tilgung) / Leasing</v>
      </c>
      <c r="D66" s="168">
        <f>P21</f>
        <v>0</v>
      </c>
      <c r="E66" s="382"/>
      <c r="F66" s="382"/>
      <c r="G66" s="382"/>
      <c r="H66" s="1551"/>
      <c r="I66" s="264"/>
      <c r="J66" s="219"/>
      <c r="K66" s="219"/>
      <c r="L66" s="219"/>
      <c r="M66" s="219"/>
      <c r="N66" s="219"/>
      <c r="O66" s="219"/>
      <c r="P66" s="219"/>
      <c r="Q66" s="219"/>
      <c r="S66" s="1546"/>
      <c r="CV66" s="381" t="str">
        <f t="shared" si="13"/>
        <v>Kredit (Zins u. Tilgung) / Leasing</v>
      </c>
      <c r="CW66" s="381"/>
    </row>
    <row r="67" spans="2:101" x14ac:dyDescent="0.2">
      <c r="B67" s="360"/>
      <c r="C67" s="365" t="str">
        <f t="shared" si="14"/>
        <v>Versicherung, Steuern, Reparaturen</v>
      </c>
      <c r="D67" s="168">
        <f>P22</f>
        <v>0</v>
      </c>
      <c r="E67" s="382"/>
      <c r="F67" s="382"/>
      <c r="G67" s="382"/>
      <c r="H67" s="1551"/>
      <c r="I67" s="264"/>
      <c r="J67" s="219"/>
      <c r="K67" s="219"/>
      <c r="L67" s="219"/>
      <c r="M67" s="219"/>
      <c r="N67" s="219"/>
      <c r="O67" s="219"/>
      <c r="P67" s="219"/>
      <c r="Q67" s="219"/>
      <c r="S67" s="1546"/>
      <c r="CV67" s="381" t="str">
        <f t="shared" si="13"/>
        <v>Versicherung, Steuern, Reparaturen</v>
      </c>
      <c r="CW67" s="381"/>
    </row>
    <row r="68" spans="2:101" x14ac:dyDescent="0.2">
      <c r="B68" s="360"/>
      <c r="C68" s="365" t="str">
        <f t="shared" si="14"/>
        <v>Benzin / Diesel / Reparaturen</v>
      </c>
      <c r="D68" s="168">
        <f>P23</f>
        <v>0</v>
      </c>
      <c r="E68" s="382"/>
      <c r="F68" s="382"/>
      <c r="G68" s="382"/>
      <c r="H68" s="1551"/>
      <c r="I68" s="264"/>
      <c r="J68" s="219"/>
      <c r="K68" s="219"/>
      <c r="L68" s="219"/>
      <c r="M68" s="219"/>
      <c r="N68" s="219"/>
      <c r="O68" s="219"/>
      <c r="P68" s="219"/>
      <c r="Q68" s="219"/>
      <c r="S68" s="1546"/>
      <c r="CV68" s="381" t="str">
        <f t="shared" si="13"/>
        <v>Benzin / Diesel / Reparaturen</v>
      </c>
      <c r="CW68" s="381"/>
    </row>
    <row r="69" spans="2:101" ht="15" thickBot="1" x14ac:dyDescent="0.25">
      <c r="B69" s="367"/>
      <c r="C69" s="368" t="str">
        <f t="shared" si="14"/>
        <v>Summe</v>
      </c>
      <c r="D69" s="369">
        <f>P24</f>
        <v>0</v>
      </c>
      <c r="E69" s="383">
        <f>SUM(E66:E68)</f>
        <v>0</v>
      </c>
      <c r="F69" s="369">
        <f>SUM(F66:F68)</f>
        <v>0</v>
      </c>
      <c r="G69" s="369">
        <f>SUM(G66:G68)</f>
        <v>0</v>
      </c>
      <c r="H69" s="1552">
        <f>SUM(H66:H68)</f>
        <v>0</v>
      </c>
      <c r="I69" s="264"/>
      <c r="J69" s="219"/>
      <c r="K69" s="219"/>
      <c r="L69" s="219"/>
      <c r="M69" s="219"/>
      <c r="N69" s="219"/>
      <c r="O69" s="219"/>
      <c r="P69" s="219"/>
      <c r="Q69" s="219"/>
      <c r="CV69" s="381" t="str">
        <f t="shared" si="13"/>
        <v>Summe</v>
      </c>
      <c r="CW69" s="381"/>
    </row>
    <row r="70" spans="2:101" ht="15" thickTop="1" x14ac:dyDescent="0.2">
      <c r="B70" s="360">
        <v>4</v>
      </c>
      <c r="C70" s="361" t="str">
        <f t="shared" si="14"/>
        <v>Versicherungen</v>
      </c>
      <c r="D70" s="168"/>
      <c r="E70" s="384"/>
      <c r="F70" s="168"/>
      <c r="G70" s="168"/>
      <c r="H70" s="1550"/>
      <c r="I70" s="264"/>
      <c r="J70" s="219"/>
      <c r="K70" s="219"/>
      <c r="L70" s="219"/>
      <c r="M70" s="219"/>
      <c r="N70" s="219"/>
      <c r="O70" s="219"/>
      <c r="P70" s="219"/>
      <c r="Q70" s="219"/>
      <c r="CV70" s="381" t="str">
        <f t="shared" si="13"/>
        <v>Versicherungen</v>
      </c>
      <c r="CW70" s="381"/>
    </row>
    <row r="71" spans="2:101" x14ac:dyDescent="0.2">
      <c r="B71" s="360"/>
      <c r="C71" s="365" t="str">
        <f t="shared" si="14"/>
        <v>Rentenversicherung, freiw. Versicher. 1)</v>
      </c>
      <c r="D71" s="168">
        <f t="shared" ref="D71:D76" si="16">P26</f>
        <v>0</v>
      </c>
      <c r="E71" s="382"/>
      <c r="F71" s="382"/>
      <c r="G71" s="382"/>
      <c r="H71" s="1551"/>
      <c r="I71" s="264"/>
      <c r="J71" s="219"/>
      <c r="K71" s="219"/>
      <c r="L71" s="219"/>
      <c r="M71" s="219"/>
      <c r="N71" s="219"/>
      <c r="O71" s="219"/>
      <c r="P71" s="219"/>
      <c r="Q71" s="219"/>
      <c r="S71" s="1546"/>
      <c r="CV71" s="381" t="str">
        <f t="shared" si="13"/>
        <v>Rentenversicherung, freiw. Versicher. 1)</v>
      </c>
      <c r="CW71" s="381"/>
    </row>
    <row r="72" spans="2:101" x14ac:dyDescent="0.2">
      <c r="B72" s="360"/>
      <c r="C72" s="365" t="str">
        <f t="shared" si="14"/>
        <v>Krankenversicherung u Medikamente 2)</v>
      </c>
      <c r="D72" s="168">
        <f t="shared" si="16"/>
        <v>0</v>
      </c>
      <c r="E72" s="382"/>
      <c r="F72" s="382"/>
      <c r="G72" s="382"/>
      <c r="H72" s="1551"/>
      <c r="I72" s="264"/>
      <c r="J72" s="219"/>
      <c r="K72" s="219"/>
      <c r="L72" s="219"/>
      <c r="M72" s="219"/>
      <c r="N72" s="219"/>
      <c r="O72" s="219"/>
      <c r="P72" s="219"/>
      <c r="Q72" s="219"/>
      <c r="S72" s="1546"/>
      <c r="CV72" s="381" t="str">
        <f t="shared" si="13"/>
        <v>Krankenversicherung u Medikamente 2)</v>
      </c>
      <c r="CW72" s="381"/>
    </row>
    <row r="73" spans="2:101" x14ac:dyDescent="0.2">
      <c r="B73" s="360"/>
      <c r="C73" s="365" t="str">
        <f t="shared" si="14"/>
        <v>Unfallversicherung, Berufsunfähigkeit</v>
      </c>
      <c r="D73" s="168">
        <f t="shared" si="16"/>
        <v>0</v>
      </c>
      <c r="E73" s="382"/>
      <c r="F73" s="382"/>
      <c r="G73" s="382"/>
      <c r="H73" s="1551"/>
      <c r="I73" s="264"/>
      <c r="J73" s="219"/>
      <c r="K73" s="219"/>
      <c r="L73" s="219"/>
      <c r="M73" s="219"/>
      <c r="N73" s="219"/>
      <c r="O73" s="219"/>
      <c r="P73" s="219"/>
      <c r="Q73" s="219"/>
      <c r="S73" s="1546"/>
      <c r="CV73" s="381" t="str">
        <f t="shared" si="13"/>
        <v>Unfallversicherung, Berufsunfähigkeit</v>
      </c>
      <c r="CW73" s="381"/>
    </row>
    <row r="74" spans="2:101" x14ac:dyDescent="0.2">
      <c r="B74" s="360"/>
      <c r="C74" s="365" t="str">
        <f t="shared" si="14"/>
        <v>Hausratsversicherung, Haftpflicht</v>
      </c>
      <c r="D74" s="168">
        <f t="shared" si="16"/>
        <v>0</v>
      </c>
      <c r="E74" s="382"/>
      <c r="F74" s="382"/>
      <c r="G74" s="382"/>
      <c r="H74" s="1551"/>
      <c r="I74" s="264"/>
      <c r="J74" s="219"/>
      <c r="K74" s="219"/>
      <c r="L74" s="219"/>
      <c r="M74" s="219"/>
      <c r="N74" s="219"/>
      <c r="O74" s="219"/>
      <c r="P74" s="219"/>
      <c r="Q74" s="219"/>
      <c r="S74" s="1546"/>
      <c r="CV74" s="381" t="str">
        <f t="shared" si="13"/>
        <v>Hausratsversicherung, Haftpflicht</v>
      </c>
      <c r="CW74" s="381"/>
    </row>
    <row r="75" spans="2:101" x14ac:dyDescent="0.2">
      <c r="B75" s="360"/>
      <c r="C75" s="365" t="str">
        <f t="shared" si="14"/>
        <v>Sonstige.Versicherungen.</v>
      </c>
      <c r="D75" s="168">
        <f t="shared" si="16"/>
        <v>0</v>
      </c>
      <c r="E75" s="382"/>
      <c r="F75" s="382"/>
      <c r="G75" s="382"/>
      <c r="H75" s="1551"/>
      <c r="I75" s="264"/>
      <c r="J75" s="219"/>
      <c r="K75" s="219"/>
      <c r="L75" s="219"/>
      <c r="M75" s="219"/>
      <c r="N75" s="219"/>
      <c r="O75" s="219"/>
      <c r="P75" s="219"/>
      <c r="Q75" s="219"/>
      <c r="S75" s="1546"/>
      <c r="CV75" s="381" t="str">
        <f t="shared" si="13"/>
        <v>Sonstige.Versicherungen.</v>
      </c>
      <c r="CW75" s="381"/>
    </row>
    <row r="76" spans="2:101" ht="15" thickBot="1" x14ac:dyDescent="0.25">
      <c r="B76" s="367"/>
      <c r="C76" s="368" t="str">
        <f t="shared" si="14"/>
        <v>Summe</v>
      </c>
      <c r="D76" s="369">
        <f t="shared" si="16"/>
        <v>0</v>
      </c>
      <c r="E76" s="383">
        <f>SUM(E71:E75)</f>
        <v>0</v>
      </c>
      <c r="F76" s="369">
        <f>SUM(F71:F75)</f>
        <v>0</v>
      </c>
      <c r="G76" s="369">
        <f>SUM(G71:G75)</f>
        <v>0</v>
      </c>
      <c r="H76" s="1552">
        <f>SUM(H71:H75)</f>
        <v>0</v>
      </c>
      <c r="I76" s="264"/>
      <c r="J76" s="219"/>
      <c r="K76" s="219"/>
      <c r="L76" s="219"/>
      <c r="M76" s="219"/>
      <c r="N76" s="219"/>
      <c r="O76" s="219"/>
      <c r="P76" s="219"/>
      <c r="Q76" s="219"/>
      <c r="CV76" s="381" t="str">
        <f t="shared" si="13"/>
        <v>Summe</v>
      </c>
      <c r="CW76" s="381"/>
    </row>
    <row r="77" spans="2:101" ht="15" thickTop="1" x14ac:dyDescent="0.2">
      <c r="B77" s="360">
        <v>5</v>
      </c>
      <c r="C77" s="361" t="str">
        <f t="shared" si="14"/>
        <v>Freizeit / Unterhaltung</v>
      </c>
      <c r="D77" s="168"/>
      <c r="E77" s="384"/>
      <c r="F77" s="168"/>
      <c r="G77" s="168"/>
      <c r="H77" s="1550"/>
      <c r="I77" s="264"/>
      <c r="J77" s="219"/>
      <c r="K77" s="219"/>
      <c r="L77" s="219"/>
      <c r="M77" s="219"/>
      <c r="N77" s="219"/>
      <c r="O77" s="219"/>
      <c r="P77" s="219"/>
      <c r="Q77" s="219"/>
      <c r="CV77" s="381" t="str">
        <f t="shared" si="13"/>
        <v>Freizeit / Unterhaltung</v>
      </c>
      <c r="CW77" s="381"/>
    </row>
    <row r="78" spans="2:101" x14ac:dyDescent="0.2">
      <c r="B78" s="360"/>
      <c r="C78" s="365" t="str">
        <f t="shared" si="14"/>
        <v xml:space="preserve">Hobby, Bücher, Geschenke </v>
      </c>
      <c r="D78" s="168">
        <f>P33</f>
        <v>0</v>
      </c>
      <c r="E78" s="382"/>
      <c r="F78" s="382"/>
      <c r="G78" s="382"/>
      <c r="H78" s="1551"/>
      <c r="I78" s="264"/>
      <c r="J78" s="219"/>
      <c r="K78" s="219"/>
      <c r="L78" s="219"/>
      <c r="M78" s="219"/>
      <c r="N78" s="219"/>
      <c r="O78" s="219"/>
      <c r="P78" s="219"/>
      <c r="Q78" s="219"/>
      <c r="S78" s="1546"/>
      <c r="CV78" s="381" t="str">
        <f t="shared" si="13"/>
        <v xml:space="preserve">Hobby, Bücher, Geschenke </v>
      </c>
      <c r="CW78" s="381"/>
    </row>
    <row r="79" spans="2:101" x14ac:dyDescent="0.2">
      <c r="B79" s="360"/>
      <c r="C79" s="365" t="str">
        <f t="shared" si="14"/>
        <v>Urlaub, Reisen, Sonstiges</v>
      </c>
      <c r="D79" s="168">
        <f>P34</f>
        <v>0</v>
      </c>
      <c r="E79" s="382"/>
      <c r="F79" s="382"/>
      <c r="G79" s="382"/>
      <c r="H79" s="1551"/>
      <c r="I79" s="264"/>
      <c r="J79" s="219"/>
      <c r="K79" s="219"/>
      <c r="L79" s="219"/>
      <c r="M79" s="219"/>
      <c r="N79" s="219"/>
      <c r="O79" s="219"/>
      <c r="P79" s="219"/>
      <c r="Q79" s="219"/>
      <c r="S79" s="1546"/>
      <c r="CV79" s="381" t="str">
        <f t="shared" si="13"/>
        <v>Urlaub, Reisen, Sonstiges</v>
      </c>
      <c r="CW79" s="381"/>
    </row>
    <row r="80" spans="2:101" ht="15" thickBot="1" x14ac:dyDescent="0.25">
      <c r="B80" s="367"/>
      <c r="C80" s="368" t="str">
        <f t="shared" si="14"/>
        <v>Summe</v>
      </c>
      <c r="D80" s="369">
        <f>P35</f>
        <v>0</v>
      </c>
      <c r="E80" s="383">
        <f>SUM(E78:E79)</f>
        <v>0</v>
      </c>
      <c r="F80" s="369">
        <f>SUM(F78:F79)</f>
        <v>0</v>
      </c>
      <c r="G80" s="369">
        <f>SUM(G78:G79)</f>
        <v>0</v>
      </c>
      <c r="H80" s="1552">
        <f>SUM(H78:H79)</f>
        <v>0</v>
      </c>
      <c r="I80" s="264"/>
      <c r="J80" s="219"/>
      <c r="K80" s="219"/>
      <c r="L80" s="219"/>
      <c r="M80" s="219"/>
      <c r="N80" s="219"/>
      <c r="O80" s="219"/>
      <c r="P80" s="219"/>
      <c r="Q80" s="219"/>
      <c r="CV80" s="381" t="str">
        <f t="shared" si="13"/>
        <v>Summe</v>
      </c>
      <c r="CW80" s="381"/>
    </row>
    <row r="81" spans="1:101" ht="15" thickTop="1" x14ac:dyDescent="0.2">
      <c r="B81" s="372">
        <v>6</v>
      </c>
      <c r="C81" s="361" t="str">
        <f t="shared" si="14"/>
        <v>Zahlungsverpflichtungen</v>
      </c>
      <c r="D81" s="168"/>
      <c r="E81" s="384"/>
      <c r="F81" s="168"/>
      <c r="G81" s="168"/>
      <c r="H81" s="1550"/>
      <c r="I81" s="264"/>
      <c r="J81" s="219"/>
      <c r="K81" s="219"/>
      <c r="L81" s="219"/>
      <c r="M81" s="219"/>
      <c r="N81" s="219"/>
      <c r="O81" s="219"/>
      <c r="P81" s="219"/>
      <c r="Q81" s="219"/>
      <c r="CV81" s="381" t="str">
        <f t="shared" si="13"/>
        <v>Zahlungsverpflichtungen</v>
      </c>
      <c r="CW81" s="381"/>
    </row>
    <row r="82" spans="1:101" x14ac:dyDescent="0.2">
      <c r="B82" s="360"/>
      <c r="C82" s="365" t="str">
        <f t="shared" si="14"/>
        <v>Unterhalt, Kredittilgung, Weiterbildung</v>
      </c>
      <c r="D82" s="168">
        <f>P37</f>
        <v>0</v>
      </c>
      <c r="E82" s="382"/>
      <c r="F82" s="382"/>
      <c r="G82" s="382"/>
      <c r="H82" s="1551"/>
      <c r="I82" s="264"/>
      <c r="J82" s="219"/>
      <c r="K82" s="219"/>
      <c r="L82" s="219"/>
      <c r="M82" s="219"/>
      <c r="N82" s="219"/>
      <c r="O82" s="219"/>
      <c r="P82" s="219"/>
      <c r="Q82" s="219"/>
      <c r="S82" s="1546"/>
      <c r="CV82" s="381" t="str">
        <f t="shared" si="13"/>
        <v>Unterhalt, Kredittilgung, Weiterbildung</v>
      </c>
      <c r="CW82" s="381"/>
    </row>
    <row r="83" spans="1:101" x14ac:dyDescent="0.2">
      <c r="B83" s="360"/>
      <c r="C83" s="365" t="str">
        <f t="shared" si="14"/>
        <v>Sonstige private Kredite (Zins + Tilg.)</v>
      </c>
      <c r="D83" s="168">
        <f>P38</f>
        <v>0</v>
      </c>
      <c r="E83" s="382"/>
      <c r="F83" s="382"/>
      <c r="G83" s="382"/>
      <c r="H83" s="1551"/>
      <c r="I83" s="264"/>
      <c r="J83" s="219"/>
      <c r="K83" s="219"/>
      <c r="L83" s="219"/>
      <c r="M83" s="219"/>
      <c r="N83" s="219"/>
      <c r="O83" s="219"/>
      <c r="P83" s="219"/>
      <c r="Q83" s="219"/>
      <c r="S83" s="1546"/>
      <c r="CV83" s="381" t="str">
        <f t="shared" si="13"/>
        <v>Sonstige private Kredite (Zins + Tilg.)</v>
      </c>
      <c r="CW83" s="381"/>
    </row>
    <row r="84" spans="1:101" ht="15" thickBot="1" x14ac:dyDescent="0.25">
      <c r="A84" s="229"/>
      <c r="B84" s="367"/>
      <c r="C84" s="368" t="str">
        <f t="shared" si="14"/>
        <v>Summe</v>
      </c>
      <c r="D84" s="369">
        <f>P39</f>
        <v>0</v>
      </c>
      <c r="E84" s="383">
        <f>SUM(E82:E83)</f>
        <v>0</v>
      </c>
      <c r="F84" s="369">
        <f>SUM(F82:F83)</f>
        <v>0</v>
      </c>
      <c r="G84" s="369">
        <f>SUM(G82:G83)</f>
        <v>0</v>
      </c>
      <c r="H84" s="1552">
        <f>SUM(H82:H83)</f>
        <v>0</v>
      </c>
      <c r="I84" s="264"/>
      <c r="J84" s="219"/>
      <c r="K84" s="219"/>
      <c r="L84" s="219"/>
      <c r="M84" s="219"/>
      <c r="N84" s="219"/>
      <c r="O84" s="219"/>
      <c r="P84" s="219"/>
      <c r="Q84" s="219"/>
      <c r="CV84" s="381" t="str">
        <f t="shared" si="13"/>
        <v>Summe</v>
      </c>
      <c r="CW84" s="381"/>
    </row>
    <row r="85" spans="1:101" ht="15" thickTop="1" x14ac:dyDescent="0.2">
      <c r="B85" s="372">
        <v>7</v>
      </c>
      <c r="C85" s="361" t="str">
        <f t="shared" si="14"/>
        <v>Verschiedenes</v>
      </c>
      <c r="D85" s="168"/>
      <c r="E85" s="384"/>
      <c r="F85" s="168"/>
      <c r="G85" s="168"/>
      <c r="H85" s="1550"/>
      <c r="I85" s="264"/>
      <c r="J85" s="219"/>
      <c r="K85" s="219"/>
      <c r="L85" s="219"/>
      <c r="M85" s="219"/>
      <c r="N85" s="219"/>
      <c r="O85" s="219"/>
      <c r="P85" s="219"/>
      <c r="Q85" s="219"/>
      <c r="CV85" s="381" t="str">
        <f t="shared" si="13"/>
        <v>Verschiedenes</v>
      </c>
      <c r="CW85" s="381"/>
    </row>
    <row r="86" spans="1:101" x14ac:dyDescent="0.2">
      <c r="B86" s="360"/>
      <c r="C86" s="365" t="str">
        <f t="shared" si="14"/>
        <v>Vereinsbeiträge, Spenden, Bausparen</v>
      </c>
      <c r="D86" s="168">
        <f>P41</f>
        <v>0</v>
      </c>
      <c r="E86" s="382"/>
      <c r="F86" s="382"/>
      <c r="G86" s="382"/>
      <c r="H86" s="1551"/>
      <c r="I86" s="264"/>
      <c r="J86" s="219"/>
      <c r="K86" s="219"/>
      <c r="L86" s="219"/>
      <c r="M86" s="219"/>
      <c r="N86" s="219"/>
      <c r="O86" s="219"/>
      <c r="P86" s="219"/>
      <c r="Q86" s="219"/>
      <c r="S86" s="1546"/>
      <c r="CV86" s="381" t="str">
        <f t="shared" si="13"/>
        <v>Vereinsbeiträge, Spenden, Bausparen</v>
      </c>
      <c r="CW86" s="381"/>
    </row>
    <row r="87" spans="1:101" x14ac:dyDescent="0.2">
      <c r="B87" s="360"/>
      <c r="C87" s="365" t="str">
        <f t="shared" si="14"/>
        <v>Beratung (Steuer, Recht usw.)</v>
      </c>
      <c r="D87" s="168">
        <f>P42</f>
        <v>0</v>
      </c>
      <c r="E87" s="382"/>
      <c r="F87" s="382"/>
      <c r="G87" s="382"/>
      <c r="H87" s="1551"/>
      <c r="I87" s="264"/>
      <c r="J87" s="219"/>
      <c r="K87" s="219"/>
      <c r="L87" s="219"/>
      <c r="M87" s="219"/>
      <c r="N87" s="219"/>
      <c r="O87" s="219"/>
      <c r="P87" s="219"/>
      <c r="Q87" s="219"/>
      <c r="S87" s="1546"/>
      <c r="CV87" s="381"/>
      <c r="CW87" s="381"/>
    </row>
    <row r="88" spans="1:101" x14ac:dyDescent="0.2">
      <c r="B88" s="360"/>
      <c r="C88" s="365" t="s">
        <v>456</v>
      </c>
      <c r="D88" s="168">
        <f>P43</f>
        <v>0</v>
      </c>
      <c r="E88" s="382"/>
      <c r="F88" s="382"/>
      <c r="G88" s="382"/>
      <c r="H88" s="1551"/>
      <c r="I88" s="264"/>
      <c r="J88" s="219"/>
      <c r="K88" s="219"/>
      <c r="L88" s="219"/>
      <c r="M88" s="219"/>
      <c r="N88" s="219"/>
      <c r="O88" s="219"/>
      <c r="P88" s="219"/>
      <c r="Q88" s="219"/>
      <c r="S88" s="1546"/>
      <c r="CV88" s="381" t="str">
        <f>CV43</f>
        <v>Beratung (Steuer, Recht usw.)</v>
      </c>
      <c r="CW88" s="381"/>
    </row>
    <row r="89" spans="1:101" ht="15" thickBot="1" x14ac:dyDescent="0.25">
      <c r="B89" s="360"/>
      <c r="C89" s="368" t="str">
        <f>C44</f>
        <v>Summe</v>
      </c>
      <c r="D89" s="369">
        <f>P44</f>
        <v>0</v>
      </c>
      <c r="E89" s="383">
        <f>SUM(E86:E88)</f>
        <v>0</v>
      </c>
      <c r="F89" s="369">
        <f>SUM(F86:F88)</f>
        <v>0</v>
      </c>
      <c r="G89" s="369">
        <f>SUM(G86:G88)</f>
        <v>0</v>
      </c>
      <c r="H89" s="1552">
        <f>SUM(H86:H88)</f>
        <v>0</v>
      </c>
      <c r="I89" s="264"/>
      <c r="J89" s="219"/>
      <c r="K89" s="219"/>
      <c r="L89" s="219"/>
      <c r="M89" s="219"/>
      <c r="N89" s="219"/>
      <c r="O89" s="219"/>
      <c r="P89" s="219"/>
      <c r="Q89" s="219"/>
      <c r="CV89" s="381" t="str">
        <f>CV44</f>
        <v>Summe</v>
      </c>
      <c r="CW89" s="381"/>
    </row>
    <row r="90" spans="1:101" s="58" customFormat="1" ht="17.25" thickTop="1" thickBot="1" x14ac:dyDescent="0.25">
      <c r="A90" s="55"/>
      <c r="B90" s="216"/>
      <c r="C90" s="385" t="str">
        <f>C45</f>
        <v xml:space="preserve">Gesamtausgaben o. Einkommensteuer </v>
      </c>
      <c r="D90" s="375">
        <f>P45</f>
        <v>0</v>
      </c>
      <c r="E90" s="386">
        <f>SUM(E51:E89)/2</f>
        <v>0</v>
      </c>
      <c r="F90" s="387">
        <f>SUM(F51:F89)/2</f>
        <v>0</v>
      </c>
      <c r="G90" s="387">
        <f>SUM(G51:G89)/2</f>
        <v>0</v>
      </c>
      <c r="H90" s="1553">
        <f>SUM(H51:H89)/2</f>
        <v>0</v>
      </c>
      <c r="I90" s="264"/>
      <c r="J90" s="55"/>
      <c r="K90" s="55"/>
      <c r="L90" s="55"/>
      <c r="M90" s="55"/>
      <c r="N90" s="55"/>
      <c r="O90" s="55"/>
      <c r="P90" s="55"/>
      <c r="Q90" s="55"/>
      <c r="R90" s="55"/>
      <c r="S90" s="122"/>
      <c r="T90" s="55"/>
      <c r="U90" s="55"/>
      <c r="V90" s="55"/>
      <c r="W90" s="55"/>
      <c r="X90" s="55"/>
      <c r="Y90" s="55"/>
      <c r="Z90" s="55"/>
      <c r="AA90" s="55"/>
      <c r="AB90" s="55"/>
      <c r="AC90" s="55"/>
      <c r="AD90" s="55"/>
      <c r="AE90" s="55"/>
      <c r="AF90" s="55"/>
      <c r="AG90" s="55"/>
      <c r="AH90" s="55"/>
      <c r="AI90" s="55"/>
      <c r="AJ90" s="55"/>
      <c r="AK90" s="55"/>
      <c r="AL90" s="55"/>
      <c r="AM90" s="55"/>
      <c r="AN90" s="55"/>
      <c r="AO90" s="55"/>
      <c r="AP90" s="55"/>
      <c r="AQ90" s="55"/>
      <c r="AR90" s="55"/>
      <c r="AS90" s="55"/>
      <c r="AT90" s="55"/>
      <c r="AU90" s="55"/>
      <c r="AV90" s="55"/>
      <c r="AW90" s="55"/>
      <c r="AX90" s="55"/>
      <c r="AY90" s="55"/>
      <c r="AZ90" s="55"/>
      <c r="BA90" s="55"/>
      <c r="BB90" s="55"/>
      <c r="BC90" s="55"/>
      <c r="BD90" s="55"/>
      <c r="BE90" s="55"/>
      <c r="BF90" s="55"/>
      <c r="CU90" s="355"/>
      <c r="CV90" s="363" t="s">
        <v>617</v>
      </c>
      <c r="CW90" s="363"/>
    </row>
    <row r="91" spans="1:101" s="55" customFormat="1" x14ac:dyDescent="0.2">
      <c r="A91" s="229"/>
      <c r="B91" s="388"/>
      <c r="D91" s="229"/>
      <c r="E91" s="229"/>
      <c r="F91" s="229"/>
      <c r="G91" s="229"/>
      <c r="H91" s="229"/>
      <c r="I91" s="229"/>
      <c r="S91" s="122"/>
      <c r="CU91" s="58"/>
    </row>
    <row r="92" spans="1:101" s="55" customFormat="1" x14ac:dyDescent="0.2">
      <c r="A92" s="229"/>
      <c r="B92" s="388"/>
      <c r="D92" s="229"/>
      <c r="E92" s="229"/>
      <c r="F92" s="229"/>
      <c r="G92" s="229"/>
      <c r="H92" s="229"/>
      <c r="I92" s="229"/>
      <c r="S92" s="122"/>
      <c r="CU92" s="58"/>
    </row>
    <row r="93" spans="1:101" s="55" customFormat="1" x14ac:dyDescent="0.2">
      <c r="A93" s="229"/>
      <c r="B93" s="388"/>
      <c r="D93" s="229"/>
      <c r="E93" s="229"/>
      <c r="F93" s="229"/>
      <c r="G93" s="229"/>
      <c r="H93" s="229"/>
      <c r="I93" s="229"/>
      <c r="S93" s="122"/>
      <c r="CU93" s="58"/>
    </row>
    <row r="94" spans="1:101" s="55" customFormat="1" x14ac:dyDescent="0.2">
      <c r="A94" s="229"/>
      <c r="B94" s="388"/>
      <c r="D94" s="229"/>
      <c r="E94" s="229"/>
      <c r="F94" s="229"/>
      <c r="G94" s="229"/>
      <c r="H94" s="229"/>
      <c r="I94" s="229"/>
      <c r="S94" s="122"/>
      <c r="CU94" s="58"/>
    </row>
    <row r="95" spans="1:101" s="55" customFormat="1" x14ac:dyDescent="0.2">
      <c r="A95" s="229"/>
      <c r="B95" s="388"/>
      <c r="D95" s="229"/>
      <c r="E95" s="229"/>
      <c r="F95" s="229"/>
      <c r="G95" s="229"/>
      <c r="H95" s="229"/>
      <c r="I95" s="229"/>
      <c r="S95" s="122"/>
      <c r="CU95" s="390"/>
      <c r="CV95" s="39"/>
      <c r="CW95" s="39"/>
    </row>
    <row r="96" spans="1:101" s="55" customFormat="1" ht="23.25" thickBot="1" x14ac:dyDescent="0.35">
      <c r="A96" s="229"/>
      <c r="B96" s="356" t="str">
        <f ca="1">IF($B$2="English",CW96,CV96)&amp;$C$4&amp;" - "&amp;$C$4+4</f>
        <v>1c  Privatentnahmen (in EUR) der aufgeführten GründerInnen für die Jahre 2017 - 2021</v>
      </c>
      <c r="D96" s="229"/>
      <c r="E96" s="229"/>
      <c r="F96" s="229"/>
      <c r="G96" s="229"/>
      <c r="H96" s="229"/>
      <c r="I96" s="229"/>
      <c r="J96" s="391"/>
      <c r="S96" s="122"/>
      <c r="CU96" s="390"/>
      <c r="CV96" s="381" t="s">
        <v>384</v>
      </c>
      <c r="CW96" s="381" t="s">
        <v>618</v>
      </c>
    </row>
    <row r="97" spans="1:103" s="55" customFormat="1" ht="15" thickBot="1" x14ac:dyDescent="0.25">
      <c r="A97" s="229"/>
      <c r="B97" s="380" t="str">
        <f>B50</f>
        <v>No.</v>
      </c>
      <c r="C97" s="392" t="str">
        <f>IF($B$2="English",CW97,CV97)</f>
        <v>Namen der GründerInnen</v>
      </c>
      <c r="D97" s="227">
        <f ca="1">C4</f>
        <v>2017</v>
      </c>
      <c r="E97" s="227">
        <f ca="1">D97+1</f>
        <v>2018</v>
      </c>
      <c r="F97" s="227">
        <f t="shared" ref="F97:H97" ca="1" si="17">E97+1</f>
        <v>2019</v>
      </c>
      <c r="G97" s="227">
        <f t="shared" ca="1" si="17"/>
        <v>2020</v>
      </c>
      <c r="H97" s="1372">
        <f t="shared" ca="1" si="17"/>
        <v>2021</v>
      </c>
      <c r="I97" s="264"/>
      <c r="J97" s="391"/>
      <c r="S97" s="122"/>
      <c r="CU97" s="390"/>
      <c r="CV97" s="381" t="s">
        <v>242</v>
      </c>
      <c r="CW97" s="381" t="s">
        <v>389</v>
      </c>
    </row>
    <row r="98" spans="1:103" s="58" customFormat="1" x14ac:dyDescent="0.2">
      <c r="A98" s="55"/>
      <c r="B98" s="393" t="s">
        <v>216</v>
      </c>
      <c r="C98" s="394"/>
      <c r="D98" s="395"/>
      <c r="E98" s="395"/>
      <c r="F98" s="395"/>
      <c r="G98" s="395"/>
      <c r="H98" s="395"/>
      <c r="I98" s="264"/>
      <c r="J98" s="55"/>
      <c r="K98" s="55"/>
      <c r="L98" s="55"/>
      <c r="M98" s="55"/>
      <c r="N98" s="55"/>
      <c r="O98" s="55"/>
      <c r="P98" s="55"/>
      <c r="Q98" s="55"/>
      <c r="R98" s="55"/>
      <c r="S98" s="1546"/>
      <c r="T98" s="55"/>
      <c r="U98" s="55"/>
      <c r="V98" s="55"/>
      <c r="W98" s="55"/>
      <c r="X98" s="55"/>
      <c r="Y98" s="55"/>
      <c r="Z98" s="55"/>
      <c r="AA98" s="55"/>
      <c r="AB98" s="55"/>
      <c r="AC98" s="55"/>
      <c r="AD98" s="55"/>
      <c r="AE98" s="55"/>
      <c r="AF98" s="55"/>
      <c r="AG98" s="55"/>
      <c r="AH98" s="55"/>
      <c r="AI98" s="55"/>
      <c r="AJ98" s="55"/>
      <c r="AK98" s="55"/>
      <c r="AL98" s="55"/>
      <c r="AM98" s="55"/>
      <c r="AN98" s="55"/>
      <c r="AO98" s="55"/>
      <c r="AP98" s="55"/>
      <c r="AQ98" s="55"/>
      <c r="AR98" s="55"/>
      <c r="AS98" s="55"/>
      <c r="AT98" s="55"/>
      <c r="AU98" s="55"/>
      <c r="AV98" s="55"/>
      <c r="AW98" s="55"/>
      <c r="AX98" s="55"/>
      <c r="AY98" s="55"/>
      <c r="AZ98" s="55"/>
      <c r="BA98" s="55"/>
      <c r="BB98" s="55"/>
      <c r="BC98" s="55"/>
      <c r="BD98" s="55"/>
      <c r="BE98" s="55"/>
      <c r="BF98" s="55"/>
      <c r="CU98" s="390"/>
      <c r="CV98" s="396" t="s">
        <v>255</v>
      </c>
      <c r="CW98" s="396" t="s">
        <v>388</v>
      </c>
    </row>
    <row r="99" spans="1:103" s="58" customFormat="1" x14ac:dyDescent="0.2">
      <c r="A99" s="55"/>
      <c r="B99" s="397" t="s">
        <v>217</v>
      </c>
      <c r="C99" s="394"/>
      <c r="D99" s="398"/>
      <c r="E99" s="398"/>
      <c r="F99" s="398"/>
      <c r="G99" s="398"/>
      <c r="H99" s="1373"/>
      <c r="I99" s="264"/>
      <c r="J99" s="55"/>
      <c r="K99" s="55"/>
      <c r="L99" s="55"/>
      <c r="M99" s="55"/>
      <c r="N99" s="55"/>
      <c r="O99" s="55"/>
      <c r="P99" s="55"/>
      <c r="Q99" s="55"/>
      <c r="R99" s="55"/>
      <c r="S99" s="1546"/>
      <c r="T99" s="55"/>
      <c r="U99" s="55"/>
      <c r="V99" s="55"/>
      <c r="W99" s="55"/>
      <c r="X99" s="55"/>
      <c r="Y99" s="55"/>
      <c r="Z99" s="55"/>
      <c r="AA99" s="55"/>
      <c r="AB99" s="55"/>
      <c r="AC99" s="55"/>
      <c r="AD99" s="55"/>
      <c r="AE99" s="55"/>
      <c r="AF99" s="55"/>
      <c r="AG99" s="55"/>
      <c r="AH99" s="55"/>
      <c r="AI99" s="55"/>
      <c r="AJ99" s="55"/>
      <c r="AK99" s="55"/>
      <c r="AL99" s="55"/>
      <c r="AM99" s="55"/>
      <c r="AN99" s="55"/>
      <c r="AO99" s="55"/>
      <c r="AP99" s="55"/>
      <c r="AQ99" s="55"/>
      <c r="AR99" s="55"/>
      <c r="AS99" s="55"/>
      <c r="AT99" s="55"/>
      <c r="AU99" s="55"/>
      <c r="AV99" s="55"/>
      <c r="AW99" s="55"/>
      <c r="AX99" s="55"/>
      <c r="AY99" s="55"/>
      <c r="AZ99" s="55"/>
      <c r="BA99" s="55"/>
      <c r="BB99" s="55"/>
      <c r="BC99" s="55"/>
      <c r="BD99" s="55"/>
      <c r="BE99" s="55"/>
      <c r="BF99" s="55"/>
      <c r="CU99" s="390"/>
      <c r="CV99" s="396"/>
      <c r="CW99" s="396"/>
    </row>
    <row r="100" spans="1:103" s="58" customFormat="1" x14ac:dyDescent="0.2">
      <c r="A100" s="55"/>
      <c r="B100" s="399" t="s">
        <v>218</v>
      </c>
      <c r="C100" s="400"/>
      <c r="D100" s="398"/>
      <c r="E100" s="398"/>
      <c r="F100" s="398"/>
      <c r="G100" s="398"/>
      <c r="H100" s="1373"/>
      <c r="I100" s="264"/>
      <c r="J100" s="55"/>
      <c r="K100" s="55"/>
      <c r="L100" s="55"/>
      <c r="M100" s="55"/>
      <c r="N100" s="55"/>
      <c r="O100" s="55"/>
      <c r="P100" s="55"/>
      <c r="Q100" s="55"/>
      <c r="R100" s="55"/>
      <c r="S100" s="1546"/>
      <c r="T100" s="55"/>
      <c r="U100" s="55"/>
      <c r="V100" s="55"/>
      <c r="W100" s="55"/>
      <c r="X100" s="55"/>
      <c r="Y100" s="55"/>
      <c r="Z100" s="55"/>
      <c r="AA100" s="55"/>
      <c r="AB100" s="55"/>
      <c r="AC100" s="55"/>
      <c r="AD100" s="55"/>
      <c r="AE100" s="55"/>
      <c r="AF100" s="55"/>
      <c r="AG100" s="55"/>
      <c r="AH100" s="55"/>
      <c r="AI100" s="55"/>
      <c r="AJ100" s="55"/>
      <c r="AK100" s="55"/>
      <c r="AL100" s="55"/>
      <c r="AM100" s="55"/>
      <c r="AN100" s="55"/>
      <c r="AO100" s="55"/>
      <c r="AP100" s="55"/>
      <c r="AQ100" s="55"/>
      <c r="AR100" s="55"/>
      <c r="AS100" s="55"/>
      <c r="AT100" s="55"/>
      <c r="AU100" s="55"/>
      <c r="AV100" s="55"/>
      <c r="AW100" s="55"/>
      <c r="AX100" s="55"/>
      <c r="AY100" s="55"/>
      <c r="AZ100" s="55"/>
      <c r="BA100" s="55"/>
      <c r="BB100" s="55"/>
      <c r="BC100" s="55"/>
      <c r="BD100" s="55"/>
      <c r="BE100" s="55"/>
      <c r="BF100" s="55"/>
      <c r="CU100" s="390"/>
      <c r="CV100" s="396"/>
      <c r="CW100" s="396"/>
    </row>
    <row r="101" spans="1:103" s="58" customFormat="1" x14ac:dyDescent="0.2">
      <c r="A101" s="55"/>
      <c r="B101" s="399" t="s">
        <v>219</v>
      </c>
      <c r="C101" s="400"/>
      <c r="D101" s="398"/>
      <c r="E101" s="398"/>
      <c r="F101" s="398"/>
      <c r="G101" s="398"/>
      <c r="H101" s="1373"/>
      <c r="I101" s="264"/>
      <c r="J101" s="55"/>
      <c r="K101" s="55"/>
      <c r="L101" s="55"/>
      <c r="M101" s="55"/>
      <c r="N101" s="55"/>
      <c r="O101" s="55"/>
      <c r="P101" s="55"/>
      <c r="Q101" s="55"/>
      <c r="R101" s="55"/>
      <c r="S101" s="1546"/>
      <c r="T101" s="55"/>
      <c r="U101" s="55"/>
      <c r="V101" s="55"/>
      <c r="W101" s="55"/>
      <c r="X101" s="55"/>
      <c r="Y101" s="55"/>
      <c r="Z101" s="55"/>
      <c r="AA101" s="55"/>
      <c r="AB101" s="55"/>
      <c r="AC101" s="55"/>
      <c r="AD101" s="55"/>
      <c r="AE101" s="55"/>
      <c r="AF101" s="55"/>
      <c r="AG101" s="55"/>
      <c r="AH101" s="55"/>
      <c r="AI101" s="55"/>
      <c r="AJ101" s="55"/>
      <c r="AK101" s="55"/>
      <c r="AL101" s="55"/>
      <c r="AM101" s="55"/>
      <c r="AN101" s="55"/>
      <c r="AO101" s="55"/>
      <c r="AP101" s="55"/>
      <c r="AQ101" s="55"/>
      <c r="AR101" s="55"/>
      <c r="AS101" s="55"/>
      <c r="AT101" s="55"/>
      <c r="AU101" s="55"/>
      <c r="AV101" s="55"/>
      <c r="AW101" s="55"/>
      <c r="AX101" s="55"/>
      <c r="AY101" s="55"/>
      <c r="AZ101" s="55"/>
      <c r="BA101" s="55"/>
      <c r="BB101" s="55"/>
      <c r="BC101" s="55"/>
      <c r="BD101" s="55"/>
      <c r="BE101" s="55"/>
      <c r="BF101" s="55"/>
      <c r="CU101" s="390"/>
      <c r="CV101" s="396"/>
      <c r="CW101" s="396"/>
    </row>
    <row r="102" spans="1:103" s="58" customFormat="1" x14ac:dyDescent="0.2">
      <c r="A102" s="55"/>
      <c r="B102" s="399" t="s">
        <v>220</v>
      </c>
      <c r="C102" s="400"/>
      <c r="D102" s="398"/>
      <c r="E102" s="398"/>
      <c r="F102" s="398"/>
      <c r="G102" s="398"/>
      <c r="H102" s="1373"/>
      <c r="I102" s="264"/>
      <c r="J102" s="55"/>
      <c r="K102" s="55"/>
      <c r="L102" s="55"/>
      <c r="M102" s="55"/>
      <c r="N102" s="55"/>
      <c r="O102" s="55"/>
      <c r="P102" s="55"/>
      <c r="Q102" s="55"/>
      <c r="R102" s="55"/>
      <c r="S102" s="1546"/>
      <c r="T102" s="55"/>
      <c r="U102" s="55"/>
      <c r="V102" s="55"/>
      <c r="W102" s="55"/>
      <c r="X102" s="55"/>
      <c r="Y102" s="55"/>
      <c r="Z102" s="55"/>
      <c r="AA102" s="55"/>
      <c r="AB102" s="55"/>
      <c r="AC102" s="55"/>
      <c r="AD102" s="55"/>
      <c r="AE102" s="55"/>
      <c r="AF102" s="55"/>
      <c r="AG102" s="55"/>
      <c r="AH102" s="55"/>
      <c r="AI102" s="55"/>
      <c r="AJ102" s="55"/>
      <c r="AK102" s="55"/>
      <c r="AL102" s="55"/>
      <c r="AM102" s="55"/>
      <c r="AN102" s="55"/>
      <c r="AO102" s="55"/>
      <c r="AP102" s="55"/>
      <c r="AQ102" s="55"/>
      <c r="AR102" s="55"/>
      <c r="AS102" s="55"/>
      <c r="AT102" s="55"/>
      <c r="AU102" s="55"/>
      <c r="AV102" s="55"/>
      <c r="AW102" s="55"/>
      <c r="AX102" s="55"/>
      <c r="AY102" s="55"/>
      <c r="AZ102" s="55"/>
      <c r="BA102" s="55"/>
      <c r="BB102" s="55"/>
      <c r="BC102" s="55"/>
      <c r="BD102" s="55"/>
      <c r="BE102" s="55"/>
      <c r="BF102" s="55"/>
      <c r="CU102" s="390"/>
      <c r="CV102" s="396"/>
      <c r="CW102" s="396"/>
    </row>
    <row r="103" spans="1:103" s="58" customFormat="1" ht="15" thickBot="1" x14ac:dyDescent="0.25">
      <c r="A103" s="55"/>
      <c r="B103" s="401" t="s">
        <v>221</v>
      </c>
      <c r="C103" s="402"/>
      <c r="D103" s="403"/>
      <c r="E103" s="403"/>
      <c r="F103" s="403"/>
      <c r="G103" s="403"/>
      <c r="H103" s="1374"/>
      <c r="I103" s="264"/>
      <c r="J103" s="55"/>
      <c r="K103" s="55"/>
      <c r="L103" s="55"/>
      <c r="M103" s="55"/>
      <c r="N103" s="55"/>
      <c r="O103" s="55"/>
      <c r="P103" s="55"/>
      <c r="Q103" s="55"/>
      <c r="R103" s="55"/>
      <c r="S103" s="1546"/>
      <c r="T103" s="55"/>
      <c r="U103" s="55"/>
      <c r="V103" s="55"/>
      <c r="W103" s="55"/>
      <c r="X103" s="55"/>
      <c r="Y103" s="55"/>
      <c r="Z103" s="55"/>
      <c r="AA103" s="55"/>
      <c r="AB103" s="55"/>
      <c r="AC103" s="55"/>
      <c r="AD103" s="55"/>
      <c r="AE103" s="55"/>
      <c r="AF103" s="55"/>
      <c r="AG103" s="55"/>
      <c r="AH103" s="55"/>
      <c r="AI103" s="55"/>
      <c r="AJ103" s="55"/>
      <c r="AK103" s="55"/>
      <c r="AL103" s="55"/>
      <c r="AM103" s="55"/>
      <c r="AN103" s="55"/>
      <c r="AO103" s="55"/>
      <c r="AP103" s="55"/>
      <c r="AQ103" s="55"/>
      <c r="AR103" s="55"/>
      <c r="AS103" s="55"/>
      <c r="AT103" s="55"/>
      <c r="AU103" s="55"/>
      <c r="AV103" s="55"/>
      <c r="AW103" s="55"/>
      <c r="AX103" s="55"/>
      <c r="AY103" s="55"/>
      <c r="AZ103" s="55"/>
      <c r="BA103" s="55"/>
      <c r="BB103" s="55"/>
      <c r="BC103" s="55"/>
      <c r="BD103" s="55"/>
      <c r="BE103" s="55"/>
      <c r="BF103" s="55"/>
      <c r="CU103" s="390"/>
      <c r="CV103" s="396"/>
      <c r="CW103" s="396"/>
    </row>
    <row r="104" spans="1:103" s="58" customFormat="1" ht="15.75" thickTop="1" thickBot="1" x14ac:dyDescent="0.25">
      <c r="A104" s="55"/>
      <c r="B104" s="404"/>
      <c r="C104" s="1268" t="str">
        <f>IF($B$2="English",CW104,CV104)</f>
        <v>Gesamtentnahmen aller GründerInnen</v>
      </c>
      <c r="D104" s="405">
        <f>SUM(D98:D103)</f>
        <v>0</v>
      </c>
      <c r="E104" s="405">
        <f t="shared" ref="E104:H104" si="18">SUM(E98:E103)</f>
        <v>0</v>
      </c>
      <c r="F104" s="405">
        <f t="shared" si="18"/>
        <v>0</v>
      </c>
      <c r="G104" s="405">
        <f t="shared" si="18"/>
        <v>0</v>
      </c>
      <c r="H104" s="405">
        <f t="shared" si="18"/>
        <v>0</v>
      </c>
      <c r="I104" s="264"/>
      <c r="J104" s="55"/>
      <c r="K104" s="55"/>
      <c r="L104" s="55"/>
      <c r="M104" s="55"/>
      <c r="N104" s="55"/>
      <c r="O104" s="55"/>
      <c r="P104" s="55"/>
      <c r="Q104" s="55"/>
      <c r="R104" s="55"/>
      <c r="S104" s="122"/>
      <c r="T104" s="55"/>
      <c r="U104" s="55"/>
      <c r="V104" s="55"/>
      <c r="W104" s="55"/>
      <c r="X104" s="55"/>
      <c r="Y104" s="55"/>
      <c r="Z104" s="55"/>
      <c r="AA104" s="55"/>
      <c r="AB104" s="55"/>
      <c r="AC104" s="55"/>
      <c r="AD104" s="55"/>
      <c r="AE104" s="55"/>
      <c r="AF104" s="55"/>
      <c r="AG104" s="55"/>
      <c r="AH104" s="55"/>
      <c r="AI104" s="55"/>
      <c r="AJ104" s="55"/>
      <c r="AK104" s="55"/>
      <c r="AL104" s="55"/>
      <c r="AM104" s="55"/>
      <c r="AN104" s="55"/>
      <c r="AO104" s="55"/>
      <c r="AP104" s="55"/>
      <c r="AQ104" s="55"/>
      <c r="AR104" s="55"/>
      <c r="AS104" s="55"/>
      <c r="AT104" s="55"/>
      <c r="AU104" s="55"/>
      <c r="AV104" s="55"/>
      <c r="AW104" s="55"/>
      <c r="AX104" s="55"/>
      <c r="AY104" s="55"/>
      <c r="AZ104" s="55"/>
      <c r="BA104" s="55"/>
      <c r="BB104" s="55"/>
      <c r="BC104" s="55"/>
      <c r="BD104" s="55"/>
      <c r="BE104" s="55"/>
      <c r="BF104" s="55"/>
      <c r="CU104" s="390"/>
      <c r="CV104" s="406" t="s">
        <v>243</v>
      </c>
      <c r="CW104" s="406" t="s">
        <v>619</v>
      </c>
    </row>
    <row r="105" spans="1:103" s="58" customFormat="1" x14ac:dyDescent="0.2">
      <c r="A105" s="55"/>
      <c r="B105" s="1471" t="str">
        <f>IF($B$2="English",CW105,CV105)</f>
        <v>3) bei EinzelunternehmerInnen werden üblicherweise die pers. Ausgaben als Entnahme aus dem Unternehmergewinn die Liquiditätsberechnung einbezogen.</v>
      </c>
      <c r="C105" s="1364"/>
      <c r="D105" s="1365"/>
      <c r="E105" s="1365"/>
      <c r="F105" s="1365"/>
      <c r="G105" s="1365"/>
      <c r="H105" s="1365"/>
      <c r="I105" s="1366"/>
      <c r="J105" s="55"/>
      <c r="K105" s="55"/>
      <c r="L105" s="55"/>
      <c r="M105" s="55"/>
      <c r="N105" s="55"/>
      <c r="O105" s="55"/>
      <c r="P105" s="55"/>
      <c r="Q105" s="55"/>
      <c r="R105" s="55"/>
      <c r="S105" s="122"/>
      <c r="T105" s="55"/>
      <c r="U105" s="55"/>
      <c r="V105" s="55"/>
      <c r="W105" s="55"/>
      <c r="X105" s="55"/>
      <c r="Y105" s="55"/>
      <c r="Z105" s="55"/>
      <c r="AA105" s="55"/>
      <c r="AB105" s="55"/>
      <c r="AC105" s="55"/>
      <c r="AD105" s="55"/>
      <c r="AE105" s="55"/>
      <c r="AF105" s="55"/>
      <c r="AG105" s="55"/>
      <c r="AH105" s="55"/>
      <c r="AI105" s="55"/>
      <c r="AJ105" s="55"/>
      <c r="AK105" s="55"/>
      <c r="AL105" s="55"/>
      <c r="AM105" s="55"/>
      <c r="AN105" s="55"/>
      <c r="AO105" s="55"/>
      <c r="AP105" s="55"/>
      <c r="AQ105" s="55"/>
      <c r="AR105" s="55"/>
      <c r="AS105" s="55"/>
      <c r="AT105" s="55"/>
      <c r="AU105" s="55"/>
      <c r="AV105" s="55"/>
      <c r="AW105" s="55"/>
      <c r="AX105" s="55"/>
      <c r="AY105" s="55"/>
      <c r="AZ105" s="55"/>
      <c r="BA105" s="55"/>
      <c r="BB105" s="55"/>
      <c r="BC105" s="55"/>
      <c r="BD105" s="55"/>
      <c r="BE105" s="55"/>
      <c r="BF105" s="55"/>
      <c r="CU105" s="390"/>
      <c r="CV105" s="389" t="s">
        <v>659</v>
      </c>
      <c r="CW105" s="389" t="s">
        <v>665</v>
      </c>
      <c r="CY105" s="55"/>
    </row>
    <row r="106" spans="1:103" s="58" customFormat="1" x14ac:dyDescent="0.2">
      <c r="A106" s="55"/>
      <c r="B106" s="1471" t="str">
        <f t="shared" ref="B106:B108" si="19">IF($B$2="English",CW106,CV106)</f>
        <v xml:space="preserve">    Dazu müssen Sie die in Zeile 88 stehenden Werte in die Tabelle 1c händisch übertragen. In die Liquiditätstabelle wird der Wert aus Zeile 101 übernommen.</v>
      </c>
      <c r="C106" s="1364"/>
      <c r="D106" s="1365"/>
      <c r="E106" s="1365"/>
      <c r="F106" s="1365"/>
      <c r="G106" s="1365"/>
      <c r="H106" s="1365"/>
      <c r="I106" s="1366"/>
      <c r="J106" s="55"/>
      <c r="K106" s="55"/>
      <c r="L106" s="55"/>
      <c r="M106" s="55"/>
      <c r="N106" s="55"/>
      <c r="O106" s="55"/>
      <c r="P106" s="55"/>
      <c r="Q106" s="55"/>
      <c r="R106" s="55"/>
      <c r="S106" s="122"/>
      <c r="T106" s="55"/>
      <c r="U106" s="55"/>
      <c r="V106" s="55"/>
      <c r="W106" s="55"/>
      <c r="X106" s="55"/>
      <c r="Y106" s="55"/>
      <c r="Z106" s="55"/>
      <c r="AA106" s="55"/>
      <c r="AB106" s="55"/>
      <c r="AC106" s="55"/>
      <c r="AD106" s="55"/>
      <c r="AE106" s="55"/>
      <c r="AF106" s="55"/>
      <c r="AG106" s="55"/>
      <c r="AH106" s="55"/>
      <c r="AI106" s="55"/>
      <c r="AJ106" s="55"/>
      <c r="AK106" s="55"/>
      <c r="AL106" s="55"/>
      <c r="AM106" s="55"/>
      <c r="AN106" s="55"/>
      <c r="AO106" s="55"/>
      <c r="AP106" s="55"/>
      <c r="AQ106" s="55"/>
      <c r="AR106" s="55"/>
      <c r="AS106" s="55"/>
      <c r="AT106" s="55"/>
      <c r="AU106" s="55"/>
      <c r="AV106" s="55"/>
      <c r="AW106" s="55"/>
      <c r="AX106" s="55"/>
      <c r="AY106" s="55"/>
      <c r="AZ106" s="55"/>
      <c r="BA106" s="55"/>
      <c r="BB106" s="55"/>
      <c r="BC106" s="55"/>
      <c r="BD106" s="55"/>
      <c r="BE106" s="55"/>
      <c r="BF106" s="55"/>
      <c r="CU106" s="390"/>
      <c r="CV106" s="389" t="s">
        <v>656</v>
      </c>
      <c r="CW106" s="389" t="s">
        <v>640</v>
      </c>
      <c r="CY106" s="55"/>
    </row>
    <row r="107" spans="1:103" s="58" customFormat="1" x14ac:dyDescent="0.2">
      <c r="A107" s="55"/>
      <c r="B107" s="1471" t="str">
        <f t="shared" si="19"/>
        <v xml:space="preserve">      - Bei mehreren Gründern kann über Tabelle 1c eine Gesamtschau entwickelt und daraus eine "Aufteilung der Privatentnahmen" erzeugt werden</v>
      </c>
      <c r="C107" s="1364"/>
      <c r="D107" s="1365"/>
      <c r="E107" s="1365"/>
      <c r="F107" s="1365"/>
      <c r="G107" s="1365"/>
      <c r="H107" s="1365"/>
      <c r="I107" s="1366"/>
      <c r="J107" s="55"/>
      <c r="K107" s="55"/>
      <c r="L107" s="55"/>
      <c r="M107" s="55"/>
      <c r="N107" s="55"/>
      <c r="O107" s="55"/>
      <c r="P107" s="55"/>
      <c r="Q107" s="55"/>
      <c r="R107" s="55"/>
      <c r="S107" s="122"/>
      <c r="T107" s="55"/>
      <c r="U107" s="55"/>
      <c r="V107" s="55"/>
      <c r="W107" s="55"/>
      <c r="X107" s="55"/>
      <c r="Y107" s="55"/>
      <c r="Z107" s="55"/>
      <c r="AA107" s="55"/>
      <c r="AB107" s="55"/>
      <c r="AC107" s="55"/>
      <c r="AD107" s="55"/>
      <c r="AE107" s="55"/>
      <c r="AF107" s="55"/>
      <c r="AG107" s="55"/>
      <c r="AH107" s="55"/>
      <c r="AI107" s="55"/>
      <c r="AJ107" s="55"/>
      <c r="AK107" s="55"/>
      <c r="AL107" s="55"/>
      <c r="AM107" s="55"/>
      <c r="AN107" s="55"/>
      <c r="AO107" s="55"/>
      <c r="AP107" s="55"/>
      <c r="AQ107" s="55"/>
      <c r="AR107" s="55"/>
      <c r="AS107" s="55"/>
      <c r="AT107" s="55"/>
      <c r="AU107" s="55"/>
      <c r="AV107" s="55"/>
      <c r="AW107" s="55"/>
      <c r="AX107" s="55"/>
      <c r="AY107" s="55"/>
      <c r="AZ107" s="55"/>
      <c r="BA107" s="55"/>
      <c r="BB107" s="55"/>
      <c r="BC107" s="55"/>
      <c r="BD107" s="55"/>
      <c r="BE107" s="55"/>
      <c r="BF107" s="55"/>
      <c r="CU107" s="390"/>
      <c r="CV107" s="389" t="s">
        <v>244</v>
      </c>
      <c r="CW107" s="389" t="s">
        <v>735</v>
      </c>
      <c r="CY107" s="55"/>
    </row>
    <row r="108" spans="1:103" s="58" customFormat="1" x14ac:dyDescent="0.2">
      <c r="A108" s="55"/>
      <c r="B108" s="1471" t="str">
        <f t="shared" si="19"/>
        <v xml:space="preserve">        Auch bei mehreren GründerInnen werden die Werte aus Zeile 101 in die Tab. "6 Liquidität| Liquidity" übenrnommen.</v>
      </c>
      <c r="C108" s="1368"/>
      <c r="D108" s="1367"/>
      <c r="E108" s="1367"/>
      <c r="F108" s="1367"/>
      <c r="G108" s="1367"/>
      <c r="H108" s="1367"/>
      <c r="I108" s="1367"/>
      <c r="J108" s="55"/>
      <c r="K108" s="55"/>
      <c r="L108" s="55"/>
      <c r="M108" s="55"/>
      <c r="N108" s="55"/>
      <c r="O108" s="55"/>
      <c r="P108" s="55"/>
      <c r="Q108" s="55"/>
      <c r="R108" s="55"/>
      <c r="S108" s="122"/>
      <c r="T108" s="55"/>
      <c r="U108" s="55"/>
      <c r="V108" s="55"/>
      <c r="W108" s="55"/>
      <c r="X108" s="55"/>
      <c r="Y108" s="55"/>
      <c r="Z108" s="55"/>
      <c r="AA108" s="55"/>
      <c r="AB108" s="55"/>
      <c r="AC108" s="55"/>
      <c r="AD108" s="55"/>
      <c r="AE108" s="55"/>
      <c r="AF108" s="55"/>
      <c r="AG108" s="55"/>
      <c r="AH108" s="55"/>
      <c r="AI108" s="55"/>
      <c r="AJ108" s="55"/>
      <c r="AK108" s="55"/>
      <c r="AL108" s="55"/>
      <c r="AM108" s="55"/>
      <c r="AN108" s="55"/>
      <c r="AO108" s="55"/>
      <c r="AP108" s="55"/>
      <c r="AQ108" s="55"/>
      <c r="AR108" s="55"/>
      <c r="AS108" s="55"/>
      <c r="AT108" s="55"/>
      <c r="AU108" s="55"/>
      <c r="AV108" s="55"/>
      <c r="AW108" s="55"/>
      <c r="AX108" s="55"/>
      <c r="AY108" s="55"/>
      <c r="AZ108" s="55"/>
      <c r="BA108" s="55"/>
      <c r="BB108" s="55"/>
      <c r="BC108" s="55"/>
      <c r="BD108" s="55"/>
      <c r="BE108" s="55"/>
      <c r="BF108" s="55"/>
      <c r="CU108" s="390"/>
      <c r="CV108" s="389" t="s">
        <v>738</v>
      </c>
      <c r="CW108" s="389" t="s">
        <v>734</v>
      </c>
      <c r="CY108" s="55"/>
    </row>
    <row r="109" spans="1:103" s="55" customFormat="1" x14ac:dyDescent="0.2">
      <c r="S109" s="122"/>
      <c r="CU109" s="407"/>
      <c r="CV109" s="416"/>
      <c r="CW109" s="1474"/>
    </row>
    <row r="110" spans="1:103" s="58" customFormat="1" ht="18.75" thickBot="1" x14ac:dyDescent="0.25">
      <c r="A110" s="55"/>
      <c r="B110" s="311" t="str">
        <f>IF($B$2="English",CW110,CV110)</f>
        <v>Anhang zu Tab 1b</v>
      </c>
      <c r="C110" s="408"/>
      <c r="D110" s="409"/>
      <c r="E110" s="409"/>
      <c r="F110" s="409"/>
      <c r="G110" s="409"/>
      <c r="H110" s="409"/>
      <c r="I110" s="155"/>
      <c r="J110" s="55"/>
      <c r="K110" s="55"/>
      <c r="L110" s="55"/>
      <c r="M110" s="55"/>
      <c r="N110" s="55"/>
      <c r="O110" s="55"/>
      <c r="P110" s="55"/>
      <c r="Q110" s="55"/>
      <c r="R110" s="55"/>
      <c r="S110" s="122"/>
      <c r="T110" s="55"/>
      <c r="U110" s="55"/>
      <c r="V110" s="55"/>
      <c r="W110" s="55"/>
      <c r="X110" s="55"/>
      <c r="Y110" s="55"/>
      <c r="Z110" s="55"/>
      <c r="AA110" s="55"/>
      <c r="AB110" s="55"/>
      <c r="AC110" s="55"/>
      <c r="AD110" s="55"/>
      <c r="AE110" s="55"/>
      <c r="AF110" s="55"/>
      <c r="AG110" s="55"/>
      <c r="AH110" s="55"/>
      <c r="AI110" s="55"/>
      <c r="AJ110" s="55"/>
      <c r="AK110" s="55"/>
      <c r="AL110" s="55"/>
      <c r="AM110" s="55"/>
      <c r="AN110" s="55"/>
      <c r="AO110" s="55"/>
      <c r="AP110" s="55"/>
      <c r="AQ110" s="55"/>
      <c r="AR110" s="55"/>
      <c r="AS110" s="55"/>
      <c r="AT110" s="55"/>
      <c r="AU110" s="55"/>
      <c r="AV110" s="55"/>
      <c r="AW110" s="55"/>
      <c r="AX110" s="55"/>
      <c r="AY110" s="55"/>
      <c r="AZ110" s="55"/>
      <c r="BA110" s="55"/>
      <c r="BB110" s="55"/>
      <c r="BC110" s="55"/>
      <c r="BD110" s="55"/>
      <c r="BE110" s="55"/>
      <c r="BF110" s="55"/>
      <c r="CV110" s="416" t="s">
        <v>245</v>
      </c>
      <c r="CW110" s="416" t="s">
        <v>385</v>
      </c>
    </row>
    <row r="111" spans="1:103" s="58" customFormat="1" ht="15" thickBot="1" x14ac:dyDescent="0.25">
      <c r="A111" s="55"/>
      <c r="B111" s="380"/>
      <c r="C111" s="1554" t="str">
        <f>IF($B$2="English",CW111,CV111)</f>
        <v>Abschätzung der Einkommensteuer  4)</v>
      </c>
      <c r="D111" s="227">
        <f ca="1">C4</f>
        <v>2017</v>
      </c>
      <c r="E111" s="227">
        <f ca="1">D111+1</f>
        <v>2018</v>
      </c>
      <c r="F111" s="227">
        <f ca="1">E111+1</f>
        <v>2019</v>
      </c>
      <c r="G111" s="227">
        <f ca="1">F111+1</f>
        <v>2020</v>
      </c>
      <c r="H111" s="228">
        <f ca="1">G111+1</f>
        <v>2021</v>
      </c>
      <c r="I111" s="155"/>
      <c r="J111" s="55"/>
      <c r="K111" s="55"/>
      <c r="L111" s="55"/>
      <c r="M111" s="55"/>
      <c r="N111" s="55"/>
      <c r="O111" s="55"/>
      <c r="P111" s="55"/>
      <c r="Q111" s="55"/>
      <c r="R111" s="55"/>
      <c r="S111" s="122"/>
      <c r="T111" s="55"/>
      <c r="U111" s="55"/>
      <c r="V111" s="55"/>
      <c r="W111" s="55"/>
      <c r="X111" s="55"/>
      <c r="Y111" s="55"/>
      <c r="Z111" s="55"/>
      <c r="AA111" s="55"/>
      <c r="AB111" s="55"/>
      <c r="AC111" s="55"/>
      <c r="AD111" s="55"/>
      <c r="AE111" s="55"/>
      <c r="AF111" s="55"/>
      <c r="AG111" s="55"/>
      <c r="AH111" s="55"/>
      <c r="AI111" s="55"/>
      <c r="AJ111" s="55"/>
      <c r="AK111" s="55"/>
      <c r="AL111" s="55"/>
      <c r="AM111" s="55"/>
      <c r="AN111" s="55"/>
      <c r="AO111" s="55"/>
      <c r="AP111" s="55"/>
      <c r="AQ111" s="55"/>
      <c r="AR111" s="55"/>
      <c r="AS111" s="55"/>
      <c r="AT111" s="55"/>
      <c r="AU111" s="55"/>
      <c r="AV111" s="55"/>
      <c r="AW111" s="55"/>
      <c r="AX111" s="55"/>
      <c r="AY111" s="55"/>
      <c r="AZ111" s="55"/>
      <c r="BA111" s="55"/>
      <c r="BB111" s="55"/>
      <c r="BC111" s="55"/>
      <c r="BD111" s="55"/>
      <c r="BE111" s="55"/>
      <c r="BF111" s="55"/>
      <c r="CU111" s="411"/>
      <c r="CV111" s="1472" t="s">
        <v>736</v>
      </c>
      <c r="CW111" s="1472" t="s">
        <v>737</v>
      </c>
    </row>
    <row r="112" spans="1:103" s="58" customFormat="1" ht="15" thickBot="1" x14ac:dyDescent="0.25">
      <c r="A112" s="55"/>
      <c r="B112" s="412"/>
      <c r="C112" s="413" t="str">
        <f>IF($B$2="English",CW112,CV112)</f>
        <v>Grundlage dafür sind Gesamtausgaben</v>
      </c>
      <c r="D112" s="414">
        <v>3900</v>
      </c>
      <c r="E112" s="414">
        <v>4200</v>
      </c>
      <c r="F112" s="414">
        <v>4250</v>
      </c>
      <c r="G112" s="414">
        <v>4300</v>
      </c>
      <c r="H112" s="414">
        <v>4350</v>
      </c>
      <c r="I112" s="142"/>
      <c r="J112" s="55"/>
      <c r="K112" s="55"/>
      <c r="L112" s="55"/>
      <c r="M112" s="55"/>
      <c r="N112" s="55"/>
      <c r="O112" s="55"/>
      <c r="P112" s="55"/>
      <c r="Q112" s="55"/>
      <c r="R112" s="55"/>
      <c r="S112" s="1546"/>
      <c r="T112" s="55"/>
      <c r="U112" s="55"/>
      <c r="V112" s="55"/>
      <c r="W112" s="55"/>
      <c r="X112" s="55"/>
      <c r="Y112" s="55"/>
      <c r="Z112" s="55"/>
      <c r="AA112" s="55"/>
      <c r="AB112" s="55"/>
      <c r="AC112" s="55"/>
      <c r="AD112" s="55"/>
      <c r="AE112" s="55"/>
      <c r="AF112" s="55"/>
      <c r="AG112" s="55"/>
      <c r="AH112" s="55"/>
      <c r="AI112" s="55"/>
      <c r="AJ112" s="55"/>
      <c r="AK112" s="55"/>
      <c r="AL112" s="55"/>
      <c r="AM112" s="55"/>
      <c r="AN112" s="55"/>
      <c r="AO112" s="55"/>
      <c r="AP112" s="55"/>
      <c r="AQ112" s="55"/>
      <c r="AR112" s="55"/>
      <c r="AS112" s="55"/>
      <c r="AT112" s="55"/>
      <c r="AU112" s="55"/>
      <c r="AV112" s="55"/>
      <c r="AW112" s="55"/>
      <c r="AX112" s="55"/>
      <c r="AY112" s="55"/>
      <c r="AZ112" s="55"/>
      <c r="BA112" s="55"/>
      <c r="BB112" s="55"/>
      <c r="BC112" s="55"/>
      <c r="BD112" s="55"/>
      <c r="BE112" s="55"/>
      <c r="BF112" s="55"/>
      <c r="CU112" s="407"/>
      <c r="CV112" s="1473" t="s">
        <v>386</v>
      </c>
      <c r="CW112" s="1473" t="s">
        <v>387</v>
      </c>
    </row>
    <row r="113" spans="2:101" s="219" customFormat="1" x14ac:dyDescent="0.2">
      <c r="B113" s="1471" t="str">
        <f>IF($B$2="English",CW113,CV113)</f>
        <v>4)  Die EkSt. im Angestelltenverhältnis erhöht die Privatausgaben</v>
      </c>
      <c r="C113" s="415"/>
      <c r="R113" s="55"/>
      <c r="S113" s="220" t="s">
        <v>251</v>
      </c>
      <c r="CU113" s="222"/>
      <c r="CV113" s="416" t="s">
        <v>257</v>
      </c>
      <c r="CW113" s="416" t="s">
        <v>732</v>
      </c>
    </row>
    <row r="114" spans="2:101" s="219" customFormat="1" x14ac:dyDescent="0.2">
      <c r="B114" s="1471" t="str">
        <f>IF($B$2="English",CW114,CV114)</f>
        <v xml:space="preserve">     EkSt. auf die Privatentnahmen wird bei Unternehmensformen die keine Kapitalgesellschaft sind aus dem Gesamtgewinn ermittelt und in der Liquiditätsberechnung berücksichtigt.</v>
      </c>
      <c r="C114" s="415"/>
      <c r="R114" s="55"/>
      <c r="CU114" s="222"/>
      <c r="CV114" s="416" t="s">
        <v>731</v>
      </c>
      <c r="CW114" s="416" t="s">
        <v>733</v>
      </c>
    </row>
    <row r="115" spans="2:101" s="219" customFormat="1" x14ac:dyDescent="0.2">
      <c r="B115" s="417" t="s">
        <v>730</v>
      </c>
      <c r="D115" s="229"/>
      <c r="E115" s="229"/>
      <c r="F115" s="229"/>
      <c r="G115" s="229"/>
      <c r="H115" s="229"/>
      <c r="R115" s="55"/>
      <c r="CU115" s="355"/>
      <c r="CV115" s="418" t="s">
        <v>234</v>
      </c>
      <c r="CW115" s="418" t="s">
        <v>729</v>
      </c>
    </row>
    <row r="116" spans="2:101" s="219" customFormat="1" x14ac:dyDescent="0.2">
      <c r="B116" s="229"/>
      <c r="D116" s="229"/>
      <c r="E116" s="229"/>
      <c r="F116" s="229"/>
      <c r="G116" s="229"/>
      <c r="H116" s="229"/>
      <c r="R116" s="55"/>
      <c r="CU116" s="355"/>
      <c r="CV116" s="223"/>
      <c r="CW116" s="223"/>
    </row>
    <row r="117" spans="2:101" s="220" customFormat="1" x14ac:dyDescent="0.2">
      <c r="C117" s="419"/>
      <c r="E117" s="420">
        <v>0.5</v>
      </c>
      <c r="F117" s="420">
        <v>0.6</v>
      </c>
      <c r="G117" s="420"/>
      <c r="H117" s="420"/>
      <c r="I117" s="420"/>
      <c r="J117" s="420"/>
      <c r="K117" s="420"/>
      <c r="L117" s="420"/>
      <c r="M117" s="420"/>
      <c r="N117" s="420"/>
      <c r="O117" s="420"/>
      <c r="P117" s="421"/>
      <c r="Q117" s="421"/>
      <c r="R117" s="96"/>
      <c r="CU117" s="355"/>
      <c r="CV117" s="363"/>
      <c r="CW117" s="363"/>
    </row>
    <row r="118" spans="2:101" s="219" customFormat="1" x14ac:dyDescent="0.2">
      <c r="C118" s="415"/>
      <c r="G118" s="420"/>
      <c r="P118" s="221"/>
      <c r="Q118" s="221"/>
      <c r="R118" s="55"/>
      <c r="CU118" s="355"/>
      <c r="CV118" s="363"/>
      <c r="CW118" s="363"/>
    </row>
    <row r="119" spans="2:101" s="219" customFormat="1" x14ac:dyDescent="0.2">
      <c r="C119" s="415"/>
      <c r="G119" s="420"/>
      <c r="P119" s="221"/>
      <c r="Q119" s="221"/>
      <c r="R119" s="55"/>
      <c r="CU119" s="355"/>
      <c r="CV119" s="363"/>
      <c r="CW119" s="363"/>
    </row>
    <row r="120" spans="2:101" s="219" customFormat="1" x14ac:dyDescent="0.2">
      <c r="C120" s="415"/>
      <c r="G120" s="420"/>
      <c r="P120" s="221"/>
      <c r="Q120" s="221"/>
      <c r="R120" s="55"/>
      <c r="CU120" s="355"/>
      <c r="CV120" s="363"/>
      <c r="CW120" s="363"/>
    </row>
    <row r="121" spans="2:101" s="219" customFormat="1" x14ac:dyDescent="0.2">
      <c r="C121" s="415"/>
      <c r="G121" s="420"/>
      <c r="P121" s="221"/>
      <c r="Q121" s="221"/>
      <c r="R121" s="55"/>
      <c r="CU121" s="355"/>
      <c r="CV121" s="363"/>
      <c r="CW121" s="363"/>
    </row>
    <row r="122" spans="2:101" s="219" customFormat="1" x14ac:dyDescent="0.2">
      <c r="C122" s="415"/>
      <c r="G122" s="420"/>
      <c r="P122" s="221"/>
      <c r="Q122" s="221"/>
      <c r="R122" s="55"/>
      <c r="CU122" s="355"/>
      <c r="CV122" s="363"/>
      <c r="CW122" s="363"/>
    </row>
    <row r="123" spans="2:101" s="219" customFormat="1" x14ac:dyDescent="0.2">
      <c r="C123" s="415"/>
      <c r="P123" s="221"/>
      <c r="Q123" s="221"/>
      <c r="R123" s="55"/>
      <c r="CU123" s="355"/>
      <c r="CV123" s="363"/>
      <c r="CW123" s="363"/>
    </row>
    <row r="124" spans="2:101" s="219" customFormat="1" x14ac:dyDescent="0.2">
      <c r="C124" s="415"/>
      <c r="P124" s="221"/>
      <c r="Q124" s="221"/>
      <c r="R124" s="55"/>
      <c r="CU124" s="355"/>
      <c r="CV124" s="363"/>
      <c r="CW124" s="363"/>
    </row>
    <row r="125" spans="2:101" s="219" customFormat="1" x14ac:dyDescent="0.2">
      <c r="C125" s="415"/>
      <c r="P125" s="221"/>
      <c r="Q125" s="221"/>
      <c r="R125" s="55"/>
      <c r="CU125" s="355"/>
      <c r="CV125" s="363"/>
      <c r="CW125" s="363"/>
    </row>
    <row r="126" spans="2:101" s="219" customFormat="1" x14ac:dyDescent="0.2">
      <c r="C126" s="415"/>
      <c r="P126" s="221"/>
      <c r="Q126" s="221"/>
      <c r="R126" s="55"/>
      <c r="CU126" s="355"/>
      <c r="CV126" s="363"/>
      <c r="CW126" s="363"/>
    </row>
    <row r="127" spans="2:101" s="219" customFormat="1" x14ac:dyDescent="0.2">
      <c r="C127" s="415"/>
      <c r="P127" s="221"/>
      <c r="Q127" s="221"/>
      <c r="R127" s="55"/>
      <c r="CU127" s="355"/>
      <c r="CV127" s="363"/>
      <c r="CW127" s="363"/>
    </row>
    <row r="128" spans="2:101" s="219" customFormat="1" x14ac:dyDescent="0.2">
      <c r="C128" s="415"/>
      <c r="P128" s="221"/>
      <c r="Q128" s="221"/>
      <c r="R128" s="55"/>
      <c r="CU128" s="355"/>
      <c r="CV128" s="363"/>
      <c r="CW128" s="363"/>
    </row>
    <row r="129" spans="3:101" s="219" customFormat="1" x14ac:dyDescent="0.2">
      <c r="C129" s="415"/>
      <c r="P129" s="221"/>
      <c r="Q129" s="221"/>
      <c r="R129" s="55"/>
      <c r="CU129" s="355"/>
      <c r="CV129" s="363"/>
      <c r="CW129" s="363"/>
    </row>
    <row r="130" spans="3:101" s="219" customFormat="1" x14ac:dyDescent="0.2">
      <c r="C130" s="415"/>
      <c r="P130" s="221"/>
      <c r="Q130" s="221"/>
      <c r="R130" s="55"/>
      <c r="CU130" s="355"/>
      <c r="CV130" s="363"/>
      <c r="CW130" s="363"/>
    </row>
    <row r="131" spans="3:101" s="219" customFormat="1" x14ac:dyDescent="0.2">
      <c r="C131" s="415"/>
      <c r="P131" s="221"/>
      <c r="Q131" s="221"/>
      <c r="R131" s="55"/>
      <c r="CU131" s="355"/>
      <c r="CV131" s="363"/>
      <c r="CW131" s="363"/>
    </row>
    <row r="132" spans="3:101" s="219" customFormat="1" x14ac:dyDescent="0.2">
      <c r="C132" s="415"/>
      <c r="P132" s="221"/>
      <c r="Q132" s="221"/>
      <c r="R132" s="55"/>
      <c r="CU132" s="355"/>
      <c r="CV132" s="363"/>
      <c r="CW132" s="363"/>
    </row>
    <row r="133" spans="3:101" s="219" customFormat="1" x14ac:dyDescent="0.2">
      <c r="C133" s="415"/>
      <c r="P133" s="221"/>
      <c r="Q133" s="221"/>
      <c r="R133" s="55"/>
      <c r="CU133" s="355"/>
      <c r="CV133" s="363"/>
      <c r="CW133" s="363"/>
    </row>
    <row r="134" spans="3:101" s="219" customFormat="1" x14ac:dyDescent="0.2">
      <c r="C134" s="415"/>
      <c r="P134" s="221"/>
      <c r="Q134" s="221"/>
      <c r="R134" s="55"/>
      <c r="CU134" s="355"/>
      <c r="CV134" s="363"/>
      <c r="CW134" s="363"/>
    </row>
    <row r="135" spans="3:101" s="219" customFormat="1" x14ac:dyDescent="0.2">
      <c r="C135" s="415"/>
      <c r="P135" s="221"/>
      <c r="Q135" s="221"/>
      <c r="R135" s="55"/>
      <c r="CU135" s="355"/>
      <c r="CV135" s="363"/>
      <c r="CW135" s="363"/>
    </row>
    <row r="136" spans="3:101" s="219" customFormat="1" x14ac:dyDescent="0.2">
      <c r="C136" s="415"/>
      <c r="P136" s="221"/>
      <c r="Q136" s="221"/>
      <c r="R136" s="55"/>
      <c r="CU136" s="355"/>
      <c r="CV136" s="363"/>
      <c r="CW136" s="363"/>
    </row>
    <row r="137" spans="3:101" s="219" customFormat="1" x14ac:dyDescent="0.2">
      <c r="C137" s="415"/>
      <c r="P137" s="221"/>
      <c r="Q137" s="221"/>
      <c r="R137" s="55"/>
      <c r="CU137" s="355"/>
      <c r="CV137" s="363"/>
      <c r="CW137" s="363"/>
    </row>
    <row r="138" spans="3:101" s="219" customFormat="1" x14ac:dyDescent="0.2">
      <c r="C138" s="415"/>
      <c r="P138" s="221"/>
      <c r="Q138" s="221"/>
      <c r="R138" s="55"/>
      <c r="CU138" s="355"/>
      <c r="CV138" s="363"/>
      <c r="CW138" s="363"/>
    </row>
    <row r="139" spans="3:101" s="219" customFormat="1" x14ac:dyDescent="0.2">
      <c r="C139" s="415"/>
      <c r="P139" s="221"/>
      <c r="Q139" s="221"/>
      <c r="R139" s="55"/>
      <c r="CU139" s="355"/>
      <c r="CV139" s="363"/>
      <c r="CW139" s="363"/>
    </row>
    <row r="140" spans="3:101" s="219" customFormat="1" x14ac:dyDescent="0.2">
      <c r="C140" s="415"/>
      <c r="P140" s="221"/>
      <c r="Q140" s="221"/>
      <c r="R140" s="55"/>
      <c r="CU140" s="355"/>
      <c r="CV140" s="363"/>
      <c r="CW140" s="363"/>
    </row>
    <row r="141" spans="3:101" s="219" customFormat="1" x14ac:dyDescent="0.2">
      <c r="C141" s="415"/>
      <c r="P141" s="221"/>
      <c r="Q141" s="221"/>
      <c r="R141" s="55"/>
      <c r="CU141" s="355"/>
      <c r="CV141" s="363"/>
      <c r="CW141" s="363"/>
    </row>
    <row r="142" spans="3:101" s="219" customFormat="1" x14ac:dyDescent="0.2">
      <c r="C142" s="415"/>
      <c r="P142" s="221"/>
      <c r="Q142" s="221"/>
      <c r="R142" s="55"/>
      <c r="CU142" s="355"/>
      <c r="CV142" s="363"/>
      <c r="CW142" s="363"/>
    </row>
    <row r="143" spans="3:101" s="219" customFormat="1" x14ac:dyDescent="0.2">
      <c r="C143" s="415"/>
      <c r="P143" s="221"/>
      <c r="Q143" s="221"/>
      <c r="R143" s="55"/>
      <c r="CU143" s="355"/>
      <c r="CV143" s="363"/>
      <c r="CW143" s="363"/>
    </row>
    <row r="144" spans="3:101" s="219" customFormat="1" x14ac:dyDescent="0.2">
      <c r="C144" s="415"/>
      <c r="P144" s="221"/>
      <c r="Q144" s="221"/>
      <c r="R144" s="55"/>
      <c r="CU144" s="355"/>
      <c r="CV144" s="363"/>
      <c r="CW144" s="363"/>
    </row>
    <row r="145" spans="3:101" s="219" customFormat="1" x14ac:dyDescent="0.2">
      <c r="C145" s="415"/>
      <c r="P145" s="221"/>
      <c r="Q145" s="221"/>
      <c r="R145" s="55"/>
      <c r="CU145" s="355"/>
      <c r="CV145" s="363"/>
      <c r="CW145" s="363"/>
    </row>
    <row r="146" spans="3:101" s="219" customFormat="1" x14ac:dyDescent="0.2">
      <c r="C146" s="415"/>
      <c r="P146" s="221"/>
      <c r="Q146" s="221"/>
      <c r="R146" s="55"/>
      <c r="CU146" s="355"/>
      <c r="CV146" s="363"/>
      <c r="CW146" s="363"/>
    </row>
    <row r="147" spans="3:101" s="219" customFormat="1" x14ac:dyDescent="0.2">
      <c r="C147" s="415"/>
      <c r="P147" s="221"/>
      <c r="Q147" s="221"/>
      <c r="R147" s="55"/>
      <c r="CU147" s="355"/>
      <c r="CV147" s="363"/>
      <c r="CW147" s="363"/>
    </row>
    <row r="148" spans="3:101" s="219" customFormat="1" x14ac:dyDescent="0.2">
      <c r="C148" s="415"/>
      <c r="P148" s="221"/>
      <c r="Q148" s="221"/>
      <c r="R148" s="55"/>
      <c r="CU148" s="355"/>
      <c r="CV148" s="363"/>
      <c r="CW148" s="363"/>
    </row>
    <row r="149" spans="3:101" s="219" customFormat="1" x14ac:dyDescent="0.2">
      <c r="C149" s="415"/>
      <c r="P149" s="221"/>
      <c r="Q149" s="221"/>
      <c r="R149" s="55"/>
      <c r="CU149" s="355"/>
      <c r="CV149" s="363"/>
      <c r="CW149" s="363"/>
    </row>
    <row r="150" spans="3:101" s="219" customFormat="1" x14ac:dyDescent="0.2">
      <c r="C150" s="415"/>
      <c r="P150" s="221"/>
      <c r="Q150" s="221"/>
      <c r="R150" s="55"/>
      <c r="CU150" s="355"/>
      <c r="CV150" s="363"/>
      <c r="CW150" s="363"/>
    </row>
    <row r="151" spans="3:101" s="219" customFormat="1" x14ac:dyDescent="0.2">
      <c r="C151" s="415"/>
      <c r="P151" s="221"/>
      <c r="Q151" s="221"/>
      <c r="R151" s="55"/>
      <c r="CU151" s="355"/>
      <c r="CV151" s="363"/>
      <c r="CW151" s="363"/>
    </row>
    <row r="152" spans="3:101" s="219" customFormat="1" x14ac:dyDescent="0.2">
      <c r="C152" s="415"/>
      <c r="P152" s="221"/>
      <c r="Q152" s="221"/>
      <c r="R152" s="55"/>
      <c r="CU152" s="355"/>
      <c r="CV152" s="363"/>
      <c r="CW152" s="363"/>
    </row>
    <row r="153" spans="3:101" s="219" customFormat="1" x14ac:dyDescent="0.2">
      <c r="C153" s="415"/>
      <c r="P153" s="221"/>
      <c r="Q153" s="221"/>
      <c r="R153" s="55"/>
      <c r="CU153" s="355"/>
      <c r="CV153" s="363"/>
      <c r="CW153" s="363"/>
    </row>
    <row r="154" spans="3:101" s="219" customFormat="1" x14ac:dyDescent="0.2">
      <c r="C154" s="415"/>
      <c r="P154" s="221"/>
      <c r="Q154" s="221"/>
      <c r="R154" s="55"/>
      <c r="CU154" s="355"/>
      <c r="CV154" s="363"/>
      <c r="CW154" s="363"/>
    </row>
    <row r="155" spans="3:101" s="219" customFormat="1" x14ac:dyDescent="0.2">
      <c r="C155" s="415"/>
      <c r="P155" s="221"/>
      <c r="Q155" s="221"/>
      <c r="R155" s="55"/>
      <c r="CU155" s="355"/>
      <c r="CV155" s="363"/>
      <c r="CW155" s="363"/>
    </row>
    <row r="156" spans="3:101" s="219" customFormat="1" x14ac:dyDescent="0.2">
      <c r="C156" s="415"/>
      <c r="P156" s="221"/>
      <c r="Q156" s="221"/>
      <c r="R156" s="55"/>
      <c r="CU156" s="355"/>
      <c r="CV156" s="363"/>
      <c r="CW156" s="363"/>
    </row>
    <row r="157" spans="3:101" s="219" customFormat="1" x14ac:dyDescent="0.2">
      <c r="C157" s="415"/>
      <c r="P157" s="221"/>
      <c r="Q157" s="221"/>
      <c r="R157" s="55"/>
      <c r="CU157" s="355"/>
      <c r="CV157" s="363"/>
      <c r="CW157" s="363"/>
    </row>
    <row r="158" spans="3:101" s="219" customFormat="1" x14ac:dyDescent="0.2">
      <c r="C158" s="415"/>
      <c r="P158" s="221"/>
      <c r="Q158" s="221"/>
      <c r="R158" s="55"/>
      <c r="CU158" s="355"/>
      <c r="CV158" s="363"/>
      <c r="CW158" s="363"/>
    </row>
    <row r="159" spans="3:101" s="219" customFormat="1" x14ac:dyDescent="0.2">
      <c r="C159" s="415"/>
      <c r="P159" s="221"/>
      <c r="Q159" s="221"/>
      <c r="R159" s="55"/>
      <c r="CU159" s="355"/>
      <c r="CV159" s="363"/>
      <c r="CW159" s="363"/>
    </row>
    <row r="160" spans="3:101" s="219" customFormat="1" x14ac:dyDescent="0.2">
      <c r="C160" s="415"/>
      <c r="P160" s="221"/>
      <c r="Q160" s="221"/>
      <c r="R160" s="55"/>
      <c r="CU160" s="355"/>
      <c r="CV160" s="363"/>
      <c r="CW160" s="363"/>
    </row>
    <row r="161" spans="3:101" s="219" customFormat="1" x14ac:dyDescent="0.2">
      <c r="C161" s="415"/>
      <c r="P161" s="221"/>
      <c r="Q161" s="221"/>
      <c r="R161" s="55"/>
      <c r="CU161" s="355"/>
      <c r="CV161" s="363"/>
      <c r="CW161" s="363"/>
    </row>
    <row r="162" spans="3:101" s="219" customFormat="1" x14ac:dyDescent="0.2">
      <c r="C162" s="415"/>
      <c r="P162" s="221"/>
      <c r="Q162" s="221"/>
      <c r="R162" s="55"/>
      <c r="CU162" s="355"/>
      <c r="CV162" s="363"/>
      <c r="CW162" s="363"/>
    </row>
    <row r="163" spans="3:101" s="219" customFormat="1" x14ac:dyDescent="0.2">
      <c r="C163" s="415"/>
      <c r="P163" s="221"/>
      <c r="Q163" s="221"/>
      <c r="R163" s="55"/>
      <c r="CU163" s="355"/>
      <c r="CV163" s="363"/>
      <c r="CW163" s="363"/>
    </row>
    <row r="164" spans="3:101" s="219" customFormat="1" x14ac:dyDescent="0.2">
      <c r="C164" s="415"/>
      <c r="P164" s="221"/>
      <c r="Q164" s="221"/>
      <c r="R164" s="55"/>
      <c r="CU164" s="355"/>
      <c r="CV164" s="363"/>
      <c r="CW164" s="363"/>
    </row>
    <row r="165" spans="3:101" s="219" customFormat="1" x14ac:dyDescent="0.2">
      <c r="C165" s="415"/>
      <c r="P165" s="221"/>
      <c r="Q165" s="221"/>
      <c r="R165" s="55"/>
      <c r="CU165" s="355"/>
      <c r="CV165" s="363"/>
      <c r="CW165" s="363"/>
    </row>
    <row r="166" spans="3:101" s="219" customFormat="1" x14ac:dyDescent="0.2">
      <c r="C166" s="415"/>
      <c r="P166" s="221"/>
      <c r="Q166" s="221"/>
      <c r="R166" s="55"/>
      <c r="CU166" s="355"/>
      <c r="CV166" s="363"/>
      <c r="CW166" s="363"/>
    </row>
    <row r="167" spans="3:101" s="219" customFormat="1" x14ac:dyDescent="0.2">
      <c r="C167" s="415"/>
      <c r="P167" s="221"/>
      <c r="Q167" s="221"/>
      <c r="R167" s="55"/>
      <c r="CU167" s="355"/>
      <c r="CV167" s="363"/>
      <c r="CW167" s="363"/>
    </row>
    <row r="168" spans="3:101" s="219" customFormat="1" x14ac:dyDescent="0.2">
      <c r="C168" s="415"/>
      <c r="P168" s="221"/>
      <c r="Q168" s="221"/>
      <c r="R168" s="55"/>
      <c r="CU168" s="355"/>
      <c r="CV168" s="363"/>
      <c r="CW168" s="363"/>
    </row>
    <row r="169" spans="3:101" s="219" customFormat="1" x14ac:dyDescent="0.2">
      <c r="C169" s="415"/>
      <c r="P169" s="221"/>
      <c r="Q169" s="221"/>
      <c r="R169" s="55"/>
      <c r="CU169" s="355"/>
      <c r="CV169" s="363"/>
      <c r="CW169" s="363"/>
    </row>
    <row r="170" spans="3:101" s="219" customFormat="1" x14ac:dyDescent="0.2">
      <c r="C170" s="415"/>
      <c r="P170" s="221"/>
      <c r="Q170" s="221"/>
      <c r="R170" s="55"/>
      <c r="CU170" s="355"/>
      <c r="CV170" s="363"/>
      <c r="CW170" s="363"/>
    </row>
    <row r="171" spans="3:101" s="219" customFormat="1" x14ac:dyDescent="0.2">
      <c r="C171" s="415"/>
      <c r="P171" s="221"/>
      <c r="Q171" s="221"/>
      <c r="R171" s="55"/>
      <c r="CU171" s="355"/>
      <c r="CV171" s="363"/>
      <c r="CW171" s="363"/>
    </row>
    <row r="172" spans="3:101" s="219" customFormat="1" x14ac:dyDescent="0.2">
      <c r="C172" s="415"/>
      <c r="P172" s="221"/>
      <c r="Q172" s="221"/>
      <c r="R172" s="55"/>
      <c r="CU172" s="355"/>
      <c r="CV172" s="363"/>
      <c r="CW172" s="363"/>
    </row>
    <row r="173" spans="3:101" s="219" customFormat="1" x14ac:dyDescent="0.2">
      <c r="C173" s="415"/>
      <c r="P173" s="221"/>
      <c r="Q173" s="221"/>
      <c r="R173" s="55"/>
      <c r="CU173" s="355"/>
      <c r="CV173" s="363"/>
      <c r="CW173" s="363"/>
    </row>
    <row r="174" spans="3:101" s="219" customFormat="1" x14ac:dyDescent="0.2">
      <c r="C174" s="415"/>
      <c r="P174" s="221"/>
      <c r="Q174" s="221"/>
      <c r="R174" s="55"/>
      <c r="CU174" s="355"/>
      <c r="CV174" s="363"/>
      <c r="CW174" s="363"/>
    </row>
    <row r="175" spans="3:101" s="219" customFormat="1" x14ac:dyDescent="0.2">
      <c r="C175" s="415"/>
      <c r="P175" s="221"/>
      <c r="Q175" s="221"/>
      <c r="R175" s="55"/>
      <c r="CU175" s="355"/>
      <c r="CV175" s="363"/>
      <c r="CW175" s="363"/>
    </row>
    <row r="176" spans="3:101" s="219" customFormat="1" x14ac:dyDescent="0.2">
      <c r="C176" s="415"/>
      <c r="P176" s="221"/>
      <c r="Q176" s="221"/>
      <c r="R176" s="55"/>
      <c r="CU176" s="355"/>
      <c r="CV176" s="363"/>
      <c r="CW176" s="363"/>
    </row>
    <row r="177" spans="3:101" s="219" customFormat="1" x14ac:dyDescent="0.2">
      <c r="C177" s="415"/>
      <c r="P177" s="221"/>
      <c r="Q177" s="221"/>
      <c r="R177" s="55"/>
      <c r="CU177" s="355"/>
      <c r="CV177" s="363"/>
      <c r="CW177" s="363"/>
    </row>
    <row r="178" spans="3:101" s="219" customFormat="1" x14ac:dyDescent="0.2">
      <c r="C178" s="415"/>
      <c r="P178" s="221"/>
      <c r="Q178" s="221"/>
      <c r="R178" s="55"/>
      <c r="CU178" s="355"/>
      <c r="CV178" s="363"/>
      <c r="CW178" s="363"/>
    </row>
    <row r="179" spans="3:101" s="219" customFormat="1" x14ac:dyDescent="0.2">
      <c r="C179" s="415"/>
      <c r="P179" s="221"/>
      <c r="Q179" s="221"/>
      <c r="R179" s="55"/>
      <c r="CU179" s="355"/>
      <c r="CV179" s="363"/>
      <c r="CW179" s="363"/>
    </row>
    <row r="180" spans="3:101" s="219" customFormat="1" x14ac:dyDescent="0.2">
      <c r="C180" s="415"/>
      <c r="P180" s="221"/>
      <c r="Q180" s="221"/>
      <c r="R180" s="55"/>
      <c r="CU180" s="355"/>
      <c r="CV180" s="363"/>
      <c r="CW180" s="363"/>
    </row>
    <row r="181" spans="3:101" s="219" customFormat="1" x14ac:dyDescent="0.2">
      <c r="C181" s="415"/>
      <c r="P181" s="221"/>
      <c r="Q181" s="221"/>
      <c r="R181" s="55"/>
      <c r="CU181" s="355"/>
      <c r="CV181" s="363"/>
      <c r="CW181" s="363"/>
    </row>
    <row r="182" spans="3:101" s="219" customFormat="1" x14ac:dyDescent="0.2">
      <c r="C182" s="415"/>
      <c r="P182" s="221"/>
      <c r="Q182" s="221"/>
      <c r="R182" s="55"/>
      <c r="CU182" s="355"/>
      <c r="CV182" s="363"/>
      <c r="CW182" s="363"/>
    </row>
    <row r="183" spans="3:101" s="219" customFormat="1" x14ac:dyDescent="0.2">
      <c r="C183" s="415"/>
      <c r="P183" s="221"/>
      <c r="Q183" s="221"/>
      <c r="R183" s="55"/>
      <c r="CU183" s="355"/>
      <c r="CV183" s="363"/>
      <c r="CW183" s="363"/>
    </row>
    <row r="184" spans="3:101" s="219" customFormat="1" x14ac:dyDescent="0.2">
      <c r="C184" s="415"/>
      <c r="P184" s="221"/>
      <c r="Q184" s="221"/>
      <c r="R184" s="55"/>
      <c r="CU184" s="355"/>
      <c r="CV184" s="363"/>
      <c r="CW184" s="363"/>
    </row>
    <row r="185" spans="3:101" s="219" customFormat="1" x14ac:dyDescent="0.2">
      <c r="C185" s="415"/>
      <c r="P185" s="221"/>
      <c r="Q185" s="221"/>
      <c r="R185" s="55"/>
      <c r="CU185" s="355"/>
      <c r="CV185" s="363"/>
      <c r="CW185" s="363"/>
    </row>
    <row r="186" spans="3:101" s="219" customFormat="1" x14ac:dyDescent="0.2">
      <c r="C186" s="415"/>
      <c r="P186" s="221"/>
      <c r="Q186" s="221"/>
      <c r="R186" s="55"/>
      <c r="CU186" s="355"/>
      <c r="CV186" s="363"/>
      <c r="CW186" s="363"/>
    </row>
    <row r="187" spans="3:101" s="219" customFormat="1" x14ac:dyDescent="0.2">
      <c r="C187" s="415"/>
      <c r="P187" s="221"/>
      <c r="Q187" s="221"/>
      <c r="R187" s="55"/>
      <c r="CU187" s="355"/>
      <c r="CV187" s="363"/>
      <c r="CW187" s="363"/>
    </row>
    <row r="188" spans="3:101" s="219" customFormat="1" x14ac:dyDescent="0.2">
      <c r="C188" s="415"/>
      <c r="P188" s="221"/>
      <c r="Q188" s="221"/>
      <c r="R188" s="55"/>
      <c r="CU188" s="355"/>
      <c r="CV188" s="363"/>
      <c r="CW188" s="363"/>
    </row>
    <row r="189" spans="3:101" s="219" customFormat="1" x14ac:dyDescent="0.2">
      <c r="C189" s="415"/>
      <c r="P189" s="221"/>
      <c r="Q189" s="221"/>
      <c r="R189" s="55"/>
      <c r="CU189" s="355"/>
      <c r="CV189" s="363"/>
      <c r="CW189" s="363"/>
    </row>
    <row r="190" spans="3:101" s="219" customFormat="1" x14ac:dyDescent="0.2">
      <c r="C190" s="415"/>
      <c r="P190" s="221"/>
      <c r="Q190" s="221"/>
      <c r="R190" s="55"/>
      <c r="CU190" s="355"/>
      <c r="CV190" s="363"/>
      <c r="CW190" s="363"/>
    </row>
    <row r="191" spans="3:101" s="219" customFormat="1" x14ac:dyDescent="0.2">
      <c r="C191" s="415"/>
      <c r="P191" s="221"/>
      <c r="Q191" s="221"/>
      <c r="R191" s="55"/>
      <c r="CU191" s="355"/>
      <c r="CV191" s="363"/>
      <c r="CW191" s="363"/>
    </row>
    <row r="192" spans="3:101" s="219" customFormat="1" x14ac:dyDescent="0.2">
      <c r="C192" s="415"/>
      <c r="P192" s="221"/>
      <c r="Q192" s="221"/>
      <c r="R192" s="55"/>
      <c r="CU192" s="355"/>
      <c r="CV192" s="363"/>
      <c r="CW192" s="363"/>
    </row>
    <row r="193" spans="3:101" s="219" customFormat="1" x14ac:dyDescent="0.2">
      <c r="C193" s="415"/>
      <c r="P193" s="221"/>
      <c r="Q193" s="221"/>
      <c r="R193" s="55"/>
      <c r="CU193" s="355"/>
      <c r="CV193" s="363"/>
      <c r="CW193" s="363"/>
    </row>
    <row r="194" spans="3:101" s="219" customFormat="1" x14ac:dyDescent="0.2">
      <c r="C194" s="415"/>
      <c r="P194" s="221"/>
      <c r="Q194" s="221"/>
      <c r="R194" s="55"/>
      <c r="CU194" s="355"/>
      <c r="CV194" s="363"/>
      <c r="CW194" s="363"/>
    </row>
    <row r="195" spans="3:101" s="219" customFormat="1" x14ac:dyDescent="0.2">
      <c r="C195" s="415"/>
      <c r="P195" s="221"/>
      <c r="Q195" s="221"/>
      <c r="R195" s="55"/>
      <c r="CU195" s="355"/>
      <c r="CV195" s="363"/>
      <c r="CW195" s="363"/>
    </row>
    <row r="196" spans="3:101" s="219" customFormat="1" x14ac:dyDescent="0.2">
      <c r="C196" s="415"/>
      <c r="P196" s="221"/>
      <c r="Q196" s="221"/>
      <c r="R196" s="55"/>
      <c r="CU196" s="355"/>
      <c r="CV196" s="363"/>
      <c r="CW196" s="363"/>
    </row>
    <row r="197" spans="3:101" s="219" customFormat="1" x14ac:dyDescent="0.2">
      <c r="C197" s="415"/>
      <c r="P197" s="221"/>
      <c r="Q197" s="221"/>
      <c r="R197" s="55"/>
      <c r="CU197" s="355"/>
      <c r="CV197" s="363"/>
      <c r="CW197" s="363"/>
    </row>
    <row r="198" spans="3:101" s="219" customFormat="1" x14ac:dyDescent="0.2">
      <c r="C198" s="415"/>
      <c r="P198" s="221"/>
      <c r="Q198" s="221"/>
      <c r="R198" s="55"/>
      <c r="CU198" s="355"/>
      <c r="CV198" s="363"/>
      <c r="CW198" s="363"/>
    </row>
    <row r="199" spans="3:101" s="219" customFormat="1" x14ac:dyDescent="0.2">
      <c r="C199" s="415"/>
      <c r="P199" s="221"/>
      <c r="Q199" s="221"/>
      <c r="R199" s="55"/>
      <c r="CU199" s="355"/>
      <c r="CV199" s="363"/>
      <c r="CW199" s="363"/>
    </row>
    <row r="200" spans="3:101" s="219" customFormat="1" x14ac:dyDescent="0.2">
      <c r="C200" s="415"/>
      <c r="P200" s="221"/>
      <c r="Q200" s="221"/>
      <c r="R200" s="55"/>
      <c r="CU200" s="355"/>
      <c r="CV200" s="363"/>
      <c r="CW200" s="363"/>
    </row>
    <row r="201" spans="3:101" s="219" customFormat="1" x14ac:dyDescent="0.2">
      <c r="C201" s="415"/>
      <c r="P201" s="221"/>
      <c r="Q201" s="221"/>
      <c r="R201" s="55"/>
      <c r="CU201" s="355"/>
      <c r="CV201" s="363"/>
      <c r="CW201" s="363"/>
    </row>
    <row r="202" spans="3:101" s="219" customFormat="1" x14ac:dyDescent="0.2">
      <c r="C202" s="415"/>
      <c r="P202" s="221"/>
      <c r="Q202" s="221"/>
      <c r="R202" s="55"/>
      <c r="CU202" s="355"/>
      <c r="CV202" s="363"/>
      <c r="CW202" s="363"/>
    </row>
    <row r="203" spans="3:101" s="219" customFormat="1" x14ac:dyDescent="0.2">
      <c r="C203" s="415"/>
      <c r="P203" s="221"/>
      <c r="Q203" s="221"/>
      <c r="R203" s="55"/>
      <c r="CU203" s="355"/>
      <c r="CV203" s="363"/>
      <c r="CW203" s="363"/>
    </row>
    <row r="204" spans="3:101" s="219" customFormat="1" x14ac:dyDescent="0.2">
      <c r="C204" s="415"/>
      <c r="P204" s="221"/>
      <c r="Q204" s="221"/>
      <c r="R204" s="55"/>
      <c r="CU204" s="355"/>
      <c r="CV204" s="363"/>
      <c r="CW204" s="363"/>
    </row>
    <row r="205" spans="3:101" s="219" customFormat="1" x14ac:dyDescent="0.2">
      <c r="C205" s="415"/>
      <c r="P205" s="221"/>
      <c r="Q205" s="221"/>
      <c r="R205" s="55"/>
      <c r="CU205" s="355"/>
      <c r="CV205" s="363"/>
      <c r="CW205" s="363"/>
    </row>
    <row r="206" spans="3:101" s="219" customFormat="1" x14ac:dyDescent="0.2">
      <c r="C206" s="415"/>
      <c r="P206" s="221"/>
      <c r="Q206" s="221"/>
      <c r="R206" s="55"/>
      <c r="CU206" s="355"/>
      <c r="CV206" s="363"/>
      <c r="CW206" s="363"/>
    </row>
    <row r="207" spans="3:101" s="219" customFormat="1" x14ac:dyDescent="0.2">
      <c r="C207" s="415"/>
      <c r="P207" s="221"/>
      <c r="Q207" s="221"/>
      <c r="R207" s="55"/>
      <c r="CU207" s="355"/>
      <c r="CV207" s="363"/>
      <c r="CW207" s="363"/>
    </row>
    <row r="208" spans="3:101" s="219" customFormat="1" x14ac:dyDescent="0.2">
      <c r="C208" s="415"/>
      <c r="P208" s="221"/>
      <c r="Q208" s="221"/>
      <c r="R208" s="55"/>
      <c r="CU208" s="355"/>
      <c r="CV208" s="363"/>
      <c r="CW208" s="363"/>
    </row>
    <row r="209" spans="3:101" s="219" customFormat="1" x14ac:dyDescent="0.2">
      <c r="C209" s="415"/>
      <c r="P209" s="221"/>
      <c r="Q209" s="221"/>
      <c r="R209" s="55"/>
      <c r="CU209" s="355"/>
      <c r="CV209" s="363"/>
      <c r="CW209" s="363"/>
    </row>
    <row r="210" spans="3:101" s="219" customFormat="1" x14ac:dyDescent="0.2">
      <c r="C210" s="415"/>
      <c r="P210" s="221"/>
      <c r="Q210" s="221"/>
      <c r="R210" s="55"/>
      <c r="CU210" s="355"/>
      <c r="CV210" s="363"/>
      <c r="CW210" s="363"/>
    </row>
    <row r="211" spans="3:101" s="219" customFormat="1" x14ac:dyDescent="0.2">
      <c r="C211" s="415"/>
      <c r="P211" s="221"/>
      <c r="Q211" s="221"/>
      <c r="R211" s="55"/>
      <c r="CU211" s="355"/>
      <c r="CV211" s="363"/>
      <c r="CW211" s="363"/>
    </row>
    <row r="212" spans="3:101" s="219" customFormat="1" x14ac:dyDescent="0.2">
      <c r="C212" s="415"/>
      <c r="P212" s="221"/>
      <c r="Q212" s="221"/>
      <c r="R212" s="55"/>
      <c r="CU212" s="355"/>
      <c r="CV212" s="363"/>
      <c r="CW212" s="363"/>
    </row>
    <row r="213" spans="3:101" s="219" customFormat="1" x14ac:dyDescent="0.2">
      <c r="C213" s="415"/>
      <c r="P213" s="221"/>
      <c r="Q213" s="221"/>
      <c r="R213" s="55"/>
      <c r="CU213" s="355"/>
      <c r="CV213" s="363"/>
      <c r="CW213" s="363"/>
    </row>
    <row r="214" spans="3:101" s="219" customFormat="1" x14ac:dyDescent="0.2">
      <c r="C214" s="415"/>
      <c r="P214" s="221"/>
      <c r="Q214" s="221"/>
      <c r="R214" s="55"/>
      <c r="CU214" s="355"/>
      <c r="CV214" s="363"/>
      <c r="CW214" s="363"/>
    </row>
    <row r="215" spans="3:101" s="219" customFormat="1" x14ac:dyDescent="0.2">
      <c r="C215" s="415"/>
      <c r="P215" s="221"/>
      <c r="Q215" s="221"/>
      <c r="R215" s="55"/>
      <c r="CU215" s="355"/>
      <c r="CV215" s="363"/>
      <c r="CW215" s="363"/>
    </row>
    <row r="216" spans="3:101" s="219" customFormat="1" x14ac:dyDescent="0.2">
      <c r="C216" s="415"/>
      <c r="P216" s="221"/>
      <c r="Q216" s="221"/>
      <c r="R216" s="55"/>
      <c r="CU216" s="355"/>
      <c r="CV216" s="363"/>
      <c r="CW216" s="363"/>
    </row>
    <row r="217" spans="3:101" s="219" customFormat="1" x14ac:dyDescent="0.2">
      <c r="C217" s="415"/>
      <c r="P217" s="221"/>
      <c r="Q217" s="221"/>
      <c r="R217" s="55"/>
      <c r="CU217" s="355"/>
      <c r="CV217" s="363"/>
      <c r="CW217" s="363"/>
    </row>
    <row r="218" spans="3:101" s="219" customFormat="1" x14ac:dyDescent="0.2">
      <c r="C218" s="415"/>
      <c r="P218" s="221"/>
      <c r="Q218" s="221"/>
      <c r="R218" s="55"/>
      <c r="CU218" s="355"/>
      <c r="CV218" s="363"/>
      <c r="CW218" s="363"/>
    </row>
    <row r="219" spans="3:101" x14ac:dyDescent="0.2">
      <c r="I219" s="219"/>
      <c r="J219" s="219"/>
      <c r="K219" s="219"/>
      <c r="L219" s="219"/>
      <c r="M219" s="219"/>
      <c r="N219" s="219"/>
      <c r="O219" s="219"/>
      <c r="P219" s="221"/>
      <c r="Q219" s="221"/>
      <c r="S219" s="219"/>
    </row>
    <row r="220" spans="3:101" x14ac:dyDescent="0.2">
      <c r="I220" s="219"/>
      <c r="J220" s="219"/>
      <c r="K220" s="219"/>
      <c r="L220" s="219"/>
      <c r="M220" s="219"/>
      <c r="N220" s="219"/>
      <c r="O220" s="219"/>
      <c r="P220" s="221"/>
      <c r="Q220" s="221"/>
      <c r="S220" s="219"/>
    </row>
    <row r="221" spans="3:101" x14ac:dyDescent="0.2">
      <c r="I221" s="219"/>
      <c r="J221" s="219"/>
      <c r="K221" s="219"/>
      <c r="L221" s="219"/>
      <c r="M221" s="219"/>
      <c r="N221" s="219"/>
      <c r="O221" s="219"/>
      <c r="P221" s="221"/>
      <c r="Q221" s="221"/>
      <c r="S221" s="219"/>
    </row>
    <row r="222" spans="3:101" x14ac:dyDescent="0.2">
      <c r="I222" s="219"/>
      <c r="J222" s="219"/>
      <c r="K222" s="219"/>
      <c r="L222" s="219"/>
      <c r="M222" s="219"/>
      <c r="N222" s="219"/>
      <c r="O222" s="219"/>
      <c r="P222" s="221"/>
      <c r="Q222" s="221"/>
      <c r="S222" s="219"/>
    </row>
    <row r="223" spans="3:101" x14ac:dyDescent="0.2">
      <c r="I223" s="219"/>
      <c r="J223" s="219"/>
      <c r="K223" s="219"/>
      <c r="L223" s="219"/>
      <c r="M223" s="219"/>
      <c r="N223" s="219"/>
      <c r="O223" s="219"/>
      <c r="P223" s="221"/>
      <c r="Q223" s="221"/>
      <c r="S223" s="219"/>
    </row>
    <row r="224" spans="3:101" x14ac:dyDescent="0.2">
      <c r="I224" s="219"/>
      <c r="J224" s="219"/>
      <c r="K224" s="219"/>
      <c r="L224" s="219"/>
      <c r="M224" s="219"/>
      <c r="N224" s="219"/>
      <c r="O224" s="219"/>
      <c r="P224" s="221"/>
      <c r="Q224" s="221"/>
      <c r="S224" s="219"/>
    </row>
    <row r="225" spans="9:19" x14ac:dyDescent="0.2">
      <c r="I225" s="219"/>
      <c r="J225" s="219"/>
      <c r="K225" s="219"/>
      <c r="L225" s="219"/>
      <c r="M225" s="219"/>
      <c r="N225" s="219"/>
      <c r="O225" s="219"/>
      <c r="P225" s="221"/>
      <c r="Q225" s="221"/>
      <c r="S225" s="219"/>
    </row>
    <row r="226" spans="9:19" x14ac:dyDescent="0.2">
      <c r="I226" s="219"/>
      <c r="J226" s="219"/>
      <c r="K226" s="219"/>
      <c r="L226" s="219"/>
      <c r="M226" s="219"/>
      <c r="N226" s="219"/>
      <c r="O226" s="219"/>
      <c r="P226" s="221"/>
      <c r="Q226" s="221"/>
      <c r="S226" s="219"/>
    </row>
    <row r="227" spans="9:19" x14ac:dyDescent="0.2">
      <c r="I227" s="219"/>
      <c r="J227" s="219"/>
      <c r="K227" s="219"/>
      <c r="L227" s="219"/>
      <c r="M227" s="219"/>
      <c r="N227" s="219"/>
      <c r="O227" s="219"/>
      <c r="P227" s="221"/>
      <c r="Q227" s="221"/>
      <c r="S227" s="219"/>
    </row>
    <row r="228" spans="9:19" x14ac:dyDescent="0.2">
      <c r="I228" s="219"/>
      <c r="J228" s="219"/>
      <c r="K228" s="219"/>
      <c r="L228" s="219"/>
      <c r="M228" s="219"/>
      <c r="N228" s="219"/>
      <c r="O228" s="219"/>
      <c r="P228" s="221"/>
      <c r="Q228" s="221"/>
      <c r="S228" s="219"/>
    </row>
    <row r="229" spans="9:19" x14ac:dyDescent="0.2">
      <c r="I229" s="219"/>
      <c r="J229" s="219"/>
      <c r="K229" s="219"/>
      <c r="L229" s="219"/>
      <c r="M229" s="219"/>
      <c r="N229" s="219"/>
      <c r="O229" s="219"/>
      <c r="P229" s="221"/>
      <c r="Q229" s="221"/>
      <c r="S229" s="219"/>
    </row>
    <row r="230" spans="9:19" x14ac:dyDescent="0.2">
      <c r="I230" s="219"/>
      <c r="J230" s="219"/>
      <c r="K230" s="219"/>
      <c r="L230" s="219"/>
      <c r="M230" s="219"/>
      <c r="N230" s="219"/>
      <c r="O230" s="219"/>
      <c r="P230" s="221"/>
      <c r="Q230" s="221"/>
      <c r="S230" s="219"/>
    </row>
    <row r="231" spans="9:19" x14ac:dyDescent="0.2">
      <c r="I231" s="219"/>
      <c r="J231" s="219"/>
      <c r="K231" s="219"/>
      <c r="L231" s="219"/>
      <c r="M231" s="219"/>
      <c r="N231" s="219"/>
      <c r="O231" s="219"/>
      <c r="P231" s="221"/>
      <c r="Q231" s="221"/>
      <c r="S231" s="219"/>
    </row>
    <row r="232" spans="9:19" x14ac:dyDescent="0.2">
      <c r="I232" s="219"/>
      <c r="J232" s="219"/>
      <c r="K232" s="219"/>
      <c r="L232" s="219"/>
      <c r="M232" s="219"/>
      <c r="N232" s="219"/>
      <c r="O232" s="219"/>
      <c r="P232" s="221"/>
      <c r="Q232" s="221"/>
      <c r="S232" s="219"/>
    </row>
    <row r="233" spans="9:19" x14ac:dyDescent="0.2">
      <c r="I233" s="219"/>
      <c r="J233" s="219"/>
      <c r="K233" s="219"/>
      <c r="L233" s="219"/>
      <c r="M233" s="219"/>
      <c r="N233" s="219"/>
      <c r="O233" s="219"/>
      <c r="P233" s="221"/>
      <c r="Q233" s="221"/>
      <c r="S233" s="219"/>
    </row>
    <row r="234" spans="9:19" x14ac:dyDescent="0.2">
      <c r="I234" s="219"/>
      <c r="J234" s="219"/>
      <c r="K234" s="219"/>
      <c r="L234" s="219"/>
      <c r="M234" s="219"/>
      <c r="N234" s="219"/>
      <c r="O234" s="219"/>
      <c r="P234" s="221"/>
      <c r="Q234" s="221"/>
      <c r="S234" s="219"/>
    </row>
    <row r="235" spans="9:19" x14ac:dyDescent="0.2">
      <c r="I235" s="219"/>
      <c r="J235" s="219"/>
      <c r="K235" s="219"/>
      <c r="L235" s="219"/>
      <c r="M235" s="219"/>
      <c r="N235" s="219"/>
      <c r="O235" s="219"/>
      <c r="P235" s="221"/>
      <c r="Q235" s="221"/>
      <c r="S235" s="219"/>
    </row>
    <row r="236" spans="9:19" x14ac:dyDescent="0.2">
      <c r="I236" s="219"/>
      <c r="J236" s="219"/>
      <c r="K236" s="219"/>
      <c r="L236" s="219"/>
      <c r="M236" s="219"/>
      <c r="N236" s="219"/>
      <c r="O236" s="219"/>
      <c r="P236" s="221"/>
      <c r="Q236" s="221"/>
      <c r="S236" s="219"/>
    </row>
    <row r="237" spans="9:19" x14ac:dyDescent="0.2">
      <c r="I237" s="219"/>
      <c r="J237" s="219"/>
      <c r="K237" s="219"/>
      <c r="L237" s="219"/>
      <c r="M237" s="219"/>
      <c r="N237" s="219"/>
      <c r="O237" s="219"/>
      <c r="P237" s="221"/>
      <c r="Q237" s="221"/>
      <c r="S237" s="219"/>
    </row>
    <row r="238" spans="9:19" x14ac:dyDescent="0.2">
      <c r="I238" s="219"/>
      <c r="J238" s="219"/>
      <c r="K238" s="219"/>
      <c r="L238" s="219"/>
      <c r="M238" s="219"/>
      <c r="N238" s="219"/>
      <c r="O238" s="219"/>
      <c r="P238" s="221"/>
      <c r="Q238" s="221"/>
      <c r="S238" s="219"/>
    </row>
    <row r="239" spans="9:19" x14ac:dyDescent="0.2">
      <c r="I239" s="219"/>
      <c r="J239" s="219"/>
      <c r="K239" s="219"/>
      <c r="L239" s="219"/>
      <c r="M239" s="219"/>
      <c r="N239" s="219"/>
      <c r="O239" s="219"/>
      <c r="P239" s="221"/>
      <c r="Q239" s="221"/>
      <c r="S239" s="219"/>
    </row>
    <row r="240" spans="9:19" x14ac:dyDescent="0.2">
      <c r="I240" s="219"/>
      <c r="J240" s="219"/>
      <c r="K240" s="219"/>
      <c r="L240" s="219"/>
      <c r="M240" s="219"/>
      <c r="N240" s="219"/>
      <c r="O240" s="219"/>
      <c r="P240" s="221"/>
      <c r="Q240" s="221"/>
      <c r="S240" s="219"/>
    </row>
    <row r="241" spans="9:19" x14ac:dyDescent="0.2">
      <c r="I241" s="219"/>
      <c r="J241" s="219"/>
      <c r="K241" s="219"/>
      <c r="L241" s="219"/>
      <c r="M241" s="219"/>
      <c r="N241" s="219"/>
      <c r="O241" s="219"/>
      <c r="P241" s="221"/>
      <c r="Q241" s="221"/>
      <c r="S241" s="219"/>
    </row>
    <row r="242" spans="9:19" x14ac:dyDescent="0.2">
      <c r="I242" s="219"/>
      <c r="J242" s="219"/>
      <c r="K242" s="219"/>
      <c r="L242" s="219"/>
      <c r="M242" s="219"/>
      <c r="N242" s="219"/>
      <c r="O242" s="219"/>
      <c r="P242" s="221"/>
      <c r="Q242" s="221"/>
      <c r="S242" s="219"/>
    </row>
    <row r="243" spans="9:19" x14ac:dyDescent="0.2">
      <c r="I243" s="219"/>
      <c r="J243" s="219"/>
      <c r="K243" s="219"/>
      <c r="L243" s="219"/>
      <c r="M243" s="219"/>
      <c r="N243" s="219"/>
      <c r="O243" s="219"/>
      <c r="P243" s="221"/>
      <c r="Q243" s="221"/>
      <c r="S243" s="219"/>
    </row>
    <row r="244" spans="9:19" x14ac:dyDescent="0.2">
      <c r="I244" s="219"/>
      <c r="J244" s="219"/>
      <c r="K244" s="219"/>
      <c r="L244" s="219"/>
      <c r="M244" s="219"/>
      <c r="N244" s="219"/>
      <c r="O244" s="219"/>
      <c r="P244" s="221"/>
      <c r="Q244" s="221"/>
      <c r="S244" s="219"/>
    </row>
    <row r="245" spans="9:19" x14ac:dyDescent="0.2">
      <c r="I245" s="219"/>
      <c r="J245" s="219"/>
      <c r="K245" s="219"/>
      <c r="L245" s="219"/>
      <c r="M245" s="219"/>
      <c r="N245" s="219"/>
      <c r="O245" s="219"/>
      <c r="P245" s="221"/>
      <c r="Q245" s="221"/>
      <c r="S245" s="219"/>
    </row>
    <row r="246" spans="9:19" x14ac:dyDescent="0.2">
      <c r="I246" s="219"/>
      <c r="J246" s="219"/>
      <c r="K246" s="219"/>
      <c r="L246" s="219"/>
      <c r="M246" s="219"/>
      <c r="N246" s="219"/>
      <c r="O246" s="219"/>
      <c r="P246" s="221"/>
      <c r="Q246" s="221"/>
      <c r="S246" s="219"/>
    </row>
    <row r="247" spans="9:19" x14ac:dyDescent="0.2">
      <c r="I247" s="219"/>
      <c r="J247" s="219"/>
      <c r="K247" s="219"/>
      <c r="L247" s="219"/>
      <c r="M247" s="219"/>
      <c r="N247" s="219"/>
      <c r="O247" s="219"/>
      <c r="P247" s="221"/>
      <c r="Q247" s="221"/>
      <c r="S247" s="219"/>
    </row>
    <row r="248" spans="9:19" x14ac:dyDescent="0.2">
      <c r="I248" s="219"/>
      <c r="J248" s="219"/>
      <c r="K248" s="219"/>
      <c r="L248" s="219"/>
      <c r="M248" s="219"/>
      <c r="N248" s="219"/>
      <c r="O248" s="219"/>
      <c r="P248" s="221"/>
      <c r="Q248" s="221"/>
      <c r="S248" s="219"/>
    </row>
    <row r="249" spans="9:19" x14ac:dyDescent="0.2">
      <c r="I249" s="219"/>
      <c r="J249" s="219"/>
      <c r="K249" s="219"/>
      <c r="L249" s="219"/>
      <c r="M249" s="219"/>
      <c r="N249" s="219"/>
      <c r="O249" s="219"/>
      <c r="P249" s="221"/>
      <c r="Q249" s="221"/>
      <c r="S249" s="219"/>
    </row>
    <row r="250" spans="9:19" x14ac:dyDescent="0.2">
      <c r="I250" s="219"/>
      <c r="J250" s="219"/>
      <c r="K250" s="219"/>
      <c r="L250" s="219"/>
      <c r="M250" s="219"/>
      <c r="N250" s="219"/>
      <c r="O250" s="219"/>
      <c r="P250" s="221"/>
      <c r="Q250" s="221"/>
      <c r="S250" s="219"/>
    </row>
    <row r="251" spans="9:19" x14ac:dyDescent="0.2">
      <c r="I251" s="219"/>
      <c r="J251" s="219"/>
      <c r="K251" s="219"/>
      <c r="L251" s="219"/>
      <c r="M251" s="219"/>
      <c r="N251" s="219"/>
      <c r="O251" s="219"/>
      <c r="P251" s="221"/>
      <c r="Q251" s="221"/>
      <c r="S251" s="219"/>
    </row>
    <row r="252" spans="9:19" x14ac:dyDescent="0.2">
      <c r="I252" s="219"/>
      <c r="J252" s="219"/>
      <c r="K252" s="219"/>
      <c r="L252" s="219"/>
      <c r="M252" s="219"/>
      <c r="N252" s="219"/>
      <c r="O252" s="219"/>
      <c r="P252" s="221"/>
      <c r="Q252" s="221"/>
      <c r="S252" s="219"/>
    </row>
    <row r="253" spans="9:19" x14ac:dyDescent="0.2">
      <c r="I253" s="219"/>
      <c r="J253" s="219"/>
      <c r="K253" s="219"/>
      <c r="L253" s="219"/>
      <c r="M253" s="219"/>
      <c r="N253" s="219"/>
      <c r="O253" s="219"/>
      <c r="P253" s="221"/>
      <c r="Q253" s="221"/>
      <c r="S253" s="219"/>
    </row>
    <row r="254" spans="9:19" x14ac:dyDescent="0.2">
      <c r="I254" s="219"/>
      <c r="J254" s="219"/>
      <c r="K254" s="219"/>
      <c r="L254" s="219"/>
      <c r="M254" s="219"/>
      <c r="N254" s="219"/>
      <c r="O254" s="219"/>
      <c r="P254" s="221"/>
      <c r="Q254" s="221"/>
      <c r="S254" s="219"/>
    </row>
    <row r="255" spans="9:19" x14ac:dyDescent="0.2">
      <c r="I255" s="219"/>
      <c r="J255" s="219"/>
      <c r="K255" s="219"/>
      <c r="L255" s="219"/>
      <c r="M255" s="219"/>
      <c r="N255" s="219"/>
      <c r="O255" s="219"/>
      <c r="P255" s="221"/>
      <c r="Q255" s="221"/>
      <c r="S255" s="219"/>
    </row>
    <row r="256" spans="9:19" x14ac:dyDescent="0.2">
      <c r="I256" s="219"/>
      <c r="J256" s="219"/>
      <c r="K256" s="219"/>
      <c r="L256" s="219"/>
      <c r="M256" s="219"/>
      <c r="N256" s="219"/>
      <c r="O256" s="219"/>
      <c r="P256" s="221"/>
      <c r="Q256" s="221"/>
      <c r="S256" s="219"/>
    </row>
    <row r="257" spans="9:19" x14ac:dyDescent="0.2">
      <c r="I257" s="219"/>
      <c r="J257" s="219"/>
      <c r="K257" s="219"/>
      <c r="L257" s="219"/>
      <c r="M257" s="219"/>
      <c r="N257" s="219"/>
      <c r="O257" s="219"/>
      <c r="P257" s="221"/>
      <c r="Q257" s="221"/>
      <c r="S257" s="219"/>
    </row>
    <row r="258" spans="9:19" x14ac:dyDescent="0.2">
      <c r="I258" s="219"/>
      <c r="J258" s="219"/>
      <c r="K258" s="219"/>
      <c r="L258" s="219"/>
      <c r="M258" s="219"/>
      <c r="N258" s="219"/>
      <c r="O258" s="219"/>
      <c r="P258" s="221"/>
      <c r="Q258" s="221"/>
      <c r="S258" s="219"/>
    </row>
    <row r="259" spans="9:19" x14ac:dyDescent="0.2">
      <c r="I259" s="219"/>
      <c r="J259" s="219"/>
      <c r="K259" s="219"/>
      <c r="L259" s="219"/>
      <c r="M259" s="219"/>
      <c r="N259" s="219"/>
      <c r="O259" s="219"/>
      <c r="P259" s="221"/>
      <c r="Q259" s="221"/>
      <c r="S259" s="219"/>
    </row>
    <row r="260" spans="9:19" x14ac:dyDescent="0.2">
      <c r="I260" s="219"/>
      <c r="J260" s="219"/>
      <c r="K260" s="219"/>
      <c r="L260" s="219"/>
      <c r="M260" s="219"/>
      <c r="N260" s="219"/>
      <c r="O260" s="219"/>
      <c r="P260" s="221"/>
      <c r="Q260" s="221"/>
      <c r="S260" s="219"/>
    </row>
    <row r="261" spans="9:19" x14ac:dyDescent="0.2">
      <c r="I261" s="219"/>
      <c r="J261" s="219"/>
      <c r="K261" s="219"/>
      <c r="L261" s="219"/>
      <c r="M261" s="219"/>
      <c r="N261" s="219"/>
      <c r="O261" s="219"/>
      <c r="P261" s="221"/>
      <c r="Q261" s="221"/>
      <c r="S261" s="219"/>
    </row>
    <row r="262" spans="9:19" x14ac:dyDescent="0.2">
      <c r="I262" s="219"/>
      <c r="J262" s="219"/>
      <c r="K262" s="219"/>
      <c r="L262" s="219"/>
      <c r="M262" s="219"/>
      <c r="N262" s="219"/>
      <c r="O262" s="219"/>
      <c r="P262" s="221"/>
      <c r="Q262" s="221"/>
      <c r="S262" s="219"/>
    </row>
    <row r="263" spans="9:19" x14ac:dyDescent="0.2">
      <c r="I263" s="219"/>
      <c r="J263" s="219"/>
      <c r="K263" s="219"/>
      <c r="L263" s="219"/>
      <c r="M263" s="219"/>
      <c r="N263" s="219"/>
      <c r="O263" s="219"/>
      <c r="P263" s="221"/>
      <c r="Q263" s="221"/>
      <c r="S263" s="219"/>
    </row>
    <row r="264" spans="9:19" x14ac:dyDescent="0.2">
      <c r="I264" s="219"/>
      <c r="J264" s="219"/>
      <c r="K264" s="219"/>
      <c r="L264" s="219"/>
      <c r="M264" s="219"/>
      <c r="N264" s="219"/>
      <c r="O264" s="219"/>
      <c r="P264" s="221"/>
      <c r="Q264" s="221"/>
      <c r="S264" s="219"/>
    </row>
    <row r="265" spans="9:19" x14ac:dyDescent="0.2">
      <c r="I265" s="219"/>
      <c r="J265" s="219"/>
      <c r="K265" s="219"/>
      <c r="L265" s="219"/>
      <c r="M265" s="219"/>
      <c r="N265" s="219"/>
      <c r="O265" s="219"/>
      <c r="P265" s="221"/>
      <c r="Q265" s="221"/>
      <c r="S265" s="219"/>
    </row>
    <row r="266" spans="9:19" x14ac:dyDescent="0.2">
      <c r="I266" s="219"/>
      <c r="J266" s="219"/>
      <c r="K266" s="219"/>
      <c r="L266" s="219"/>
      <c r="M266" s="219"/>
      <c r="N266" s="219"/>
      <c r="O266" s="219"/>
      <c r="P266" s="221"/>
      <c r="Q266" s="221"/>
      <c r="S266" s="219"/>
    </row>
    <row r="267" spans="9:19" x14ac:dyDescent="0.2">
      <c r="I267" s="219"/>
      <c r="J267" s="219"/>
      <c r="K267" s="219"/>
      <c r="L267" s="219"/>
      <c r="M267" s="219"/>
      <c r="N267" s="219"/>
      <c r="O267" s="219"/>
      <c r="P267" s="221"/>
      <c r="Q267" s="221"/>
      <c r="S267" s="219"/>
    </row>
    <row r="268" spans="9:19" x14ac:dyDescent="0.2">
      <c r="I268" s="219"/>
      <c r="J268" s="219"/>
      <c r="K268" s="219"/>
      <c r="L268" s="219"/>
      <c r="M268" s="219"/>
      <c r="N268" s="219"/>
      <c r="O268" s="219"/>
      <c r="P268" s="221"/>
      <c r="Q268" s="221"/>
      <c r="S268" s="219"/>
    </row>
    <row r="269" spans="9:19" x14ac:dyDescent="0.2">
      <c r="I269" s="219"/>
      <c r="J269" s="219"/>
      <c r="K269" s="219"/>
      <c r="L269" s="219"/>
      <c r="M269" s="219"/>
      <c r="N269" s="219"/>
      <c r="O269" s="219"/>
      <c r="P269" s="221"/>
      <c r="Q269" s="221"/>
      <c r="S269" s="219"/>
    </row>
    <row r="270" spans="9:19" x14ac:dyDescent="0.2">
      <c r="I270" s="219"/>
      <c r="J270" s="219"/>
      <c r="K270" s="219"/>
      <c r="L270" s="219"/>
      <c r="M270" s="219"/>
      <c r="N270" s="219"/>
      <c r="O270" s="219"/>
      <c r="P270" s="221"/>
      <c r="Q270" s="221"/>
      <c r="S270" s="219"/>
    </row>
    <row r="271" spans="9:19" x14ac:dyDescent="0.2">
      <c r="I271" s="219"/>
      <c r="J271" s="219"/>
      <c r="K271" s="219"/>
      <c r="L271" s="219"/>
      <c r="M271" s="219"/>
      <c r="N271" s="219"/>
      <c r="O271" s="219"/>
      <c r="P271" s="221"/>
      <c r="Q271" s="221"/>
      <c r="S271" s="219"/>
    </row>
    <row r="272" spans="9:19" x14ac:dyDescent="0.2">
      <c r="I272" s="219"/>
      <c r="J272" s="219"/>
      <c r="K272" s="219"/>
      <c r="L272" s="219"/>
      <c r="M272" s="219"/>
      <c r="N272" s="219"/>
      <c r="O272" s="219"/>
      <c r="P272" s="221"/>
      <c r="Q272" s="221"/>
      <c r="S272" s="219"/>
    </row>
    <row r="273" spans="9:19" x14ac:dyDescent="0.2">
      <c r="I273" s="219"/>
      <c r="J273" s="219"/>
      <c r="K273" s="219"/>
      <c r="L273" s="219"/>
      <c r="M273" s="219"/>
      <c r="N273" s="219"/>
      <c r="O273" s="219"/>
      <c r="P273" s="221"/>
      <c r="Q273" s="221"/>
      <c r="S273" s="219"/>
    </row>
    <row r="274" spans="9:19" x14ac:dyDescent="0.2">
      <c r="I274" s="219"/>
      <c r="J274" s="219"/>
      <c r="K274" s="219"/>
      <c r="L274" s="219"/>
      <c r="M274" s="219"/>
      <c r="N274" s="219"/>
      <c r="O274" s="219"/>
      <c r="P274" s="221"/>
      <c r="Q274" s="221"/>
      <c r="S274" s="219"/>
    </row>
    <row r="275" spans="9:19" x14ac:dyDescent="0.2">
      <c r="I275" s="219"/>
      <c r="J275" s="219"/>
      <c r="K275" s="219"/>
      <c r="L275" s="219"/>
      <c r="M275" s="219"/>
      <c r="N275" s="219"/>
      <c r="O275" s="219"/>
      <c r="P275" s="221"/>
      <c r="Q275" s="221"/>
      <c r="S275" s="219"/>
    </row>
    <row r="276" spans="9:19" x14ac:dyDescent="0.2">
      <c r="I276" s="219"/>
      <c r="J276" s="219"/>
      <c r="K276" s="219"/>
      <c r="L276" s="219"/>
      <c r="M276" s="219"/>
      <c r="N276" s="219"/>
      <c r="O276" s="219"/>
      <c r="P276" s="221"/>
      <c r="Q276" s="221"/>
      <c r="S276" s="219"/>
    </row>
    <row r="277" spans="9:19" x14ac:dyDescent="0.2">
      <c r="I277" s="219"/>
      <c r="J277" s="219"/>
      <c r="K277" s="219"/>
      <c r="L277" s="219"/>
      <c r="M277" s="219"/>
      <c r="N277" s="219"/>
      <c r="O277" s="219"/>
      <c r="P277" s="221"/>
      <c r="Q277" s="221"/>
      <c r="S277" s="219"/>
    </row>
    <row r="278" spans="9:19" x14ac:dyDescent="0.2">
      <c r="I278" s="219"/>
      <c r="J278" s="219"/>
      <c r="K278" s="219"/>
      <c r="L278" s="219"/>
      <c r="M278" s="219"/>
      <c r="N278" s="219"/>
      <c r="O278" s="219"/>
      <c r="P278" s="221"/>
      <c r="Q278" s="221"/>
      <c r="S278" s="219"/>
    </row>
    <row r="279" spans="9:19" x14ac:dyDescent="0.2">
      <c r="I279" s="219"/>
      <c r="J279" s="219"/>
      <c r="K279" s="219"/>
      <c r="L279" s="219"/>
      <c r="M279" s="219"/>
      <c r="N279" s="219"/>
      <c r="O279" s="219"/>
      <c r="P279" s="221"/>
      <c r="Q279" s="221"/>
      <c r="S279" s="219"/>
    </row>
    <row r="280" spans="9:19" x14ac:dyDescent="0.2">
      <c r="I280" s="219"/>
      <c r="J280" s="219"/>
      <c r="K280" s="219"/>
      <c r="L280" s="219"/>
      <c r="M280" s="219"/>
      <c r="N280" s="219"/>
      <c r="O280" s="219"/>
      <c r="P280" s="221"/>
      <c r="Q280" s="221"/>
      <c r="S280" s="219"/>
    </row>
    <row r="281" spans="9:19" x14ac:dyDescent="0.2">
      <c r="I281" s="219"/>
      <c r="J281" s="219"/>
      <c r="K281" s="219"/>
      <c r="L281" s="219"/>
      <c r="M281" s="219"/>
      <c r="N281" s="219"/>
      <c r="O281" s="219"/>
      <c r="P281" s="221"/>
      <c r="Q281" s="221"/>
      <c r="S281" s="219"/>
    </row>
    <row r="282" spans="9:19" x14ac:dyDescent="0.2">
      <c r="I282" s="219"/>
      <c r="J282" s="219"/>
      <c r="K282" s="219"/>
      <c r="L282" s="219"/>
      <c r="M282" s="219"/>
      <c r="N282" s="219"/>
      <c r="O282" s="219"/>
      <c r="P282" s="221"/>
      <c r="Q282" s="221"/>
      <c r="S282" s="219"/>
    </row>
    <row r="283" spans="9:19" x14ac:dyDescent="0.2">
      <c r="I283" s="219"/>
      <c r="J283" s="219"/>
      <c r="K283" s="219"/>
      <c r="L283" s="219"/>
      <c r="M283" s="219"/>
      <c r="N283" s="219"/>
      <c r="O283" s="219"/>
      <c r="P283" s="221"/>
      <c r="Q283" s="221"/>
      <c r="S283" s="219"/>
    </row>
    <row r="284" spans="9:19" x14ac:dyDescent="0.2">
      <c r="I284" s="219"/>
      <c r="J284" s="219"/>
      <c r="K284" s="219"/>
      <c r="L284" s="219"/>
      <c r="M284" s="219"/>
      <c r="N284" s="219"/>
      <c r="O284" s="219"/>
      <c r="P284" s="221"/>
      <c r="Q284" s="221"/>
      <c r="S284" s="219"/>
    </row>
    <row r="285" spans="9:19" x14ac:dyDescent="0.2">
      <c r="I285" s="219"/>
      <c r="J285" s="219"/>
      <c r="K285" s="219"/>
      <c r="L285" s="219"/>
      <c r="M285" s="219"/>
      <c r="N285" s="219"/>
      <c r="O285" s="219"/>
      <c r="P285" s="221"/>
      <c r="Q285" s="221"/>
      <c r="S285" s="219"/>
    </row>
    <row r="286" spans="9:19" x14ac:dyDescent="0.2">
      <c r="I286" s="219"/>
      <c r="J286" s="219"/>
      <c r="K286" s="219"/>
      <c r="L286" s="219"/>
      <c r="M286" s="219"/>
      <c r="N286" s="219"/>
      <c r="O286" s="219"/>
      <c r="P286" s="221"/>
      <c r="Q286" s="221"/>
      <c r="S286" s="219"/>
    </row>
    <row r="287" spans="9:19" x14ac:dyDescent="0.2">
      <c r="I287" s="219"/>
      <c r="J287" s="219"/>
      <c r="K287" s="219"/>
      <c r="L287" s="219"/>
      <c r="M287" s="219"/>
      <c r="N287" s="219"/>
      <c r="O287" s="219"/>
      <c r="P287" s="221"/>
      <c r="Q287" s="221"/>
      <c r="S287" s="219"/>
    </row>
    <row r="288" spans="9:19" x14ac:dyDescent="0.2">
      <c r="I288" s="219"/>
      <c r="J288" s="219"/>
      <c r="K288" s="219"/>
      <c r="L288" s="219"/>
      <c r="M288" s="219"/>
      <c r="N288" s="219"/>
      <c r="O288" s="219"/>
      <c r="P288" s="221"/>
      <c r="Q288" s="221"/>
      <c r="S288" s="219"/>
    </row>
    <row r="289" spans="9:19" x14ac:dyDescent="0.2">
      <c r="I289" s="219"/>
      <c r="J289" s="219"/>
      <c r="K289" s="219"/>
      <c r="L289" s="219"/>
      <c r="M289" s="219"/>
      <c r="N289" s="219"/>
      <c r="O289" s="219"/>
      <c r="P289" s="221"/>
      <c r="Q289" s="221"/>
      <c r="S289" s="219"/>
    </row>
    <row r="290" spans="9:19" x14ac:dyDescent="0.2">
      <c r="I290" s="219"/>
      <c r="J290" s="219"/>
      <c r="K290" s="219"/>
      <c r="L290" s="219"/>
      <c r="M290" s="219"/>
      <c r="N290" s="219"/>
      <c r="O290" s="219"/>
      <c r="P290" s="221"/>
      <c r="Q290" s="221"/>
      <c r="S290" s="219"/>
    </row>
    <row r="291" spans="9:19" x14ac:dyDescent="0.2">
      <c r="I291" s="219"/>
      <c r="J291" s="219"/>
      <c r="K291" s="219"/>
      <c r="L291" s="219"/>
      <c r="M291" s="219"/>
      <c r="N291" s="219"/>
      <c r="O291" s="219"/>
      <c r="P291" s="221"/>
      <c r="Q291" s="221"/>
      <c r="S291" s="219"/>
    </row>
    <row r="292" spans="9:19" x14ac:dyDescent="0.2">
      <c r="I292" s="219"/>
      <c r="J292" s="219"/>
      <c r="K292" s="219"/>
      <c r="L292" s="219"/>
      <c r="M292" s="219"/>
      <c r="N292" s="219"/>
      <c r="O292" s="219"/>
      <c r="P292" s="221"/>
      <c r="Q292" s="221"/>
      <c r="S292" s="219"/>
    </row>
    <row r="293" spans="9:19" x14ac:dyDescent="0.2">
      <c r="I293" s="219"/>
      <c r="J293" s="219"/>
      <c r="K293" s="219"/>
      <c r="L293" s="219"/>
      <c r="M293" s="219"/>
      <c r="N293" s="219"/>
      <c r="O293" s="219"/>
      <c r="P293" s="221"/>
      <c r="Q293" s="221"/>
      <c r="S293" s="219"/>
    </row>
    <row r="294" spans="9:19" x14ac:dyDescent="0.2">
      <c r="I294" s="219"/>
      <c r="J294" s="219"/>
      <c r="K294" s="219"/>
      <c r="L294" s="219"/>
      <c r="M294" s="219"/>
      <c r="N294" s="219"/>
      <c r="O294" s="219"/>
      <c r="P294" s="221"/>
      <c r="Q294" s="221"/>
      <c r="S294" s="219"/>
    </row>
    <row r="295" spans="9:19" x14ac:dyDescent="0.2">
      <c r="I295" s="219"/>
      <c r="J295" s="219"/>
      <c r="K295" s="219"/>
      <c r="L295" s="219"/>
      <c r="M295" s="219"/>
      <c r="N295" s="219"/>
      <c r="O295" s="219"/>
      <c r="P295" s="221"/>
      <c r="Q295" s="221"/>
      <c r="S295" s="219"/>
    </row>
    <row r="296" spans="9:19" x14ac:dyDescent="0.2">
      <c r="I296" s="219"/>
      <c r="J296" s="219"/>
      <c r="K296" s="219"/>
      <c r="L296" s="219"/>
      <c r="M296" s="219"/>
      <c r="N296" s="219"/>
      <c r="O296" s="219"/>
      <c r="P296" s="221"/>
      <c r="Q296" s="221"/>
      <c r="S296" s="219"/>
    </row>
    <row r="297" spans="9:19" x14ac:dyDescent="0.2">
      <c r="I297" s="219"/>
      <c r="J297" s="219"/>
      <c r="K297" s="219"/>
      <c r="L297" s="219"/>
      <c r="M297" s="219"/>
      <c r="N297" s="219"/>
      <c r="O297" s="219"/>
      <c r="P297" s="221"/>
      <c r="Q297" s="221"/>
      <c r="S297" s="219"/>
    </row>
    <row r="298" spans="9:19" x14ac:dyDescent="0.2">
      <c r="I298" s="219"/>
      <c r="J298" s="219"/>
      <c r="K298" s="219"/>
      <c r="L298" s="219"/>
      <c r="M298" s="219"/>
      <c r="N298" s="219"/>
      <c r="O298" s="219"/>
      <c r="P298" s="221"/>
      <c r="Q298" s="221"/>
      <c r="S298" s="219"/>
    </row>
    <row r="299" spans="9:19" x14ac:dyDescent="0.2">
      <c r="I299" s="219"/>
      <c r="J299" s="219"/>
      <c r="K299" s="219"/>
      <c r="L299" s="219"/>
      <c r="M299" s="219"/>
      <c r="N299" s="219"/>
      <c r="O299" s="219"/>
      <c r="P299" s="221"/>
      <c r="Q299" s="221"/>
      <c r="S299" s="219"/>
    </row>
    <row r="300" spans="9:19" x14ac:dyDescent="0.2">
      <c r="I300" s="219"/>
      <c r="J300" s="219"/>
      <c r="K300" s="219"/>
      <c r="L300" s="219"/>
      <c r="M300" s="219"/>
      <c r="N300" s="219"/>
      <c r="O300" s="219"/>
      <c r="P300" s="221"/>
      <c r="Q300" s="221"/>
      <c r="S300" s="219"/>
    </row>
    <row r="301" spans="9:19" x14ac:dyDescent="0.2">
      <c r="I301" s="219"/>
      <c r="J301" s="219"/>
      <c r="K301" s="219"/>
      <c r="L301" s="219"/>
      <c r="M301" s="219"/>
      <c r="N301" s="219"/>
      <c r="O301" s="219"/>
      <c r="P301" s="221"/>
      <c r="Q301" s="221"/>
      <c r="S301" s="219"/>
    </row>
    <row r="302" spans="9:19" x14ac:dyDescent="0.2">
      <c r="I302" s="219"/>
      <c r="J302" s="219"/>
      <c r="K302" s="219"/>
      <c r="L302" s="219"/>
      <c r="M302" s="219"/>
      <c r="N302" s="219"/>
      <c r="O302" s="219"/>
      <c r="P302" s="221"/>
      <c r="Q302" s="221"/>
      <c r="S302" s="219"/>
    </row>
    <row r="303" spans="9:19" x14ac:dyDescent="0.2">
      <c r="I303" s="219"/>
      <c r="J303" s="219"/>
      <c r="K303" s="219"/>
      <c r="L303" s="219"/>
      <c r="M303" s="219"/>
      <c r="N303" s="219"/>
      <c r="O303" s="219"/>
      <c r="P303" s="221"/>
      <c r="Q303" s="221"/>
      <c r="S303" s="219"/>
    </row>
    <row r="304" spans="9:19" x14ac:dyDescent="0.2">
      <c r="I304" s="219"/>
      <c r="J304" s="219"/>
      <c r="K304" s="219"/>
      <c r="L304" s="219"/>
      <c r="M304" s="219"/>
      <c r="N304" s="219"/>
      <c r="O304" s="219"/>
      <c r="P304" s="221"/>
      <c r="Q304" s="221"/>
      <c r="S304" s="219"/>
    </row>
    <row r="305" spans="9:19" x14ac:dyDescent="0.2">
      <c r="I305" s="219"/>
      <c r="J305" s="219"/>
      <c r="K305" s="219"/>
      <c r="L305" s="219"/>
      <c r="M305" s="219"/>
      <c r="N305" s="219"/>
      <c r="O305" s="219"/>
      <c r="P305" s="221"/>
      <c r="Q305" s="221"/>
      <c r="S305" s="219"/>
    </row>
    <row r="306" spans="9:19" x14ac:dyDescent="0.2">
      <c r="I306" s="219"/>
      <c r="J306" s="219"/>
      <c r="K306" s="219"/>
      <c r="L306" s="219"/>
      <c r="M306" s="219"/>
      <c r="N306" s="219"/>
      <c r="O306" s="219"/>
      <c r="P306" s="221"/>
      <c r="Q306" s="221"/>
      <c r="S306" s="219"/>
    </row>
    <row r="307" spans="9:19" x14ac:dyDescent="0.2">
      <c r="I307" s="219"/>
      <c r="J307" s="219"/>
      <c r="K307" s="219"/>
      <c r="L307" s="219"/>
      <c r="M307" s="219"/>
      <c r="N307" s="219"/>
      <c r="O307" s="219"/>
      <c r="P307" s="221"/>
      <c r="Q307" s="221"/>
      <c r="S307" s="219"/>
    </row>
    <row r="308" spans="9:19" x14ac:dyDescent="0.2">
      <c r="I308" s="219"/>
      <c r="J308" s="219"/>
      <c r="K308" s="219"/>
      <c r="L308" s="219"/>
      <c r="M308" s="219"/>
      <c r="N308" s="219"/>
      <c r="O308" s="219"/>
      <c r="P308" s="221"/>
      <c r="Q308" s="221"/>
      <c r="S308" s="219"/>
    </row>
    <row r="309" spans="9:19" x14ac:dyDescent="0.2">
      <c r="I309" s="219"/>
      <c r="J309" s="219"/>
      <c r="K309" s="219"/>
      <c r="L309" s="219"/>
      <c r="M309" s="219"/>
      <c r="N309" s="219"/>
      <c r="O309" s="219"/>
      <c r="P309" s="221"/>
      <c r="Q309" s="221"/>
      <c r="S309" s="219"/>
    </row>
    <row r="310" spans="9:19" x14ac:dyDescent="0.2">
      <c r="I310" s="219"/>
      <c r="J310" s="219"/>
      <c r="K310" s="219"/>
      <c r="L310" s="219"/>
      <c r="M310" s="219"/>
      <c r="N310" s="219"/>
      <c r="O310" s="219"/>
      <c r="P310" s="221"/>
      <c r="Q310" s="221"/>
      <c r="S310" s="219"/>
    </row>
    <row r="311" spans="9:19" x14ac:dyDescent="0.2">
      <c r="I311" s="219"/>
      <c r="J311" s="219"/>
      <c r="K311" s="219"/>
      <c r="L311" s="219"/>
      <c r="M311" s="219"/>
      <c r="N311" s="219"/>
      <c r="O311" s="219"/>
      <c r="P311" s="221"/>
      <c r="Q311" s="221"/>
      <c r="S311" s="219"/>
    </row>
    <row r="312" spans="9:19" x14ac:dyDescent="0.2">
      <c r="I312" s="219"/>
      <c r="J312" s="219"/>
      <c r="K312" s="219"/>
      <c r="L312" s="219"/>
      <c r="M312" s="219"/>
      <c r="N312" s="219"/>
      <c r="O312" s="219"/>
      <c r="P312" s="221"/>
      <c r="Q312" s="221"/>
      <c r="S312" s="219"/>
    </row>
    <row r="313" spans="9:19" x14ac:dyDescent="0.2">
      <c r="I313" s="219"/>
      <c r="J313" s="219"/>
      <c r="K313" s="219"/>
      <c r="L313" s="219"/>
      <c r="M313" s="219"/>
      <c r="N313" s="219"/>
      <c r="O313" s="219"/>
      <c r="P313" s="221"/>
      <c r="Q313" s="221"/>
      <c r="S313" s="219"/>
    </row>
    <row r="314" spans="9:19" x14ac:dyDescent="0.2">
      <c r="I314" s="219"/>
      <c r="J314" s="219"/>
      <c r="K314" s="219"/>
      <c r="L314" s="219"/>
      <c r="M314" s="219"/>
      <c r="N314" s="219"/>
      <c r="O314" s="219"/>
      <c r="P314" s="221"/>
      <c r="Q314" s="221"/>
      <c r="S314" s="219"/>
    </row>
    <row r="315" spans="9:19" x14ac:dyDescent="0.2">
      <c r="I315" s="219"/>
      <c r="J315" s="219"/>
      <c r="K315" s="219"/>
      <c r="L315" s="219"/>
      <c r="M315" s="219"/>
      <c r="N315" s="219"/>
      <c r="O315" s="219"/>
      <c r="P315" s="221"/>
      <c r="Q315" s="221"/>
      <c r="S315" s="219"/>
    </row>
    <row r="316" spans="9:19" x14ac:dyDescent="0.2">
      <c r="I316" s="219"/>
      <c r="J316" s="219"/>
      <c r="K316" s="219"/>
      <c r="L316" s="219"/>
      <c r="M316" s="219"/>
      <c r="N316" s="219"/>
      <c r="O316" s="219"/>
      <c r="P316" s="221"/>
      <c r="Q316" s="221"/>
      <c r="S316" s="219"/>
    </row>
    <row r="317" spans="9:19" x14ac:dyDescent="0.2">
      <c r="I317" s="219"/>
      <c r="J317" s="219"/>
      <c r="K317" s="219"/>
      <c r="L317" s="219"/>
      <c r="M317" s="219"/>
      <c r="N317" s="219"/>
      <c r="O317" s="219"/>
      <c r="P317" s="221"/>
      <c r="Q317" s="221"/>
      <c r="S317" s="219"/>
    </row>
    <row r="318" spans="9:19" x14ac:dyDescent="0.2">
      <c r="I318" s="219"/>
      <c r="J318" s="219"/>
      <c r="K318" s="219"/>
      <c r="L318" s="219"/>
      <c r="M318" s="219"/>
      <c r="N318" s="219"/>
      <c r="O318" s="219"/>
      <c r="P318" s="221"/>
      <c r="Q318" s="221"/>
      <c r="S318" s="219"/>
    </row>
    <row r="319" spans="9:19" x14ac:dyDescent="0.2">
      <c r="I319" s="219"/>
      <c r="J319" s="219"/>
      <c r="K319" s="219"/>
      <c r="L319" s="219"/>
      <c r="M319" s="219"/>
      <c r="N319" s="219"/>
      <c r="O319" s="219"/>
      <c r="P319" s="221"/>
      <c r="Q319" s="221"/>
    </row>
    <row r="320" spans="9:19" x14ac:dyDescent="0.2">
      <c r="I320" s="219"/>
      <c r="J320" s="219"/>
      <c r="K320" s="219"/>
      <c r="L320" s="219"/>
      <c r="M320" s="219"/>
      <c r="N320" s="219"/>
      <c r="O320" s="219"/>
      <c r="P320" s="221"/>
      <c r="Q320" s="221"/>
    </row>
    <row r="321" spans="9:17" x14ac:dyDescent="0.2">
      <c r="I321" s="219"/>
      <c r="J321" s="219"/>
      <c r="K321" s="219"/>
      <c r="L321" s="219"/>
      <c r="M321" s="219"/>
      <c r="N321" s="219"/>
      <c r="O321" s="219"/>
      <c r="P321" s="221"/>
      <c r="Q321" s="221"/>
    </row>
    <row r="322" spans="9:17" x14ac:dyDescent="0.2">
      <c r="I322" s="219"/>
      <c r="J322" s="219"/>
      <c r="K322" s="219"/>
      <c r="L322" s="219"/>
      <c r="M322" s="219"/>
      <c r="N322" s="219"/>
      <c r="O322" s="219"/>
      <c r="P322" s="221"/>
      <c r="Q322" s="221"/>
    </row>
    <row r="323" spans="9:17" x14ac:dyDescent="0.2">
      <c r="I323" s="219"/>
      <c r="J323" s="219"/>
      <c r="K323" s="219"/>
      <c r="L323" s="219"/>
      <c r="M323" s="219"/>
      <c r="N323" s="219"/>
      <c r="O323" s="219"/>
      <c r="P323" s="221"/>
      <c r="Q323" s="221"/>
    </row>
    <row r="324" spans="9:17" x14ac:dyDescent="0.2">
      <c r="I324" s="219"/>
      <c r="J324" s="219"/>
      <c r="K324" s="219"/>
      <c r="L324" s="219"/>
      <c r="M324" s="219"/>
      <c r="N324" s="219"/>
      <c r="O324" s="219"/>
      <c r="P324" s="221"/>
      <c r="Q324" s="221"/>
    </row>
    <row r="325" spans="9:17" x14ac:dyDescent="0.2">
      <c r="I325" s="219"/>
      <c r="J325" s="219"/>
      <c r="K325" s="219"/>
      <c r="L325" s="219"/>
      <c r="M325" s="219"/>
      <c r="N325" s="219"/>
      <c r="O325" s="219"/>
      <c r="P325" s="221"/>
      <c r="Q325" s="221"/>
    </row>
    <row r="326" spans="9:17" x14ac:dyDescent="0.2">
      <c r="I326" s="219"/>
      <c r="J326" s="219"/>
      <c r="K326" s="219"/>
      <c r="L326" s="219"/>
      <c r="M326" s="219"/>
      <c r="N326" s="219"/>
      <c r="O326" s="219"/>
      <c r="P326" s="221"/>
      <c r="Q326" s="221"/>
    </row>
    <row r="327" spans="9:17" x14ac:dyDescent="0.2">
      <c r="I327" s="219"/>
      <c r="J327" s="219"/>
      <c r="K327" s="219"/>
      <c r="L327" s="219"/>
      <c r="M327" s="219"/>
      <c r="N327" s="219"/>
      <c r="O327" s="219"/>
      <c r="P327" s="221"/>
      <c r="Q327" s="221"/>
    </row>
    <row r="328" spans="9:17" x14ac:dyDescent="0.2">
      <c r="I328" s="219"/>
      <c r="J328" s="219"/>
      <c r="K328" s="219"/>
      <c r="L328" s="219"/>
      <c r="M328" s="219"/>
      <c r="N328" s="219"/>
      <c r="O328" s="219"/>
      <c r="P328" s="221"/>
      <c r="Q328" s="221"/>
    </row>
    <row r="329" spans="9:17" x14ac:dyDescent="0.2">
      <c r="I329" s="219"/>
      <c r="J329" s="219"/>
      <c r="K329" s="219"/>
      <c r="L329" s="219"/>
      <c r="M329" s="219"/>
      <c r="N329" s="219"/>
      <c r="O329" s="219"/>
      <c r="P329" s="221"/>
      <c r="Q329" s="221"/>
    </row>
    <row r="330" spans="9:17" x14ac:dyDescent="0.2">
      <c r="I330" s="219"/>
      <c r="J330" s="219"/>
      <c r="K330" s="219"/>
      <c r="L330" s="219"/>
      <c r="M330" s="219"/>
      <c r="N330" s="219"/>
      <c r="O330" s="219"/>
      <c r="P330" s="221"/>
      <c r="Q330" s="221"/>
    </row>
    <row r="331" spans="9:17" x14ac:dyDescent="0.2">
      <c r="I331" s="219"/>
      <c r="J331" s="219"/>
      <c r="K331" s="219"/>
      <c r="L331" s="219"/>
      <c r="M331" s="219"/>
      <c r="N331" s="219"/>
      <c r="O331" s="219"/>
      <c r="P331" s="221"/>
      <c r="Q331" s="221"/>
    </row>
    <row r="332" spans="9:17" x14ac:dyDescent="0.2">
      <c r="I332" s="219"/>
      <c r="J332" s="219"/>
      <c r="K332" s="219"/>
      <c r="L332" s="219"/>
      <c r="M332" s="219"/>
      <c r="N332" s="219"/>
      <c r="O332" s="219"/>
      <c r="P332" s="221"/>
      <c r="Q332" s="221"/>
    </row>
    <row r="333" spans="9:17" x14ac:dyDescent="0.2">
      <c r="I333" s="219"/>
      <c r="J333" s="219"/>
      <c r="K333" s="219"/>
      <c r="L333" s="219"/>
      <c r="M333" s="219"/>
      <c r="N333" s="219"/>
      <c r="O333" s="219"/>
      <c r="P333" s="221"/>
      <c r="Q333" s="221"/>
    </row>
    <row r="334" spans="9:17" x14ac:dyDescent="0.2">
      <c r="I334" s="219"/>
      <c r="J334" s="219"/>
      <c r="K334" s="219"/>
      <c r="L334" s="219"/>
      <c r="M334" s="219"/>
      <c r="N334" s="219"/>
      <c r="O334" s="219"/>
      <c r="P334" s="221"/>
      <c r="Q334" s="221"/>
    </row>
    <row r="335" spans="9:17" x14ac:dyDescent="0.2">
      <c r="I335" s="219"/>
      <c r="J335" s="219"/>
      <c r="K335" s="219"/>
      <c r="L335" s="219"/>
      <c r="M335" s="219"/>
      <c r="N335" s="219"/>
      <c r="O335" s="219"/>
      <c r="P335" s="221"/>
      <c r="Q335" s="221"/>
    </row>
    <row r="336" spans="9:17" x14ac:dyDescent="0.2">
      <c r="I336" s="219"/>
      <c r="J336" s="219"/>
      <c r="K336" s="219"/>
      <c r="L336" s="219"/>
      <c r="M336" s="219"/>
      <c r="N336" s="219"/>
      <c r="O336" s="219"/>
      <c r="P336" s="221"/>
      <c r="Q336" s="221"/>
    </row>
    <row r="337" spans="9:17" x14ac:dyDescent="0.2">
      <c r="I337" s="219"/>
      <c r="J337" s="219"/>
      <c r="K337" s="219"/>
      <c r="L337" s="219"/>
      <c r="M337" s="219"/>
      <c r="N337" s="219"/>
      <c r="O337" s="219"/>
      <c r="P337" s="221"/>
      <c r="Q337" s="221"/>
    </row>
    <row r="338" spans="9:17" x14ac:dyDescent="0.2">
      <c r="I338" s="219"/>
      <c r="J338" s="219"/>
      <c r="K338" s="219"/>
      <c r="L338" s="219"/>
      <c r="M338" s="219"/>
      <c r="N338" s="219"/>
      <c r="O338" s="219"/>
      <c r="P338" s="221"/>
      <c r="Q338" s="221"/>
    </row>
    <row r="339" spans="9:17" x14ac:dyDescent="0.2">
      <c r="I339" s="219"/>
      <c r="J339" s="219"/>
      <c r="K339" s="219"/>
      <c r="L339" s="219"/>
      <c r="M339" s="219"/>
      <c r="N339" s="219"/>
      <c r="O339" s="219"/>
      <c r="P339" s="221"/>
      <c r="Q339" s="221"/>
    </row>
    <row r="340" spans="9:17" x14ac:dyDescent="0.2">
      <c r="I340" s="219"/>
      <c r="J340" s="219"/>
      <c r="K340" s="219"/>
      <c r="L340" s="219"/>
      <c r="M340" s="219"/>
      <c r="N340" s="219"/>
      <c r="O340" s="219"/>
      <c r="P340" s="221"/>
      <c r="Q340" s="221"/>
    </row>
    <row r="341" spans="9:17" x14ac:dyDescent="0.2">
      <c r="I341" s="219"/>
      <c r="J341" s="219"/>
      <c r="K341" s="219"/>
      <c r="L341" s="219"/>
      <c r="M341" s="219"/>
      <c r="N341" s="219"/>
      <c r="O341" s="219"/>
      <c r="P341" s="221"/>
      <c r="Q341" s="221"/>
    </row>
    <row r="342" spans="9:17" x14ac:dyDescent="0.2">
      <c r="I342" s="219"/>
      <c r="J342" s="219"/>
      <c r="K342" s="219"/>
      <c r="L342" s="219"/>
      <c r="M342" s="219"/>
      <c r="N342" s="219"/>
      <c r="O342" s="219"/>
      <c r="P342" s="221"/>
      <c r="Q342" s="221"/>
    </row>
    <row r="343" spans="9:17" x14ac:dyDescent="0.2">
      <c r="I343" s="219"/>
      <c r="J343" s="219"/>
      <c r="K343" s="219"/>
      <c r="L343" s="219"/>
      <c r="M343" s="219"/>
      <c r="N343" s="219"/>
      <c r="O343" s="219"/>
      <c r="P343" s="221"/>
      <c r="Q343" s="221"/>
    </row>
    <row r="344" spans="9:17" x14ac:dyDescent="0.2">
      <c r="I344" s="219"/>
      <c r="J344" s="219"/>
      <c r="K344" s="219"/>
      <c r="L344" s="219"/>
      <c r="M344" s="219"/>
      <c r="N344" s="219"/>
      <c r="O344" s="219"/>
      <c r="P344" s="221"/>
      <c r="Q344" s="221"/>
    </row>
    <row r="345" spans="9:17" x14ac:dyDescent="0.2">
      <c r="I345" s="219"/>
      <c r="J345" s="219"/>
      <c r="K345" s="219"/>
      <c r="L345" s="219"/>
      <c r="M345" s="219"/>
      <c r="N345" s="219"/>
      <c r="O345" s="219"/>
      <c r="P345" s="221"/>
      <c r="Q345" s="221"/>
    </row>
    <row r="346" spans="9:17" x14ac:dyDescent="0.2">
      <c r="I346" s="219"/>
      <c r="J346" s="219"/>
      <c r="K346" s="219"/>
      <c r="L346" s="219"/>
      <c r="M346" s="219"/>
      <c r="N346" s="219"/>
      <c r="O346" s="219"/>
      <c r="P346" s="221"/>
      <c r="Q346" s="221"/>
    </row>
    <row r="347" spans="9:17" x14ac:dyDescent="0.2">
      <c r="I347" s="219"/>
      <c r="J347" s="219"/>
      <c r="K347" s="219"/>
      <c r="L347" s="219"/>
      <c r="M347" s="219"/>
      <c r="N347" s="219"/>
      <c r="O347" s="219"/>
      <c r="P347" s="221"/>
      <c r="Q347" s="221"/>
    </row>
    <row r="348" spans="9:17" x14ac:dyDescent="0.2">
      <c r="I348" s="219"/>
      <c r="J348" s="219"/>
      <c r="K348" s="219"/>
      <c r="L348" s="219"/>
      <c r="M348" s="219"/>
      <c r="N348" s="219"/>
      <c r="O348" s="219"/>
      <c r="P348" s="221"/>
      <c r="Q348" s="221"/>
    </row>
    <row r="349" spans="9:17" x14ac:dyDescent="0.2">
      <c r="I349" s="219"/>
      <c r="J349" s="219"/>
      <c r="K349" s="219"/>
      <c r="L349" s="219"/>
      <c r="M349" s="219"/>
      <c r="N349" s="219"/>
      <c r="O349" s="219"/>
      <c r="P349" s="221"/>
      <c r="Q349" s="221"/>
    </row>
    <row r="350" spans="9:17" x14ac:dyDescent="0.2">
      <c r="I350" s="219"/>
      <c r="J350" s="219"/>
      <c r="K350" s="219"/>
      <c r="L350" s="219"/>
      <c r="M350" s="219"/>
      <c r="N350" s="219"/>
      <c r="O350" s="219"/>
      <c r="P350" s="221"/>
      <c r="Q350" s="221"/>
    </row>
    <row r="351" spans="9:17" x14ac:dyDescent="0.2">
      <c r="I351" s="219"/>
      <c r="J351" s="219"/>
      <c r="K351" s="219"/>
      <c r="L351" s="219"/>
      <c r="M351" s="219"/>
      <c r="N351" s="219"/>
      <c r="O351" s="219"/>
      <c r="P351" s="221"/>
      <c r="Q351" s="221"/>
    </row>
    <row r="352" spans="9:17" x14ac:dyDescent="0.2">
      <c r="I352" s="219"/>
      <c r="J352" s="219"/>
      <c r="K352" s="219"/>
      <c r="L352" s="219"/>
      <c r="M352" s="219"/>
      <c r="N352" s="219"/>
      <c r="O352" s="219"/>
      <c r="P352" s="221"/>
      <c r="Q352" s="221"/>
    </row>
    <row r="353" spans="9:17" x14ac:dyDescent="0.2">
      <c r="I353" s="219"/>
      <c r="J353" s="219"/>
      <c r="K353" s="219"/>
      <c r="L353" s="219"/>
      <c r="M353" s="219"/>
      <c r="N353" s="219"/>
      <c r="O353" s="219"/>
      <c r="P353" s="221"/>
      <c r="Q353" s="221"/>
    </row>
    <row r="354" spans="9:17" x14ac:dyDescent="0.2">
      <c r="I354" s="219"/>
      <c r="J354" s="219"/>
      <c r="K354" s="219"/>
      <c r="L354" s="219"/>
      <c r="M354" s="219"/>
      <c r="N354" s="219"/>
      <c r="O354" s="219"/>
      <c r="P354" s="221"/>
      <c r="Q354" s="221"/>
    </row>
    <row r="355" spans="9:17" x14ac:dyDescent="0.2">
      <c r="I355" s="219"/>
      <c r="J355" s="219"/>
      <c r="K355" s="219"/>
      <c r="L355" s="219"/>
      <c r="M355" s="219"/>
      <c r="N355" s="219"/>
      <c r="O355" s="219"/>
      <c r="P355" s="221"/>
      <c r="Q355" s="221"/>
    </row>
    <row r="356" spans="9:17" x14ac:dyDescent="0.2">
      <c r="I356" s="219"/>
      <c r="J356" s="219"/>
      <c r="K356" s="219"/>
      <c r="L356" s="219"/>
      <c r="M356" s="219"/>
      <c r="N356" s="219"/>
      <c r="O356" s="219"/>
      <c r="P356" s="221"/>
      <c r="Q356" s="221"/>
    </row>
    <row r="357" spans="9:17" x14ac:dyDescent="0.2">
      <c r="I357" s="219"/>
      <c r="J357" s="219"/>
      <c r="K357" s="219"/>
      <c r="L357" s="219"/>
      <c r="M357" s="219"/>
      <c r="N357" s="219"/>
      <c r="O357" s="219"/>
      <c r="P357" s="221"/>
      <c r="Q357" s="221"/>
    </row>
    <row r="358" spans="9:17" x14ac:dyDescent="0.2">
      <c r="I358" s="219"/>
      <c r="J358" s="219"/>
      <c r="K358" s="219"/>
      <c r="L358" s="219"/>
      <c r="M358" s="219"/>
      <c r="N358" s="219"/>
      <c r="O358" s="219"/>
      <c r="P358" s="221"/>
      <c r="Q358" s="221"/>
    </row>
    <row r="359" spans="9:17" x14ac:dyDescent="0.2">
      <c r="I359" s="219"/>
      <c r="J359" s="219"/>
      <c r="K359" s="219"/>
      <c r="L359" s="219"/>
      <c r="M359" s="219"/>
      <c r="N359" s="219"/>
      <c r="O359" s="219"/>
      <c r="P359" s="221"/>
      <c r="Q359" s="221"/>
    </row>
    <row r="360" spans="9:17" x14ac:dyDescent="0.2">
      <c r="I360" s="219"/>
      <c r="J360" s="219"/>
      <c r="K360" s="219"/>
      <c r="L360" s="219"/>
      <c r="M360" s="219"/>
      <c r="N360" s="219"/>
      <c r="O360" s="219"/>
      <c r="P360" s="221"/>
      <c r="Q360" s="221"/>
    </row>
    <row r="361" spans="9:17" x14ac:dyDescent="0.2">
      <c r="I361" s="219"/>
      <c r="J361" s="219"/>
      <c r="K361" s="219"/>
      <c r="L361" s="219"/>
      <c r="M361" s="219"/>
      <c r="N361" s="219"/>
      <c r="O361" s="219"/>
      <c r="P361" s="221"/>
      <c r="Q361" s="221"/>
    </row>
    <row r="362" spans="9:17" x14ac:dyDescent="0.2">
      <c r="I362" s="219"/>
      <c r="J362" s="219"/>
      <c r="K362" s="219"/>
      <c r="L362" s="219"/>
      <c r="M362" s="219"/>
      <c r="N362" s="219"/>
      <c r="O362" s="219"/>
      <c r="P362" s="221"/>
      <c r="Q362" s="221"/>
    </row>
    <row r="363" spans="9:17" x14ac:dyDescent="0.2">
      <c r="I363" s="219"/>
      <c r="J363" s="219"/>
      <c r="K363" s="219"/>
      <c r="L363" s="219"/>
      <c r="M363" s="219"/>
      <c r="N363" s="219"/>
      <c r="O363" s="219"/>
      <c r="P363" s="221"/>
      <c r="Q363" s="221"/>
    </row>
    <row r="364" spans="9:17" x14ac:dyDescent="0.2">
      <c r="I364" s="219"/>
      <c r="J364" s="219"/>
      <c r="K364" s="219"/>
      <c r="L364" s="219"/>
      <c r="M364" s="219"/>
      <c r="N364" s="219"/>
      <c r="O364" s="219"/>
      <c r="P364" s="221"/>
      <c r="Q364" s="221"/>
    </row>
    <row r="365" spans="9:17" x14ac:dyDescent="0.2">
      <c r="I365" s="219"/>
      <c r="J365" s="219"/>
      <c r="K365" s="219"/>
      <c r="L365" s="219"/>
      <c r="M365" s="219"/>
      <c r="N365" s="219"/>
      <c r="O365" s="219"/>
      <c r="P365" s="221"/>
      <c r="Q365" s="221"/>
    </row>
    <row r="366" spans="9:17" x14ac:dyDescent="0.2">
      <c r="I366" s="219"/>
      <c r="J366" s="219"/>
      <c r="K366" s="219"/>
      <c r="L366" s="219"/>
      <c r="M366" s="219"/>
      <c r="N366" s="219"/>
      <c r="O366" s="219"/>
      <c r="P366" s="221"/>
      <c r="Q366" s="221"/>
    </row>
    <row r="367" spans="9:17" x14ac:dyDescent="0.2">
      <c r="I367" s="219"/>
      <c r="J367" s="219"/>
      <c r="K367" s="219"/>
      <c r="L367" s="219"/>
      <c r="M367" s="219"/>
      <c r="N367" s="219"/>
      <c r="O367" s="219"/>
      <c r="P367" s="221"/>
      <c r="Q367" s="221"/>
    </row>
    <row r="368" spans="9:17" x14ac:dyDescent="0.2">
      <c r="I368" s="219"/>
      <c r="J368" s="219"/>
      <c r="K368" s="219"/>
      <c r="L368" s="219"/>
      <c r="M368" s="219"/>
      <c r="N368" s="219"/>
      <c r="O368" s="219"/>
      <c r="P368" s="221"/>
      <c r="Q368" s="221"/>
    </row>
    <row r="369" spans="9:17" x14ac:dyDescent="0.2">
      <c r="I369" s="219"/>
      <c r="J369" s="219"/>
      <c r="K369" s="219"/>
      <c r="L369" s="219"/>
      <c r="M369" s="219"/>
      <c r="N369" s="219"/>
      <c r="O369" s="219"/>
      <c r="P369" s="221"/>
      <c r="Q369" s="221"/>
    </row>
    <row r="370" spans="9:17" x14ac:dyDescent="0.2">
      <c r="I370" s="219"/>
      <c r="J370" s="219"/>
      <c r="K370" s="219"/>
      <c r="L370" s="219"/>
      <c r="M370" s="219"/>
      <c r="N370" s="219"/>
      <c r="O370" s="219"/>
      <c r="P370" s="221"/>
      <c r="Q370" s="221"/>
    </row>
    <row r="371" spans="9:17" x14ac:dyDescent="0.2">
      <c r="I371" s="219"/>
      <c r="J371" s="219"/>
      <c r="K371" s="219"/>
      <c r="L371" s="219"/>
      <c r="M371" s="219"/>
      <c r="N371" s="219"/>
      <c r="O371" s="219"/>
      <c r="P371" s="221"/>
      <c r="Q371" s="221"/>
    </row>
    <row r="372" spans="9:17" x14ac:dyDescent="0.2">
      <c r="I372" s="219"/>
      <c r="J372" s="219"/>
      <c r="K372" s="219"/>
      <c r="L372" s="219"/>
      <c r="M372" s="219"/>
      <c r="N372" s="219"/>
      <c r="O372" s="219"/>
      <c r="P372" s="221"/>
      <c r="Q372" s="221"/>
    </row>
    <row r="373" spans="9:17" x14ac:dyDescent="0.2">
      <c r="I373" s="219"/>
      <c r="J373" s="219"/>
      <c r="K373" s="219"/>
      <c r="L373" s="219"/>
      <c r="M373" s="219"/>
      <c r="N373" s="219"/>
      <c r="O373" s="219"/>
      <c r="P373" s="221"/>
      <c r="Q373" s="221"/>
    </row>
    <row r="374" spans="9:17" x14ac:dyDescent="0.2">
      <c r="I374" s="219"/>
      <c r="J374" s="219"/>
      <c r="K374" s="219"/>
      <c r="L374" s="219"/>
      <c r="M374" s="219"/>
      <c r="N374" s="219"/>
      <c r="O374" s="219"/>
      <c r="P374" s="221"/>
      <c r="Q374" s="221"/>
    </row>
    <row r="375" spans="9:17" x14ac:dyDescent="0.2">
      <c r="I375" s="219"/>
      <c r="J375" s="219"/>
      <c r="K375" s="219"/>
      <c r="L375" s="219"/>
      <c r="M375" s="219"/>
      <c r="N375" s="219"/>
      <c r="O375" s="219"/>
      <c r="P375" s="221"/>
      <c r="Q375" s="221"/>
    </row>
    <row r="376" spans="9:17" x14ac:dyDescent="0.2">
      <c r="I376" s="219"/>
      <c r="J376" s="219"/>
      <c r="K376" s="219"/>
      <c r="L376" s="219"/>
      <c r="M376" s="219"/>
      <c r="N376" s="219"/>
      <c r="O376" s="219"/>
      <c r="P376" s="221"/>
      <c r="Q376" s="221"/>
    </row>
    <row r="377" spans="9:17" x14ac:dyDescent="0.2">
      <c r="I377" s="219"/>
      <c r="J377" s="219"/>
      <c r="K377" s="219"/>
      <c r="L377" s="219"/>
      <c r="M377" s="219"/>
      <c r="N377" s="219"/>
      <c r="O377" s="219"/>
      <c r="P377" s="221"/>
      <c r="Q377" s="221"/>
    </row>
    <row r="378" spans="9:17" x14ac:dyDescent="0.2">
      <c r="I378" s="219"/>
      <c r="J378" s="219"/>
      <c r="K378" s="219"/>
      <c r="L378" s="219"/>
      <c r="M378" s="219"/>
      <c r="N378" s="219"/>
      <c r="O378" s="219"/>
      <c r="P378" s="221"/>
      <c r="Q378" s="221"/>
    </row>
    <row r="379" spans="9:17" x14ac:dyDescent="0.2">
      <c r="I379" s="219"/>
      <c r="J379" s="219"/>
      <c r="K379" s="219"/>
      <c r="L379" s="219"/>
      <c r="M379" s="219"/>
      <c r="N379" s="219"/>
      <c r="O379" s="219"/>
      <c r="P379" s="221"/>
      <c r="Q379" s="221"/>
    </row>
    <row r="380" spans="9:17" x14ac:dyDescent="0.2">
      <c r="I380" s="219"/>
      <c r="J380" s="219"/>
      <c r="K380" s="219"/>
      <c r="L380" s="219"/>
      <c r="M380" s="219"/>
      <c r="N380" s="219"/>
      <c r="O380" s="219"/>
      <c r="P380" s="221"/>
      <c r="Q380" s="221"/>
    </row>
    <row r="381" spans="9:17" x14ac:dyDescent="0.2">
      <c r="I381" s="219"/>
      <c r="J381" s="219"/>
      <c r="K381" s="219"/>
      <c r="L381" s="219"/>
      <c r="M381" s="219"/>
      <c r="N381" s="219"/>
      <c r="O381" s="219"/>
      <c r="P381" s="221"/>
      <c r="Q381" s="221"/>
    </row>
    <row r="382" spans="9:17" x14ac:dyDescent="0.2">
      <c r="I382" s="219"/>
      <c r="J382" s="219"/>
      <c r="K382" s="219"/>
      <c r="L382" s="219"/>
      <c r="M382" s="219"/>
      <c r="N382" s="219"/>
      <c r="O382" s="219"/>
      <c r="P382" s="221"/>
      <c r="Q382" s="221"/>
    </row>
    <row r="383" spans="9:17" x14ac:dyDescent="0.2">
      <c r="I383" s="219"/>
      <c r="J383" s="219"/>
      <c r="K383" s="219"/>
      <c r="L383" s="219"/>
      <c r="M383" s="219"/>
      <c r="N383" s="219"/>
      <c r="O383" s="219"/>
      <c r="P383" s="221"/>
      <c r="Q383" s="221"/>
    </row>
    <row r="384" spans="9:17" x14ac:dyDescent="0.2">
      <c r="I384" s="219"/>
      <c r="J384" s="219"/>
      <c r="K384" s="219"/>
      <c r="L384" s="219"/>
      <c r="M384" s="219"/>
      <c r="N384" s="219"/>
      <c r="O384" s="219"/>
      <c r="P384" s="221"/>
      <c r="Q384" s="221"/>
    </row>
    <row r="385" spans="9:17" x14ac:dyDescent="0.2">
      <c r="I385" s="219"/>
      <c r="J385" s="219"/>
      <c r="K385" s="219"/>
      <c r="L385" s="219"/>
      <c r="M385" s="219"/>
      <c r="N385" s="219"/>
      <c r="O385" s="219"/>
      <c r="P385" s="221"/>
      <c r="Q385" s="221"/>
    </row>
    <row r="386" spans="9:17" x14ac:dyDescent="0.2">
      <c r="I386" s="219"/>
      <c r="J386" s="219"/>
      <c r="K386" s="219"/>
      <c r="L386" s="219"/>
      <c r="M386" s="219"/>
      <c r="N386" s="219"/>
      <c r="O386" s="219"/>
      <c r="P386" s="221"/>
      <c r="Q386" s="221"/>
    </row>
    <row r="387" spans="9:17" x14ac:dyDescent="0.2">
      <c r="I387" s="219"/>
      <c r="J387" s="219"/>
      <c r="K387" s="219"/>
      <c r="L387" s="219"/>
      <c r="M387" s="219"/>
      <c r="N387" s="219"/>
      <c r="O387" s="219"/>
      <c r="P387" s="221"/>
      <c r="Q387" s="221"/>
    </row>
    <row r="388" spans="9:17" x14ac:dyDescent="0.2">
      <c r="I388" s="219"/>
      <c r="J388" s="219"/>
      <c r="K388" s="219"/>
      <c r="L388" s="219"/>
      <c r="M388" s="219"/>
      <c r="N388" s="219"/>
      <c r="O388" s="219"/>
      <c r="P388" s="221"/>
      <c r="Q388" s="221"/>
    </row>
    <row r="389" spans="9:17" x14ac:dyDescent="0.2">
      <c r="I389" s="219"/>
      <c r="J389" s="219"/>
      <c r="K389" s="219"/>
      <c r="L389" s="219"/>
      <c r="M389" s="219"/>
      <c r="N389" s="219"/>
      <c r="O389" s="219"/>
      <c r="P389" s="221"/>
      <c r="Q389" s="221"/>
    </row>
    <row r="390" spans="9:17" x14ac:dyDescent="0.2">
      <c r="I390" s="219"/>
      <c r="J390" s="219"/>
      <c r="K390" s="219"/>
      <c r="L390" s="219"/>
      <c r="M390" s="219"/>
      <c r="N390" s="219"/>
      <c r="O390" s="219"/>
      <c r="P390" s="221"/>
      <c r="Q390" s="221"/>
    </row>
    <row r="391" spans="9:17" x14ac:dyDescent="0.2">
      <c r="I391" s="219"/>
      <c r="J391" s="219"/>
      <c r="K391" s="219"/>
      <c r="L391" s="219"/>
      <c r="M391" s="219"/>
      <c r="N391" s="219"/>
      <c r="O391" s="219"/>
      <c r="P391" s="221"/>
      <c r="Q391" s="221"/>
    </row>
    <row r="392" spans="9:17" x14ac:dyDescent="0.2">
      <c r="I392" s="219"/>
      <c r="J392" s="219"/>
      <c r="K392" s="219"/>
      <c r="L392" s="219"/>
      <c r="M392" s="219"/>
      <c r="N392" s="219"/>
      <c r="O392" s="219"/>
      <c r="P392" s="221"/>
      <c r="Q392" s="221"/>
    </row>
    <row r="393" spans="9:17" x14ac:dyDescent="0.2">
      <c r="I393" s="219"/>
      <c r="J393" s="219"/>
      <c r="K393" s="219"/>
      <c r="L393" s="219"/>
      <c r="M393" s="219"/>
      <c r="N393" s="219"/>
      <c r="O393" s="219"/>
      <c r="P393" s="221"/>
      <c r="Q393" s="221"/>
    </row>
    <row r="394" spans="9:17" x14ac:dyDescent="0.2">
      <c r="I394" s="219"/>
      <c r="J394" s="219"/>
      <c r="K394" s="219"/>
      <c r="L394" s="219"/>
      <c r="M394" s="219"/>
      <c r="N394" s="219"/>
      <c r="O394" s="219"/>
      <c r="P394" s="221"/>
      <c r="Q394" s="221"/>
    </row>
    <row r="395" spans="9:17" x14ac:dyDescent="0.2">
      <c r="I395" s="219"/>
      <c r="J395" s="219"/>
      <c r="K395" s="219"/>
      <c r="L395" s="219"/>
      <c r="M395" s="219"/>
      <c r="N395" s="219"/>
      <c r="O395" s="219"/>
      <c r="P395" s="221"/>
      <c r="Q395" s="221"/>
    </row>
    <row r="396" spans="9:17" x14ac:dyDescent="0.2">
      <c r="I396" s="219"/>
      <c r="J396" s="219"/>
      <c r="K396" s="219"/>
      <c r="L396" s="219"/>
      <c r="M396" s="219"/>
      <c r="N396" s="219"/>
      <c r="O396" s="219"/>
      <c r="P396" s="221"/>
      <c r="Q396" s="221"/>
    </row>
    <row r="397" spans="9:17" x14ac:dyDescent="0.2">
      <c r="I397" s="219"/>
      <c r="J397" s="219"/>
      <c r="K397" s="219"/>
      <c r="L397" s="219"/>
      <c r="M397" s="219"/>
      <c r="N397" s="219"/>
      <c r="O397" s="219"/>
      <c r="P397" s="221"/>
      <c r="Q397" s="221"/>
    </row>
    <row r="398" spans="9:17" x14ac:dyDescent="0.2">
      <c r="I398" s="219"/>
      <c r="J398" s="219"/>
      <c r="K398" s="219"/>
      <c r="L398" s="219"/>
      <c r="M398" s="219"/>
      <c r="N398" s="219"/>
      <c r="O398" s="219"/>
      <c r="P398" s="221"/>
      <c r="Q398" s="221"/>
    </row>
    <row r="399" spans="9:17" x14ac:dyDescent="0.2">
      <c r="I399" s="219"/>
      <c r="J399" s="219"/>
      <c r="K399" s="219"/>
      <c r="L399" s="219"/>
      <c r="M399" s="219"/>
      <c r="N399" s="219"/>
      <c r="O399" s="219"/>
      <c r="P399" s="221"/>
      <c r="Q399" s="221"/>
    </row>
    <row r="400" spans="9:17" x14ac:dyDescent="0.2">
      <c r="I400" s="219"/>
      <c r="J400" s="219"/>
      <c r="K400" s="219"/>
      <c r="L400" s="219"/>
      <c r="M400" s="219"/>
      <c r="N400" s="219"/>
      <c r="O400" s="219"/>
      <c r="P400" s="221"/>
      <c r="Q400" s="221"/>
    </row>
    <row r="401" spans="9:17" x14ac:dyDescent="0.2">
      <c r="I401" s="219"/>
      <c r="J401" s="219"/>
      <c r="K401" s="219"/>
      <c r="L401" s="219"/>
      <c r="M401" s="219"/>
      <c r="N401" s="219"/>
      <c r="O401" s="219"/>
      <c r="P401" s="221"/>
      <c r="Q401" s="221"/>
    </row>
    <row r="402" spans="9:17" x14ac:dyDescent="0.2">
      <c r="I402" s="219"/>
      <c r="J402" s="219"/>
      <c r="K402" s="219"/>
      <c r="L402" s="219"/>
      <c r="M402" s="219"/>
      <c r="N402" s="219"/>
      <c r="O402" s="219"/>
      <c r="P402" s="221"/>
      <c r="Q402" s="221"/>
    </row>
    <row r="403" spans="9:17" x14ac:dyDescent="0.2">
      <c r="I403" s="219"/>
      <c r="J403" s="219"/>
      <c r="K403" s="219"/>
      <c r="L403" s="219"/>
      <c r="M403" s="219"/>
      <c r="N403" s="219"/>
      <c r="O403" s="219"/>
      <c r="P403" s="221"/>
      <c r="Q403" s="221"/>
    </row>
    <row r="404" spans="9:17" x14ac:dyDescent="0.2">
      <c r="I404" s="219"/>
      <c r="J404" s="219"/>
      <c r="K404" s="219"/>
      <c r="L404" s="219"/>
      <c r="M404" s="219"/>
      <c r="N404" s="219"/>
      <c r="O404" s="219"/>
      <c r="P404" s="221"/>
      <c r="Q404" s="221"/>
    </row>
    <row r="405" spans="9:17" x14ac:dyDescent="0.2">
      <c r="I405" s="219"/>
      <c r="J405" s="219"/>
      <c r="K405" s="219"/>
      <c r="L405" s="219"/>
      <c r="M405" s="219"/>
      <c r="N405" s="219"/>
      <c r="O405" s="219"/>
      <c r="P405" s="221"/>
      <c r="Q405" s="221"/>
    </row>
    <row r="406" spans="9:17" x14ac:dyDescent="0.2">
      <c r="I406" s="219"/>
      <c r="J406" s="219"/>
      <c r="K406" s="219"/>
      <c r="L406" s="219"/>
      <c r="M406" s="219"/>
      <c r="N406" s="219"/>
      <c r="O406" s="219"/>
      <c r="P406" s="221"/>
      <c r="Q406" s="221"/>
    </row>
    <row r="407" spans="9:17" x14ac:dyDescent="0.2">
      <c r="I407" s="219"/>
      <c r="J407" s="219"/>
      <c r="K407" s="219"/>
      <c r="L407" s="219"/>
      <c r="M407" s="219"/>
      <c r="N407" s="219"/>
      <c r="O407" s="219"/>
      <c r="P407" s="221"/>
      <c r="Q407" s="221"/>
    </row>
    <row r="408" spans="9:17" x14ac:dyDescent="0.2">
      <c r="I408" s="219"/>
      <c r="J408" s="219"/>
      <c r="K408" s="219"/>
      <c r="L408" s="219"/>
      <c r="M408" s="219"/>
      <c r="N408" s="219"/>
      <c r="O408" s="219"/>
      <c r="P408" s="221"/>
      <c r="Q408" s="221"/>
    </row>
    <row r="409" spans="9:17" x14ac:dyDescent="0.2">
      <c r="I409" s="219"/>
      <c r="J409" s="219"/>
      <c r="K409" s="219"/>
      <c r="L409" s="219"/>
      <c r="M409" s="219"/>
      <c r="N409" s="219"/>
      <c r="O409" s="219"/>
      <c r="P409" s="221"/>
      <c r="Q409" s="221"/>
    </row>
    <row r="410" spans="9:17" x14ac:dyDescent="0.2">
      <c r="I410" s="219"/>
      <c r="J410" s="219"/>
      <c r="K410" s="219"/>
      <c r="L410" s="219"/>
      <c r="M410" s="219"/>
      <c r="N410" s="219"/>
      <c r="O410" s="219"/>
      <c r="P410" s="221"/>
      <c r="Q410" s="221"/>
    </row>
    <row r="411" spans="9:17" x14ac:dyDescent="0.2">
      <c r="I411" s="219"/>
      <c r="J411" s="219"/>
      <c r="K411" s="219"/>
      <c r="L411" s="219"/>
      <c r="M411" s="219"/>
      <c r="N411" s="219"/>
      <c r="O411" s="219"/>
      <c r="P411" s="221"/>
      <c r="Q411" s="221"/>
    </row>
    <row r="412" spans="9:17" x14ac:dyDescent="0.2">
      <c r="I412" s="219"/>
      <c r="J412" s="219"/>
      <c r="K412" s="219"/>
      <c r="L412" s="219"/>
      <c r="M412" s="219"/>
      <c r="N412" s="219"/>
      <c r="O412" s="219"/>
      <c r="P412" s="221"/>
      <c r="Q412" s="221"/>
    </row>
    <row r="413" spans="9:17" x14ac:dyDescent="0.2">
      <c r="I413" s="219"/>
      <c r="J413" s="219"/>
      <c r="K413" s="219"/>
      <c r="L413" s="219"/>
      <c r="M413" s="219"/>
      <c r="N413" s="219"/>
      <c r="O413" s="219"/>
      <c r="P413" s="221"/>
      <c r="Q413" s="221"/>
    </row>
    <row r="414" spans="9:17" x14ac:dyDescent="0.2">
      <c r="I414" s="219"/>
      <c r="J414" s="219"/>
      <c r="K414" s="219"/>
      <c r="L414" s="219"/>
      <c r="M414" s="219"/>
      <c r="N414" s="219"/>
      <c r="O414" s="219"/>
      <c r="P414" s="221"/>
      <c r="Q414" s="221"/>
    </row>
    <row r="415" spans="9:17" x14ac:dyDescent="0.2">
      <c r="I415" s="219"/>
      <c r="J415" s="219"/>
      <c r="K415" s="219"/>
      <c r="L415" s="219"/>
      <c r="M415" s="219"/>
      <c r="N415" s="219"/>
      <c r="O415" s="219"/>
      <c r="P415" s="221"/>
      <c r="Q415" s="221"/>
    </row>
    <row r="416" spans="9:17" x14ac:dyDescent="0.2">
      <c r="I416" s="219"/>
      <c r="J416" s="219"/>
      <c r="K416" s="219"/>
      <c r="L416" s="219"/>
      <c r="M416" s="219"/>
      <c r="N416" s="219"/>
      <c r="O416" s="219"/>
      <c r="P416" s="221"/>
      <c r="Q416" s="221"/>
    </row>
    <row r="417" spans="9:17" x14ac:dyDescent="0.2">
      <c r="I417" s="219"/>
      <c r="J417" s="219"/>
      <c r="K417" s="219"/>
      <c r="L417" s="219"/>
      <c r="M417" s="219"/>
      <c r="N417" s="219"/>
      <c r="O417" s="219"/>
      <c r="P417" s="221"/>
      <c r="Q417" s="221"/>
    </row>
    <row r="418" spans="9:17" x14ac:dyDescent="0.2">
      <c r="I418" s="219"/>
      <c r="J418" s="219"/>
      <c r="K418" s="219"/>
      <c r="L418" s="219"/>
      <c r="M418" s="219"/>
      <c r="N418" s="219"/>
      <c r="O418" s="219"/>
      <c r="P418" s="221"/>
      <c r="Q418" s="221"/>
    </row>
    <row r="419" spans="9:17" x14ac:dyDescent="0.2">
      <c r="I419" s="219"/>
      <c r="J419" s="219"/>
      <c r="K419" s="219"/>
      <c r="L419" s="219"/>
      <c r="M419" s="219"/>
      <c r="N419" s="219"/>
      <c r="O419" s="219"/>
      <c r="P419" s="221"/>
      <c r="Q419" s="221"/>
    </row>
    <row r="420" spans="9:17" x14ac:dyDescent="0.2">
      <c r="I420" s="219"/>
      <c r="J420" s="219"/>
      <c r="K420" s="219"/>
      <c r="L420" s="219"/>
      <c r="M420" s="219"/>
      <c r="N420" s="219"/>
      <c r="O420" s="219"/>
      <c r="P420" s="221"/>
      <c r="Q420" s="221"/>
    </row>
    <row r="421" spans="9:17" x14ac:dyDescent="0.2">
      <c r="I421" s="219"/>
      <c r="J421" s="219"/>
      <c r="K421" s="219"/>
      <c r="L421" s="219"/>
      <c r="M421" s="219"/>
      <c r="N421" s="219"/>
      <c r="O421" s="219"/>
      <c r="P421" s="221"/>
      <c r="Q421" s="221"/>
    </row>
    <row r="422" spans="9:17" x14ac:dyDescent="0.2">
      <c r="I422" s="219"/>
      <c r="J422" s="219"/>
      <c r="K422" s="219"/>
      <c r="L422" s="219"/>
      <c r="M422" s="219"/>
      <c r="N422" s="219"/>
      <c r="O422" s="219"/>
      <c r="P422" s="221"/>
      <c r="Q422" s="221"/>
    </row>
    <row r="423" spans="9:17" x14ac:dyDescent="0.2">
      <c r="I423" s="219"/>
      <c r="J423" s="219"/>
      <c r="K423" s="219"/>
      <c r="L423" s="219"/>
      <c r="M423" s="219"/>
      <c r="N423" s="219"/>
      <c r="O423" s="219"/>
      <c r="P423" s="221"/>
      <c r="Q423" s="221"/>
    </row>
    <row r="424" spans="9:17" x14ac:dyDescent="0.2">
      <c r="I424" s="219"/>
      <c r="J424" s="219"/>
      <c r="K424" s="219"/>
      <c r="L424" s="219"/>
      <c r="M424" s="219"/>
      <c r="N424" s="219"/>
      <c r="O424" s="219"/>
      <c r="P424" s="221"/>
      <c r="Q424" s="221"/>
    </row>
    <row r="425" spans="9:17" x14ac:dyDescent="0.2">
      <c r="I425" s="219"/>
      <c r="J425" s="219"/>
      <c r="K425" s="219"/>
      <c r="L425" s="219"/>
      <c r="M425" s="219"/>
      <c r="N425" s="219"/>
      <c r="O425" s="219"/>
      <c r="P425" s="221"/>
      <c r="Q425" s="221"/>
    </row>
    <row r="426" spans="9:17" x14ac:dyDescent="0.2">
      <c r="I426" s="219"/>
      <c r="J426" s="219"/>
      <c r="K426" s="219"/>
      <c r="L426" s="219"/>
      <c r="M426" s="219"/>
      <c r="N426" s="219"/>
      <c r="O426" s="219"/>
      <c r="P426" s="221"/>
      <c r="Q426" s="221"/>
    </row>
    <row r="427" spans="9:17" x14ac:dyDescent="0.2">
      <c r="I427" s="219"/>
      <c r="J427" s="219"/>
      <c r="K427" s="219"/>
      <c r="L427" s="219"/>
      <c r="M427" s="219"/>
      <c r="N427" s="219"/>
      <c r="O427" s="219"/>
      <c r="P427" s="221"/>
      <c r="Q427" s="221"/>
    </row>
    <row r="428" spans="9:17" x14ac:dyDescent="0.2">
      <c r="I428" s="219"/>
      <c r="J428" s="219"/>
      <c r="K428" s="219"/>
      <c r="L428" s="219"/>
      <c r="M428" s="219"/>
      <c r="N428" s="219"/>
      <c r="O428" s="219"/>
      <c r="P428" s="221"/>
      <c r="Q428" s="221"/>
    </row>
    <row r="429" spans="9:17" x14ac:dyDescent="0.2">
      <c r="I429" s="219"/>
      <c r="J429" s="219"/>
      <c r="K429" s="219"/>
      <c r="L429" s="219"/>
      <c r="M429" s="219"/>
      <c r="N429" s="219"/>
      <c r="O429" s="219"/>
      <c r="P429" s="221"/>
      <c r="Q429" s="221"/>
    </row>
    <row r="430" spans="9:17" x14ac:dyDescent="0.2">
      <c r="I430" s="219"/>
      <c r="J430" s="219"/>
      <c r="K430" s="219"/>
      <c r="L430" s="219"/>
      <c r="M430" s="219"/>
      <c r="N430" s="219"/>
      <c r="O430" s="219"/>
      <c r="P430" s="221"/>
      <c r="Q430" s="221"/>
    </row>
    <row r="431" spans="9:17" x14ac:dyDescent="0.2">
      <c r="I431" s="219"/>
      <c r="J431" s="219"/>
      <c r="K431" s="219"/>
      <c r="L431" s="219"/>
      <c r="M431" s="219"/>
      <c r="N431" s="219"/>
      <c r="O431" s="219"/>
      <c r="P431" s="221"/>
      <c r="Q431" s="221"/>
    </row>
    <row r="432" spans="9:17" x14ac:dyDescent="0.2">
      <c r="I432" s="219"/>
      <c r="J432" s="219"/>
      <c r="K432" s="219"/>
      <c r="L432" s="219"/>
      <c r="M432" s="219"/>
      <c r="N432" s="219"/>
      <c r="O432" s="219"/>
      <c r="P432" s="221"/>
      <c r="Q432" s="221"/>
    </row>
    <row r="433" spans="9:17" x14ac:dyDescent="0.2">
      <c r="I433" s="219"/>
      <c r="J433" s="219"/>
      <c r="K433" s="219"/>
      <c r="L433" s="219"/>
      <c r="M433" s="219"/>
      <c r="N433" s="219"/>
      <c r="O433" s="219"/>
      <c r="P433" s="221"/>
      <c r="Q433" s="221"/>
    </row>
    <row r="434" spans="9:17" x14ac:dyDescent="0.2">
      <c r="I434" s="219"/>
      <c r="J434" s="219"/>
      <c r="K434" s="219"/>
      <c r="L434" s="219"/>
      <c r="M434" s="219"/>
      <c r="N434" s="219"/>
      <c r="O434" s="219"/>
      <c r="P434" s="221"/>
      <c r="Q434" s="221"/>
    </row>
    <row r="435" spans="9:17" x14ac:dyDescent="0.2">
      <c r="I435" s="219"/>
      <c r="J435" s="219"/>
      <c r="K435" s="219"/>
      <c r="L435" s="219"/>
      <c r="M435" s="219"/>
      <c r="N435" s="219"/>
      <c r="O435" s="219"/>
      <c r="P435" s="221"/>
      <c r="Q435" s="221"/>
    </row>
    <row r="436" spans="9:17" x14ac:dyDescent="0.2">
      <c r="I436" s="219"/>
      <c r="J436" s="219"/>
      <c r="K436" s="219"/>
      <c r="L436" s="219"/>
      <c r="M436" s="219"/>
      <c r="N436" s="219"/>
      <c r="O436" s="219"/>
      <c r="P436" s="221"/>
      <c r="Q436" s="221"/>
    </row>
    <row r="437" spans="9:17" x14ac:dyDescent="0.2">
      <c r="I437" s="219"/>
      <c r="J437" s="219"/>
      <c r="K437" s="219"/>
      <c r="L437" s="219"/>
      <c r="M437" s="219"/>
      <c r="N437" s="219"/>
      <c r="O437" s="219"/>
      <c r="P437" s="221"/>
      <c r="Q437" s="221"/>
    </row>
    <row r="438" spans="9:17" x14ac:dyDescent="0.2">
      <c r="I438" s="219"/>
      <c r="J438" s="219"/>
      <c r="K438" s="219"/>
      <c r="L438" s="219"/>
      <c r="M438" s="219"/>
      <c r="N438" s="219"/>
      <c r="O438" s="219"/>
      <c r="P438" s="221"/>
      <c r="Q438" s="221"/>
    </row>
    <row r="439" spans="9:17" x14ac:dyDescent="0.2">
      <c r="I439" s="219"/>
      <c r="J439" s="219"/>
      <c r="K439" s="219"/>
      <c r="L439" s="219"/>
      <c r="M439" s="219"/>
      <c r="N439" s="219"/>
      <c r="O439" s="219"/>
      <c r="P439" s="221"/>
      <c r="Q439" s="221"/>
    </row>
    <row r="440" spans="9:17" x14ac:dyDescent="0.2">
      <c r="I440" s="219"/>
      <c r="J440" s="219"/>
      <c r="K440" s="219"/>
      <c r="L440" s="219"/>
      <c r="M440" s="219"/>
      <c r="N440" s="219"/>
      <c r="O440" s="219"/>
      <c r="P440" s="221"/>
      <c r="Q440" s="221"/>
    </row>
    <row r="441" spans="9:17" x14ac:dyDescent="0.2">
      <c r="I441" s="219"/>
      <c r="J441" s="219"/>
      <c r="K441" s="219"/>
      <c r="L441" s="219"/>
      <c r="M441" s="219"/>
      <c r="N441" s="219"/>
      <c r="O441" s="219"/>
      <c r="P441" s="221"/>
      <c r="Q441" s="221"/>
    </row>
    <row r="442" spans="9:17" x14ac:dyDescent="0.2">
      <c r="I442" s="219"/>
      <c r="J442" s="219"/>
      <c r="K442" s="219"/>
      <c r="L442" s="219"/>
      <c r="M442" s="219"/>
      <c r="N442" s="219"/>
      <c r="O442" s="219"/>
      <c r="P442" s="221"/>
      <c r="Q442" s="221"/>
    </row>
    <row r="443" spans="9:17" x14ac:dyDescent="0.2">
      <c r="I443" s="219"/>
      <c r="J443" s="219"/>
      <c r="K443" s="219"/>
      <c r="L443" s="219"/>
      <c r="M443" s="219"/>
      <c r="N443" s="219"/>
      <c r="O443" s="219"/>
      <c r="P443" s="221"/>
      <c r="Q443" s="221"/>
    </row>
    <row r="444" spans="9:17" x14ac:dyDescent="0.2">
      <c r="I444" s="219"/>
      <c r="J444" s="219"/>
      <c r="K444" s="219"/>
      <c r="L444" s="219"/>
      <c r="M444" s="219"/>
      <c r="N444" s="219"/>
      <c r="O444" s="219"/>
      <c r="P444" s="221"/>
      <c r="Q444" s="221"/>
    </row>
    <row r="445" spans="9:17" x14ac:dyDescent="0.2">
      <c r="I445" s="219"/>
      <c r="J445" s="219"/>
      <c r="K445" s="219"/>
      <c r="L445" s="219"/>
      <c r="M445" s="219"/>
      <c r="N445" s="219"/>
      <c r="O445" s="219"/>
      <c r="P445" s="221"/>
      <c r="Q445" s="221"/>
    </row>
    <row r="446" spans="9:17" x14ac:dyDescent="0.2">
      <c r="I446" s="219"/>
      <c r="J446" s="219"/>
      <c r="K446" s="219"/>
      <c r="L446" s="219"/>
      <c r="M446" s="219"/>
      <c r="N446" s="219"/>
      <c r="O446" s="219"/>
      <c r="P446" s="221"/>
      <c r="Q446" s="221"/>
    </row>
    <row r="447" spans="9:17" x14ac:dyDescent="0.2">
      <c r="I447" s="219"/>
      <c r="J447" s="219"/>
      <c r="K447" s="219"/>
      <c r="L447" s="219"/>
      <c r="M447" s="219"/>
      <c r="N447" s="219"/>
      <c r="O447" s="219"/>
      <c r="P447" s="221"/>
      <c r="Q447" s="221"/>
    </row>
    <row r="448" spans="9:17" x14ac:dyDescent="0.2">
      <c r="I448" s="219"/>
      <c r="J448" s="219"/>
      <c r="K448" s="219"/>
      <c r="L448" s="219"/>
      <c r="M448" s="219"/>
      <c r="N448" s="219"/>
      <c r="O448" s="219"/>
      <c r="P448" s="221"/>
      <c r="Q448" s="221"/>
    </row>
    <row r="449" spans="9:17" x14ac:dyDescent="0.2">
      <c r="I449" s="219"/>
      <c r="J449" s="219"/>
      <c r="K449" s="219"/>
      <c r="L449" s="219"/>
      <c r="M449" s="219"/>
      <c r="N449" s="219"/>
      <c r="O449" s="219"/>
      <c r="P449" s="221"/>
      <c r="Q449" s="221"/>
    </row>
    <row r="450" spans="9:17" x14ac:dyDescent="0.2">
      <c r="I450" s="219"/>
      <c r="J450" s="219"/>
      <c r="K450" s="219"/>
      <c r="L450" s="219"/>
      <c r="M450" s="219"/>
      <c r="N450" s="219"/>
      <c r="O450" s="219"/>
      <c r="P450" s="221"/>
      <c r="Q450" s="221"/>
    </row>
    <row r="451" spans="9:17" x14ac:dyDescent="0.2">
      <c r="I451" s="219"/>
      <c r="J451" s="219"/>
      <c r="K451" s="219"/>
      <c r="L451" s="219"/>
      <c r="M451" s="219"/>
      <c r="N451" s="219"/>
      <c r="O451" s="219"/>
      <c r="P451" s="221"/>
      <c r="Q451" s="221"/>
    </row>
    <row r="452" spans="9:17" x14ac:dyDescent="0.2">
      <c r="I452" s="219"/>
      <c r="J452" s="219"/>
      <c r="K452" s="219"/>
      <c r="L452" s="219"/>
      <c r="M452" s="219"/>
      <c r="N452" s="219"/>
      <c r="O452" s="219"/>
      <c r="P452" s="221"/>
      <c r="Q452" s="221"/>
    </row>
    <row r="453" spans="9:17" x14ac:dyDescent="0.2">
      <c r="I453" s="219"/>
      <c r="J453" s="219"/>
      <c r="K453" s="219"/>
      <c r="L453" s="219"/>
      <c r="M453" s="219"/>
      <c r="N453" s="219"/>
      <c r="O453" s="219"/>
      <c r="P453" s="221"/>
      <c r="Q453" s="221"/>
    </row>
    <row r="454" spans="9:17" x14ac:dyDescent="0.2">
      <c r="I454" s="219"/>
      <c r="J454" s="219"/>
      <c r="K454" s="219"/>
      <c r="L454" s="219"/>
      <c r="M454" s="219"/>
      <c r="N454" s="219"/>
      <c r="O454" s="219"/>
      <c r="P454" s="221"/>
      <c r="Q454" s="221"/>
    </row>
    <row r="455" spans="9:17" x14ac:dyDescent="0.2">
      <c r="I455" s="219"/>
      <c r="J455" s="219"/>
      <c r="K455" s="219"/>
      <c r="L455" s="219"/>
      <c r="M455" s="219"/>
      <c r="N455" s="219"/>
      <c r="O455" s="219"/>
      <c r="P455" s="221"/>
      <c r="Q455" s="221"/>
    </row>
    <row r="456" spans="9:17" x14ac:dyDescent="0.2">
      <c r="I456" s="219"/>
      <c r="J456" s="219"/>
      <c r="K456" s="219"/>
      <c r="L456" s="219"/>
      <c r="M456" s="219"/>
      <c r="N456" s="219"/>
      <c r="O456" s="219"/>
      <c r="P456" s="221"/>
      <c r="Q456" s="221"/>
    </row>
    <row r="457" spans="9:17" x14ac:dyDescent="0.2">
      <c r="I457" s="219"/>
      <c r="J457" s="219"/>
      <c r="K457" s="219"/>
      <c r="L457" s="219"/>
      <c r="M457" s="219"/>
      <c r="N457" s="219"/>
      <c r="O457" s="219"/>
      <c r="P457" s="221"/>
      <c r="Q457" s="221"/>
    </row>
    <row r="458" spans="9:17" x14ac:dyDescent="0.2">
      <c r="I458" s="219"/>
      <c r="J458" s="219"/>
      <c r="K458" s="219"/>
      <c r="L458" s="219"/>
      <c r="M458" s="219"/>
      <c r="N458" s="219"/>
      <c r="O458" s="219"/>
      <c r="P458" s="221"/>
      <c r="Q458" s="221"/>
    </row>
    <row r="459" spans="9:17" x14ac:dyDescent="0.2">
      <c r="I459" s="219"/>
      <c r="J459" s="219"/>
      <c r="K459" s="219"/>
      <c r="L459" s="219"/>
      <c r="M459" s="219"/>
      <c r="N459" s="219"/>
      <c r="O459" s="219"/>
      <c r="P459" s="221"/>
      <c r="Q459" s="221"/>
    </row>
    <row r="460" spans="9:17" x14ac:dyDescent="0.2">
      <c r="I460" s="219"/>
      <c r="J460" s="219"/>
      <c r="K460" s="219"/>
      <c r="L460" s="219"/>
      <c r="M460" s="219"/>
      <c r="N460" s="219"/>
      <c r="O460" s="219"/>
      <c r="P460" s="221"/>
      <c r="Q460" s="221"/>
    </row>
    <row r="461" spans="9:17" x14ac:dyDescent="0.2">
      <c r="I461" s="219"/>
      <c r="J461" s="219"/>
      <c r="K461" s="219"/>
      <c r="L461" s="219"/>
      <c r="M461" s="219"/>
      <c r="N461" s="219"/>
      <c r="O461" s="219"/>
      <c r="P461" s="221"/>
      <c r="Q461" s="221"/>
    </row>
    <row r="462" spans="9:17" x14ac:dyDescent="0.2">
      <c r="I462" s="219"/>
      <c r="J462" s="219"/>
      <c r="K462" s="219"/>
      <c r="L462" s="219"/>
      <c r="M462" s="219"/>
      <c r="N462" s="219"/>
      <c r="O462" s="219"/>
      <c r="P462" s="221"/>
      <c r="Q462" s="221"/>
    </row>
    <row r="463" spans="9:17" x14ac:dyDescent="0.2">
      <c r="I463" s="219"/>
      <c r="J463" s="219"/>
      <c r="K463" s="219"/>
      <c r="L463" s="219"/>
      <c r="M463" s="219"/>
      <c r="N463" s="219"/>
      <c r="O463" s="219"/>
      <c r="P463" s="221"/>
      <c r="Q463" s="221"/>
    </row>
    <row r="464" spans="9:17" x14ac:dyDescent="0.2">
      <c r="I464" s="219"/>
      <c r="J464" s="219"/>
      <c r="K464" s="219"/>
      <c r="L464" s="219"/>
      <c r="M464" s="219"/>
      <c r="N464" s="219"/>
      <c r="O464" s="219"/>
      <c r="P464" s="221"/>
      <c r="Q464" s="221"/>
    </row>
    <row r="465" spans="9:17" x14ac:dyDescent="0.2">
      <c r="I465" s="219"/>
      <c r="J465" s="219"/>
      <c r="K465" s="219"/>
      <c r="L465" s="219"/>
      <c r="M465" s="219"/>
      <c r="N465" s="219"/>
      <c r="O465" s="219"/>
      <c r="P465" s="221"/>
      <c r="Q465" s="221"/>
    </row>
    <row r="466" spans="9:17" x14ac:dyDescent="0.2">
      <c r="I466" s="219"/>
      <c r="J466" s="219"/>
      <c r="K466" s="219"/>
      <c r="L466" s="219"/>
      <c r="M466" s="219"/>
      <c r="N466" s="219"/>
      <c r="O466" s="219"/>
      <c r="P466" s="221"/>
      <c r="Q466" s="221"/>
    </row>
    <row r="467" spans="9:17" x14ac:dyDescent="0.2">
      <c r="I467" s="219"/>
      <c r="J467" s="219"/>
      <c r="K467" s="219"/>
      <c r="L467" s="219"/>
      <c r="M467" s="219"/>
      <c r="N467" s="219"/>
      <c r="O467" s="219"/>
      <c r="P467" s="221"/>
      <c r="Q467" s="221"/>
    </row>
    <row r="468" spans="9:17" x14ac:dyDescent="0.2">
      <c r="I468" s="219"/>
      <c r="J468" s="219"/>
      <c r="K468" s="219"/>
      <c r="L468" s="219"/>
      <c r="M468" s="219"/>
      <c r="N468" s="219"/>
      <c r="O468" s="219"/>
      <c r="P468" s="221"/>
      <c r="Q468" s="221"/>
    </row>
    <row r="469" spans="9:17" x14ac:dyDescent="0.2">
      <c r="I469" s="219"/>
      <c r="J469" s="219"/>
      <c r="K469" s="219"/>
      <c r="L469" s="219"/>
      <c r="M469" s="219"/>
      <c r="N469" s="219"/>
      <c r="O469" s="219"/>
      <c r="P469" s="221"/>
      <c r="Q469" s="221"/>
    </row>
    <row r="470" spans="9:17" x14ac:dyDescent="0.2">
      <c r="I470" s="219"/>
      <c r="J470" s="219"/>
      <c r="K470" s="219"/>
      <c r="L470" s="219"/>
      <c r="M470" s="219"/>
      <c r="N470" s="219"/>
      <c r="O470" s="219"/>
      <c r="P470" s="221"/>
      <c r="Q470" s="221"/>
    </row>
    <row r="471" spans="9:17" x14ac:dyDescent="0.2">
      <c r="I471" s="219"/>
      <c r="J471" s="219"/>
      <c r="K471" s="219"/>
      <c r="L471" s="219"/>
      <c r="M471" s="219"/>
      <c r="N471" s="219"/>
      <c r="O471" s="219"/>
      <c r="P471" s="221"/>
      <c r="Q471" s="221"/>
    </row>
    <row r="472" spans="9:17" x14ac:dyDescent="0.2">
      <c r="I472" s="219"/>
      <c r="J472" s="219"/>
      <c r="K472" s="219"/>
      <c r="L472" s="219"/>
      <c r="M472" s="219"/>
      <c r="N472" s="219"/>
      <c r="O472" s="219"/>
      <c r="P472" s="221"/>
      <c r="Q472" s="221"/>
    </row>
    <row r="473" spans="9:17" x14ac:dyDescent="0.2">
      <c r="I473" s="219"/>
      <c r="J473" s="219"/>
      <c r="K473" s="219"/>
      <c r="L473" s="219"/>
      <c r="M473" s="219"/>
      <c r="N473" s="219"/>
      <c r="O473" s="219"/>
      <c r="P473" s="221"/>
      <c r="Q473" s="221"/>
    </row>
    <row r="474" spans="9:17" x14ac:dyDescent="0.2">
      <c r="I474" s="219"/>
      <c r="J474" s="219"/>
      <c r="K474" s="219"/>
      <c r="L474" s="219"/>
      <c r="M474" s="219"/>
      <c r="N474" s="219"/>
      <c r="O474" s="219"/>
      <c r="P474" s="221"/>
      <c r="Q474" s="221"/>
    </row>
    <row r="475" spans="9:17" x14ac:dyDescent="0.2">
      <c r="I475" s="219"/>
      <c r="J475" s="219"/>
      <c r="K475" s="219"/>
      <c r="L475" s="219"/>
      <c r="M475" s="219"/>
      <c r="N475" s="219"/>
      <c r="O475" s="219"/>
      <c r="P475" s="221"/>
      <c r="Q475" s="221"/>
    </row>
    <row r="476" spans="9:17" x14ac:dyDescent="0.2">
      <c r="I476" s="219"/>
      <c r="J476" s="219"/>
      <c r="K476" s="219"/>
      <c r="L476" s="219"/>
      <c r="M476" s="219"/>
      <c r="N476" s="219"/>
      <c r="O476" s="219"/>
      <c r="P476" s="221"/>
      <c r="Q476" s="221"/>
    </row>
    <row r="477" spans="9:17" x14ac:dyDescent="0.2">
      <c r="I477" s="219"/>
      <c r="J477" s="219"/>
      <c r="K477" s="219"/>
      <c r="L477" s="219"/>
      <c r="M477" s="219"/>
      <c r="N477" s="219"/>
      <c r="O477" s="219"/>
      <c r="P477" s="221"/>
      <c r="Q477" s="221"/>
    </row>
    <row r="478" spans="9:17" x14ac:dyDescent="0.2">
      <c r="I478" s="219"/>
      <c r="J478" s="219"/>
      <c r="K478" s="219"/>
      <c r="L478" s="219"/>
      <c r="M478" s="219"/>
      <c r="N478" s="219"/>
      <c r="O478" s="219"/>
      <c r="P478" s="221"/>
      <c r="Q478" s="221"/>
    </row>
  </sheetData>
  <sheetProtection algorithmName="SHA-512" hashValue="P4oPcJdhgo3Y/HCceoyCV9U1M2R4TGOWe/Jhez/IpTdpMNB+X3bsy1m6Xk9IthgZhxVJUZRNPRYcdaSdGW+fwg==" saltValue="0+6g783L6pi0sj/NtymrEA==" spinCount="100000" sheet="1" objects="1" scenarios="1"/>
  <phoneticPr fontId="0" type="noConversion"/>
  <conditionalFormatting sqref="D112:H112">
    <cfRule type="cellIs" dxfId="618" priority="186" stopIfTrue="1" operator="greaterThan">
      <formula>0</formula>
    </cfRule>
  </conditionalFormatting>
  <conditionalFormatting sqref="C99">
    <cfRule type="expression" dxfId="617" priority="184" stopIfTrue="1">
      <formula>IF(C99&lt;&gt;"",1,0)=1</formula>
    </cfRule>
  </conditionalFormatting>
  <conditionalFormatting sqref="D21:O23">
    <cfRule type="expression" dxfId="616" priority="181" stopIfTrue="1">
      <formula>IF(D21&lt;&gt;"",1,0)=1</formula>
    </cfRule>
  </conditionalFormatting>
  <conditionalFormatting sqref="D37:O38">
    <cfRule type="expression" dxfId="615" priority="176" stopIfTrue="1">
      <formula>IF(D37&lt;&gt;"",1,0)=1</formula>
    </cfRule>
  </conditionalFormatting>
  <conditionalFormatting sqref="E82:H83">
    <cfRule type="expression" dxfId="614" priority="145" stopIfTrue="1">
      <formula>IF(E82&lt;&gt;"",1,0)=1</formula>
    </cfRule>
  </conditionalFormatting>
  <conditionalFormatting sqref="D104:H107">
    <cfRule type="cellIs" dxfId="613" priority="108" stopIfTrue="1" operator="greaterThan">
      <formula>0</formula>
    </cfRule>
  </conditionalFormatting>
  <conditionalFormatting sqref="C100">
    <cfRule type="expression" dxfId="612" priority="106" stopIfTrue="1">
      <formula>IF(C100&lt;&gt;"",1,0)=1</formula>
    </cfRule>
  </conditionalFormatting>
  <conditionalFormatting sqref="C101">
    <cfRule type="expression" dxfId="611" priority="105" stopIfTrue="1">
      <formula>IF(C101&lt;&gt;"",1,0)=1</formula>
    </cfRule>
  </conditionalFormatting>
  <conditionalFormatting sqref="C102">
    <cfRule type="expression" dxfId="610" priority="104" stopIfTrue="1">
      <formula>IF(C102&lt;&gt;"",1,0)=1</formula>
    </cfRule>
  </conditionalFormatting>
  <conditionalFormatting sqref="C103">
    <cfRule type="expression" dxfId="609" priority="103" stopIfTrue="1">
      <formula>IF(C103&lt;&gt;"",1,0)=1</formula>
    </cfRule>
  </conditionalFormatting>
  <conditionalFormatting sqref="D99:H103">
    <cfRule type="expression" dxfId="608" priority="90" stopIfTrue="1">
      <formula>IF(D99&lt;&gt;"",1,0)=1</formula>
    </cfRule>
  </conditionalFormatting>
  <conditionalFormatting sqref="D7:O14">
    <cfRule type="expression" dxfId="607" priority="87" stopIfTrue="1">
      <formula>IF(D7&lt;&gt;"",1,0)=1</formula>
    </cfRule>
  </conditionalFormatting>
  <conditionalFormatting sqref="D17:O18">
    <cfRule type="expression" dxfId="606" priority="85" stopIfTrue="1">
      <formula>IF(D17&lt;&gt;"",1,0)=1</formula>
    </cfRule>
  </conditionalFormatting>
  <conditionalFormatting sqref="D26:O30">
    <cfRule type="expression" dxfId="605" priority="83" stopIfTrue="1">
      <formula>IF(D26&lt;&gt;"",1,0)=1</formula>
    </cfRule>
  </conditionalFormatting>
  <conditionalFormatting sqref="D33:O34">
    <cfRule type="expression" dxfId="604" priority="82" stopIfTrue="1">
      <formula>IF(D33&lt;&gt;"",1,0)=1</formula>
    </cfRule>
  </conditionalFormatting>
  <conditionalFormatting sqref="D41:O43">
    <cfRule type="expression" dxfId="603" priority="81" stopIfTrue="1">
      <formula>IF(D41&lt;&gt;"",1,0)=1</formula>
    </cfRule>
  </conditionalFormatting>
  <conditionalFormatting sqref="CV99">
    <cfRule type="expression" dxfId="602" priority="69" stopIfTrue="1">
      <formula>IF(CV99&lt;&gt;"",1,0)=1</formula>
    </cfRule>
  </conditionalFormatting>
  <conditionalFormatting sqref="CV100">
    <cfRule type="expression" dxfId="601" priority="68" stopIfTrue="1">
      <formula>IF(CV100&lt;&gt;"",1,0)=1</formula>
    </cfRule>
  </conditionalFormatting>
  <conditionalFormatting sqref="CV101">
    <cfRule type="expression" dxfId="600" priority="67" stopIfTrue="1">
      <formula>IF(CV101&lt;&gt;"",1,0)=1</formula>
    </cfRule>
  </conditionalFormatting>
  <conditionalFormatting sqref="CV102">
    <cfRule type="expression" dxfId="599" priority="66" stopIfTrue="1">
      <formula>IF(CV102&lt;&gt;"",1,0)=1</formula>
    </cfRule>
  </conditionalFormatting>
  <conditionalFormatting sqref="CV103">
    <cfRule type="expression" dxfId="598" priority="65" stopIfTrue="1">
      <formula>IF(CV103&lt;&gt;"",1,0)=1</formula>
    </cfRule>
  </conditionalFormatting>
  <conditionalFormatting sqref="CW99">
    <cfRule type="expression" dxfId="597" priority="63" stopIfTrue="1">
      <formula>IF(CW99&lt;&gt;"",1,0)=1</formula>
    </cfRule>
  </conditionalFormatting>
  <conditionalFormatting sqref="CW100">
    <cfRule type="expression" dxfId="596" priority="62" stopIfTrue="1">
      <formula>IF(CW100&lt;&gt;"",1,0)=1</formula>
    </cfRule>
  </conditionalFormatting>
  <conditionalFormatting sqref="CW101">
    <cfRule type="expression" dxfId="595" priority="61" stopIfTrue="1">
      <formula>IF(CW101&lt;&gt;"",1,0)=1</formula>
    </cfRule>
  </conditionalFormatting>
  <conditionalFormatting sqref="CW102">
    <cfRule type="expression" dxfId="594" priority="60" stopIfTrue="1">
      <formula>IF(CW102&lt;&gt;"",1,0)=1</formula>
    </cfRule>
  </conditionalFormatting>
  <conditionalFormatting sqref="CW103">
    <cfRule type="expression" dxfId="593" priority="59" stopIfTrue="1">
      <formula>IF(CW103&lt;&gt;"",1,0)=1</formula>
    </cfRule>
  </conditionalFormatting>
  <conditionalFormatting sqref="E52:H58">
    <cfRule type="expression" dxfId="592" priority="57" stopIfTrue="1">
      <formula>IF(E52&lt;&gt;"",1,0)=1</formula>
    </cfRule>
  </conditionalFormatting>
  <conditionalFormatting sqref="E59:H59">
    <cfRule type="expression" dxfId="591" priority="55" stopIfTrue="1">
      <formula>IF(E59&lt;&gt;"",1,0)=1</formula>
    </cfRule>
  </conditionalFormatting>
  <conditionalFormatting sqref="E62:H63">
    <cfRule type="expression" dxfId="590" priority="54" stopIfTrue="1">
      <formula>IF(E62&lt;&gt;"",1,0)=1</formula>
    </cfRule>
  </conditionalFormatting>
  <conditionalFormatting sqref="E66:H68">
    <cfRule type="expression" dxfId="589" priority="53" stopIfTrue="1">
      <formula>IF(E66&lt;&gt;"",1,0)=1</formula>
    </cfRule>
  </conditionalFormatting>
  <conditionalFormatting sqref="E71:H75">
    <cfRule type="expression" dxfId="588" priority="52" stopIfTrue="1">
      <formula>IF(E71&lt;&gt;"",1,0)=1</formula>
    </cfRule>
  </conditionalFormatting>
  <conditionalFormatting sqref="E78:H79">
    <cfRule type="expression" dxfId="587" priority="51" stopIfTrue="1">
      <formula>IF(E78&lt;&gt;"",1,0)=1</formula>
    </cfRule>
  </conditionalFormatting>
  <conditionalFormatting sqref="E86:H88">
    <cfRule type="expression" dxfId="586" priority="50" stopIfTrue="1">
      <formula>IF(E86&lt;&gt;"",1,0)=1</formula>
    </cfRule>
  </conditionalFormatting>
  <conditionalFormatting sqref="D98:H98">
    <cfRule type="expression" dxfId="585" priority="48" stopIfTrue="1">
      <formula>IF(D98&lt;&gt;"",1,0)=1</formula>
    </cfRule>
  </conditionalFormatting>
  <conditionalFormatting sqref="C98">
    <cfRule type="expression" dxfId="584" priority="47" stopIfTrue="1">
      <formula>IF(C98&lt;&gt;"",1,0)=1</formula>
    </cfRule>
  </conditionalFormatting>
  <conditionalFormatting sqref="N26:O30">
    <cfRule type="expression" dxfId="583" priority="41" stopIfTrue="1">
      <formula>IF(N26&lt;&gt;"",1,0)=1</formula>
    </cfRule>
  </conditionalFormatting>
  <conditionalFormatting sqref="C99">
    <cfRule type="expression" dxfId="582" priority="39" stopIfTrue="1">
      <formula>IF(C99&lt;&gt;"",1,0)=1</formula>
    </cfRule>
  </conditionalFormatting>
  <conditionalFormatting sqref="C14">
    <cfRule type="expression" dxfId="581" priority="36" stopIfTrue="1">
      <formula>IF(C14&lt;&gt;"",1,0)=1</formula>
    </cfRule>
  </conditionalFormatting>
  <conditionalFormatting sqref="C43">
    <cfRule type="expression" dxfId="580" priority="35" stopIfTrue="1">
      <formula>IF(C43&lt;&gt;"",1,0)=1</formula>
    </cfRule>
  </conditionalFormatting>
  <conditionalFormatting sqref="S7:S11">
    <cfRule type="notContainsBlanks" dxfId="579" priority="34" stopIfTrue="1">
      <formula>LEN(TRIM(S7))&gt;0</formula>
    </cfRule>
  </conditionalFormatting>
  <conditionalFormatting sqref="S12">
    <cfRule type="notContainsBlanks" dxfId="578" priority="33" stopIfTrue="1">
      <formula>LEN(TRIM(S12))&gt;0</formula>
    </cfRule>
  </conditionalFormatting>
  <conditionalFormatting sqref="S13:S14">
    <cfRule type="notContainsBlanks" dxfId="577" priority="32" stopIfTrue="1">
      <formula>LEN(TRIM(S13))&gt;0</formula>
    </cfRule>
  </conditionalFormatting>
  <conditionalFormatting sqref="S17:S18">
    <cfRule type="notContainsBlanks" dxfId="576" priority="31" stopIfTrue="1">
      <formula>LEN(TRIM(S17))&gt;0</formula>
    </cfRule>
  </conditionalFormatting>
  <conditionalFormatting sqref="S21">
    <cfRule type="notContainsBlanks" dxfId="575" priority="30" stopIfTrue="1">
      <formula>LEN(TRIM(S21))&gt;0</formula>
    </cfRule>
  </conditionalFormatting>
  <conditionalFormatting sqref="S22:S23">
    <cfRule type="notContainsBlanks" dxfId="574" priority="29" stopIfTrue="1">
      <formula>LEN(TRIM(S22))&gt;0</formula>
    </cfRule>
  </conditionalFormatting>
  <conditionalFormatting sqref="S26:S27">
    <cfRule type="notContainsBlanks" dxfId="573" priority="28" stopIfTrue="1">
      <formula>LEN(TRIM(S26))&gt;0</formula>
    </cfRule>
  </conditionalFormatting>
  <conditionalFormatting sqref="S28">
    <cfRule type="notContainsBlanks" dxfId="572" priority="27" stopIfTrue="1">
      <formula>LEN(TRIM(S28))&gt;0</formula>
    </cfRule>
  </conditionalFormatting>
  <conditionalFormatting sqref="S29:S30">
    <cfRule type="notContainsBlanks" dxfId="571" priority="26" stopIfTrue="1">
      <formula>LEN(TRIM(S29))&gt;0</formula>
    </cfRule>
  </conditionalFormatting>
  <conditionalFormatting sqref="S33:S34">
    <cfRule type="notContainsBlanks" dxfId="570" priority="25" stopIfTrue="1">
      <formula>LEN(TRIM(S33))&gt;0</formula>
    </cfRule>
  </conditionalFormatting>
  <conditionalFormatting sqref="S37:S38">
    <cfRule type="notContainsBlanks" dxfId="569" priority="24" stopIfTrue="1">
      <formula>LEN(TRIM(S37))&gt;0</formula>
    </cfRule>
  </conditionalFormatting>
  <conditionalFormatting sqref="S41">
    <cfRule type="notContainsBlanks" dxfId="568" priority="23" stopIfTrue="1">
      <formula>LEN(TRIM(S41))&gt;0</formula>
    </cfRule>
  </conditionalFormatting>
  <conditionalFormatting sqref="S42:S43">
    <cfRule type="notContainsBlanks" dxfId="567" priority="22" stopIfTrue="1">
      <formula>LEN(TRIM(S42))&gt;0</formula>
    </cfRule>
  </conditionalFormatting>
  <conditionalFormatting sqref="S52:S53">
    <cfRule type="notContainsBlanks" dxfId="566" priority="21" stopIfTrue="1">
      <formula>LEN(TRIM(S52))&gt;0</formula>
    </cfRule>
  </conditionalFormatting>
  <conditionalFormatting sqref="S54:S55">
    <cfRule type="notContainsBlanks" dxfId="565" priority="20" stopIfTrue="1">
      <formula>LEN(TRIM(S54))&gt;0</formula>
    </cfRule>
  </conditionalFormatting>
  <conditionalFormatting sqref="S56:S57">
    <cfRule type="notContainsBlanks" dxfId="564" priority="19" stopIfTrue="1">
      <formula>LEN(TRIM(S56))&gt;0</formula>
    </cfRule>
  </conditionalFormatting>
  <conditionalFormatting sqref="S58:S59">
    <cfRule type="notContainsBlanks" dxfId="563" priority="18" stopIfTrue="1">
      <formula>LEN(TRIM(S58))&gt;0</formula>
    </cfRule>
  </conditionalFormatting>
  <conditionalFormatting sqref="S62:S63">
    <cfRule type="notContainsBlanks" dxfId="562" priority="17" stopIfTrue="1">
      <formula>LEN(TRIM(S62))&gt;0</formula>
    </cfRule>
  </conditionalFormatting>
  <conditionalFormatting sqref="S66">
    <cfRule type="notContainsBlanks" dxfId="561" priority="16" stopIfTrue="1">
      <formula>LEN(TRIM(S66))&gt;0</formula>
    </cfRule>
  </conditionalFormatting>
  <conditionalFormatting sqref="S67:S68">
    <cfRule type="notContainsBlanks" dxfId="560" priority="15" stopIfTrue="1">
      <formula>LEN(TRIM(S67))&gt;0</formula>
    </cfRule>
  </conditionalFormatting>
  <conditionalFormatting sqref="S71:S72">
    <cfRule type="notContainsBlanks" dxfId="559" priority="14" stopIfTrue="1">
      <formula>LEN(TRIM(S71))&gt;0</formula>
    </cfRule>
  </conditionalFormatting>
  <conditionalFormatting sqref="S73">
    <cfRule type="notContainsBlanks" dxfId="558" priority="13" stopIfTrue="1">
      <formula>LEN(TRIM(S73))&gt;0</formula>
    </cfRule>
  </conditionalFormatting>
  <conditionalFormatting sqref="S74:S75">
    <cfRule type="notContainsBlanks" dxfId="557" priority="12" stopIfTrue="1">
      <formula>LEN(TRIM(S74))&gt;0</formula>
    </cfRule>
  </conditionalFormatting>
  <conditionalFormatting sqref="S78:S79">
    <cfRule type="notContainsBlanks" dxfId="556" priority="11" stopIfTrue="1">
      <formula>LEN(TRIM(S78))&gt;0</formula>
    </cfRule>
  </conditionalFormatting>
  <conditionalFormatting sqref="S82:S83">
    <cfRule type="notContainsBlanks" dxfId="555" priority="10" stopIfTrue="1">
      <formula>LEN(TRIM(S82))&gt;0</formula>
    </cfRule>
  </conditionalFormatting>
  <conditionalFormatting sqref="S86">
    <cfRule type="notContainsBlanks" dxfId="554" priority="9" stopIfTrue="1">
      <formula>LEN(TRIM(S86))&gt;0</formula>
    </cfRule>
  </conditionalFormatting>
  <conditionalFormatting sqref="S87:S88">
    <cfRule type="notContainsBlanks" dxfId="553" priority="8" stopIfTrue="1">
      <formula>LEN(TRIM(S87))&gt;0</formula>
    </cfRule>
  </conditionalFormatting>
  <conditionalFormatting sqref="S100">
    <cfRule type="notContainsBlanks" dxfId="552" priority="7" stopIfTrue="1">
      <formula>LEN(TRIM(S100))&gt;0</formula>
    </cfRule>
  </conditionalFormatting>
  <conditionalFormatting sqref="S98:S99">
    <cfRule type="notContainsBlanks" dxfId="551" priority="6" stopIfTrue="1">
      <formula>LEN(TRIM(S98))&gt;0</formula>
    </cfRule>
  </conditionalFormatting>
  <conditionalFormatting sqref="S101">
    <cfRule type="notContainsBlanks" dxfId="550" priority="5" stopIfTrue="1">
      <formula>LEN(TRIM(S101))&gt;0</formula>
    </cfRule>
  </conditionalFormatting>
  <conditionalFormatting sqref="S102:S103">
    <cfRule type="notContainsBlanks" dxfId="549" priority="3" stopIfTrue="1">
      <formula>LEN(TRIM(S102))&gt;0</formula>
    </cfRule>
  </conditionalFormatting>
  <conditionalFormatting sqref="S112">
    <cfRule type="notContainsBlanks" dxfId="548" priority="2" stopIfTrue="1">
      <formula>LEN(TRIM(S112))&gt;0</formula>
    </cfRule>
  </conditionalFormatting>
  <hyperlinks>
    <hyperlink ref="B115" r:id="rId1" display="*)  und **)  AOK-Gehaltsrechner"/>
    <hyperlink ref="CV115" r:id="rId2"/>
  </hyperlinks>
  <printOptions horizontalCentered="1"/>
  <pageMargins left="0.59055118110236227" right="0.59055118110236227" top="0.78740157480314965" bottom="0.74803149606299213" header="0.31496062992125984" footer="0.31496062992125984"/>
  <pageSetup paperSize="9" scale="53" fitToHeight="2" orientation="landscape" horizontalDpi="300" verticalDpi="300" r:id="rId3"/>
  <headerFooter>
    <oddFooter>&amp;L&amp;"Verdana,Standard"&amp;9&amp;A&amp;C&amp;"Verdana,Standard"&amp;9&amp;F&amp;R&amp;9© 2017 www.Kindermanns.de
Jürgen Erlewein</oddFooter>
  </headerFooter>
  <rowBreaks count="1" manualBreakCount="1">
    <brk id="47" min="1" max="15" man="1"/>
  </rowBreaks>
  <ignoredErrors>
    <ignoredError sqref="C15 C19 C24 C35 C39 C44" formula="1"/>
  </ignoredErrors>
  <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>
    <pageSetUpPr fitToPage="1"/>
  </sheetPr>
  <dimension ref="A1:FL2333"/>
  <sheetViews>
    <sheetView showGridLines="0" topLeftCell="A2" zoomScale="80" zoomScaleNormal="80" workbookViewId="0">
      <selection activeCell="E7" sqref="E7"/>
    </sheetView>
  </sheetViews>
  <sheetFormatPr baseColWidth="10" defaultColWidth="11.42578125" defaultRowHeight="14.25" x14ac:dyDescent="0.2"/>
  <cols>
    <col min="1" max="1" width="1.5703125" style="219" customWidth="1"/>
    <col min="2" max="2" width="7.140625" style="222" customWidth="1"/>
    <col min="3" max="3" width="46.5703125" style="222" customWidth="1"/>
    <col min="4" max="4" width="10.42578125" style="222" customWidth="1"/>
    <col min="5" max="16" width="14.7109375" style="222" customWidth="1"/>
    <col min="17" max="17" width="14.7109375" style="286" customWidth="1"/>
    <col min="18" max="18" width="8.7109375" style="55" customWidth="1"/>
    <col min="19" max="19" width="54.7109375" style="232" customWidth="1"/>
    <col min="20" max="20" width="9.85546875" style="219" customWidth="1"/>
    <col min="21" max="21" width="11.42578125" style="219" customWidth="1"/>
    <col min="22" max="22" width="45.5703125" style="219" customWidth="1"/>
    <col min="23" max="23" width="8.5703125" style="219" customWidth="1"/>
    <col min="24" max="36" width="14.7109375" style="219" customWidth="1"/>
    <col min="37" max="56" width="11.42578125" style="219" hidden="1" customWidth="1"/>
    <col min="57" max="99" width="11.42578125" style="222" hidden="1" customWidth="1"/>
    <col min="100" max="100" width="103.7109375" style="223" hidden="1" customWidth="1"/>
    <col min="101" max="101" width="100.42578125" style="223" hidden="1" customWidth="1"/>
    <col min="102" max="102" width="35.85546875" style="355" hidden="1" customWidth="1"/>
    <col min="103" max="116" width="11.42578125" style="901" hidden="1" customWidth="1"/>
    <col min="117" max="119" width="11.42578125" style="891" hidden="1" customWidth="1"/>
    <col min="120" max="168" width="11.42578125" style="222" hidden="1" customWidth="1"/>
    <col min="169" max="16384" width="11.42578125" style="222"/>
  </cols>
  <sheetData>
    <row r="1" spans="1:119" ht="66" customHeight="1" x14ac:dyDescent="0.2">
      <c r="E1" s="901"/>
      <c r="F1" s="901"/>
      <c r="G1" s="901"/>
      <c r="CV1" s="355"/>
      <c r="CW1" s="355"/>
    </row>
    <row r="2" spans="1:119" s="219" customFormat="1" ht="21.95" customHeight="1" x14ac:dyDescent="0.3">
      <c r="A2" s="218"/>
      <c r="B2" s="220" t="str">
        <f>'Deckblatt Gruender|Data Founder'!D8</f>
        <v>Deutsch</v>
      </c>
      <c r="C2" s="255"/>
      <c r="D2" s="220" t="str">
        <f>IF(OR('Deckblatt Gruender|Data Founder'!M1=1,'Deckblatt Gruender|Data Founder'!M1=2),"mit MwSt","ohne MwSt")</f>
        <v>ohne MwSt</v>
      </c>
      <c r="E2" s="423">
        <v>0</v>
      </c>
      <c r="F2" s="424">
        <v>7.0000000000000007E-2</v>
      </c>
      <c r="G2" s="424">
        <v>0.19</v>
      </c>
      <c r="P2" s="247"/>
      <c r="Q2" s="354"/>
      <c r="R2" s="55"/>
      <c r="T2" s="224" t="s">
        <v>229</v>
      </c>
      <c r="U2" s="356" t="str">
        <f ca="1">IF($B$2="English",CW2,CV2)</f>
        <v>Nebenrechnung Umsätze/sonstige Einnahmen 2017</v>
      </c>
      <c r="V2" s="225"/>
      <c r="W2" s="225"/>
      <c r="X2" s="225"/>
      <c r="Y2" s="225"/>
      <c r="Z2" s="225"/>
      <c r="AA2" s="225"/>
      <c r="AB2" s="225"/>
      <c r="AC2" s="225"/>
      <c r="AD2" s="225"/>
      <c r="AE2" s="225"/>
      <c r="AF2" s="225"/>
      <c r="AG2" s="225"/>
      <c r="AH2" s="225"/>
      <c r="AI2" s="225"/>
      <c r="AJ2" s="225"/>
      <c r="AK2" s="225"/>
      <c r="AL2" s="225"/>
      <c r="AM2" s="225"/>
      <c r="CV2" s="1256" t="str">
        <f ca="1">"Nebenrechnung Umsätze/sonstige Einnahmen "&amp;'1 Pers.Ausgaben|Pers Expenses'!$C$4</f>
        <v>Nebenrechnung Umsätze/sonstige Einnahmen 2017</v>
      </c>
      <c r="CW2" s="1256" t="str">
        <f ca="1">"Ancillary account for sales/other Income "&amp;'1 Pers.Ausgaben|Pers Expenses'!$C$4</f>
        <v>Ancillary account for sales/other Income 2017</v>
      </c>
      <c r="CX2" s="223"/>
      <c r="CZ2" s="39" t="s">
        <v>1</v>
      </c>
      <c r="DA2" s="39" t="s">
        <v>2</v>
      </c>
      <c r="DB2" s="39" t="s">
        <v>3</v>
      </c>
      <c r="DC2" s="39" t="s">
        <v>4</v>
      </c>
      <c r="DD2" s="39" t="s">
        <v>5</v>
      </c>
      <c r="DE2" s="39" t="s">
        <v>6</v>
      </c>
      <c r="DF2" s="39" t="s">
        <v>7</v>
      </c>
      <c r="DG2" s="39" t="s">
        <v>8</v>
      </c>
      <c r="DH2" s="39" t="s">
        <v>9</v>
      </c>
      <c r="DI2" s="39" t="s">
        <v>10</v>
      </c>
      <c r="DJ2" s="39" t="s">
        <v>11</v>
      </c>
      <c r="DK2" s="39" t="s">
        <v>12</v>
      </c>
      <c r="DL2" s="39" t="str">
        <f ca="1">"Jahr "&amp;'1 Pers.Ausgaben|Pers Expenses'!C4</f>
        <v>Jahr 2017</v>
      </c>
      <c r="DM2" s="220"/>
      <c r="DN2" s="220"/>
      <c r="DO2" s="220"/>
    </row>
    <row r="3" spans="1:119" s="225" customFormat="1" ht="25.5" thickBot="1" x14ac:dyDescent="0.35">
      <c r="B3" s="460" t="str">
        <f ca="1">IF($C$4="English",CW3,CV3)</f>
        <v>2a-1 Umsätze, Honorare, Sonstige Einnahmen (ohne MwSt) für die Monate des Jahres 2017</v>
      </c>
      <c r="E3" s="250"/>
      <c r="F3" s="250"/>
      <c r="G3" s="250"/>
      <c r="H3" s="250"/>
      <c r="I3" s="250"/>
      <c r="J3" s="250"/>
      <c r="K3" s="250"/>
      <c r="L3" s="250"/>
      <c r="M3" s="250"/>
      <c r="N3" s="250"/>
      <c r="O3" s="250"/>
      <c r="P3" s="250"/>
      <c r="Q3" s="250"/>
      <c r="R3" s="311"/>
      <c r="T3" s="36" t="s">
        <v>310</v>
      </c>
      <c r="U3" s="221"/>
      <c r="V3" s="219"/>
      <c r="W3" s="219"/>
      <c r="X3" s="219"/>
      <c r="Y3" s="219"/>
      <c r="Z3" s="219"/>
      <c r="AA3" s="219"/>
      <c r="AB3" s="219"/>
      <c r="AC3" s="219"/>
      <c r="AD3" s="219"/>
      <c r="AE3" s="219"/>
      <c r="AF3" s="219"/>
      <c r="AG3" s="219"/>
      <c r="AH3" s="219"/>
      <c r="AI3" s="219"/>
      <c r="AJ3" s="219"/>
      <c r="AK3" s="219"/>
      <c r="AL3" s="219"/>
      <c r="AM3" s="219"/>
      <c r="CV3" s="470" t="str">
        <f ca="1">"2a-1 Umsätze, Honorare, Sonstige Einnahmen (" &amp; 'Deckblatt Gruender|Data Founder'!$J$1 &amp; ") für die Monate des Jahres " &amp; '1 Pers.Ausgaben|Pers Expenses'!$C$4</f>
        <v>2a-1 Umsätze, Honorare, Sonstige Einnahmen (ohne MwSt) für die Monate des Jahres 2017</v>
      </c>
      <c r="CW3" s="470" t="str">
        <f ca="1">"2a-1 Sales, Fees, other Income (" &amp; 'Deckblatt Gruender|Data Founder'!$K$1 &amp; ") for the Months of the Year " &amp; '1 Pers.Ausgaben|Pers Expenses'!$C$4</f>
        <v>2a-1 Sales, Fees, other Income (w/o VAT) for the Months of the Year 2017</v>
      </c>
      <c r="CX3" s="223"/>
      <c r="CY3" s="219"/>
      <c r="CZ3" s="39" t="s">
        <v>73</v>
      </c>
      <c r="DA3" s="39" t="s">
        <v>74</v>
      </c>
      <c r="DB3" s="39" t="s">
        <v>306</v>
      </c>
      <c r="DC3" s="39" t="s">
        <v>76</v>
      </c>
      <c r="DD3" s="39" t="s">
        <v>303</v>
      </c>
      <c r="DE3" s="39" t="s">
        <v>304</v>
      </c>
      <c r="DF3" s="39" t="s">
        <v>305</v>
      </c>
      <c r="DG3" s="39" t="s">
        <v>79</v>
      </c>
      <c r="DH3" s="39" t="s">
        <v>307</v>
      </c>
      <c r="DI3" s="39" t="s">
        <v>308</v>
      </c>
      <c r="DJ3" s="39" t="s">
        <v>82</v>
      </c>
      <c r="DK3" s="39" t="s">
        <v>309</v>
      </c>
      <c r="DL3" s="39" t="str">
        <f ca="1">"Year "&amp;'1 Pers.Ausgaben|Pers Expenses'!C4</f>
        <v>Year 2017</v>
      </c>
      <c r="DM3" s="220"/>
      <c r="DN3" s="220"/>
      <c r="DO3" s="220"/>
    </row>
    <row r="4" spans="1:119" s="219" customFormat="1" ht="15" thickBot="1" x14ac:dyDescent="0.25">
      <c r="A4" s="225"/>
      <c r="C4" s="421" t="str">
        <f>'Deckblatt Gruender|Data Founder'!$D$8</f>
        <v>Deutsch</v>
      </c>
      <c r="D4" s="1003"/>
      <c r="Q4" s="221"/>
      <c r="R4" s="53"/>
      <c r="T4" s="46"/>
      <c r="U4" s="56" t="s">
        <v>302</v>
      </c>
      <c r="V4" s="217" t="str">
        <f>C5</f>
        <v>Einnahmeart</v>
      </c>
      <c r="W4" s="217" t="str">
        <f>IF($C$4="English","VAT","MwSt")</f>
        <v>MwSt</v>
      </c>
      <c r="X4" s="425" t="str">
        <f t="shared" ref="X4:AI4" si="0">F5</f>
        <v>Febr.</v>
      </c>
      <c r="Y4" s="425" t="str">
        <f t="shared" si="0"/>
        <v>März</v>
      </c>
      <c r="Z4" s="425" t="str">
        <f t="shared" si="0"/>
        <v>April</v>
      </c>
      <c r="AA4" s="425" t="str">
        <f t="shared" si="0"/>
        <v>Mai</v>
      </c>
      <c r="AB4" s="425" t="str">
        <f t="shared" si="0"/>
        <v>Juni</v>
      </c>
      <c r="AC4" s="425" t="str">
        <f t="shared" si="0"/>
        <v>Juli</v>
      </c>
      <c r="AD4" s="425" t="str">
        <f t="shared" si="0"/>
        <v>Aug.</v>
      </c>
      <c r="AE4" s="425" t="str">
        <f t="shared" si="0"/>
        <v>Sept.</v>
      </c>
      <c r="AF4" s="425" t="str">
        <f t="shared" si="0"/>
        <v>Okt.</v>
      </c>
      <c r="AG4" s="425" t="str">
        <f t="shared" si="0"/>
        <v>Nov.</v>
      </c>
      <c r="AH4" s="425" t="str">
        <f t="shared" si="0"/>
        <v>Dez.</v>
      </c>
      <c r="AI4" s="425" t="str">
        <f t="shared" ca="1" si="0"/>
        <v>Jahr 2017</v>
      </c>
      <c r="AJ4" s="425"/>
      <c r="AK4" s="55"/>
      <c r="AL4" s="55"/>
      <c r="AM4" s="55"/>
      <c r="CV4" s="223" t="s">
        <v>497</v>
      </c>
      <c r="CW4" s="223" t="s">
        <v>502</v>
      </c>
      <c r="CX4" s="911"/>
      <c r="CY4" s="255"/>
      <c r="CZ4" s="255"/>
      <c r="DA4" s="255"/>
      <c r="DB4" s="255"/>
      <c r="DC4" s="255"/>
      <c r="DD4" s="255"/>
      <c r="DE4" s="255"/>
      <c r="DF4" s="255"/>
      <c r="DG4" s="255"/>
      <c r="DH4" s="255"/>
      <c r="DI4" s="255"/>
      <c r="DJ4" s="255"/>
      <c r="DK4" s="255"/>
      <c r="DL4" s="255"/>
      <c r="DM4" s="220"/>
      <c r="DN4" s="220"/>
      <c r="DO4" s="220"/>
    </row>
    <row r="5" spans="1:119" s="58" customFormat="1" ht="15" thickBot="1" x14ac:dyDescent="0.25">
      <c r="A5" s="55"/>
      <c r="B5" s="56" t="s">
        <v>302</v>
      </c>
      <c r="C5" s="217" t="str">
        <f>IF(C4="English","Type of Income","Einnahmeart")</f>
        <v>Einnahmeart</v>
      </c>
      <c r="D5" s="217" t="str">
        <f>IF($C$4="English","VAT","MwSt")</f>
        <v>MwSt</v>
      </c>
      <c r="E5" s="425" t="str">
        <f>IF($C$4="English",CZ3,CZ2)</f>
        <v>Jan.</v>
      </c>
      <c r="F5" s="425" t="str">
        <f t="shared" ref="F5:P5" si="1">IF($C$4="English",DA3,DA2)</f>
        <v>Febr.</v>
      </c>
      <c r="G5" s="425" t="str">
        <f t="shared" si="1"/>
        <v>März</v>
      </c>
      <c r="H5" s="425" t="str">
        <f t="shared" si="1"/>
        <v>April</v>
      </c>
      <c r="I5" s="425" t="str">
        <f t="shared" si="1"/>
        <v>Mai</v>
      </c>
      <c r="J5" s="425" t="str">
        <f t="shared" si="1"/>
        <v>Juni</v>
      </c>
      <c r="K5" s="425" t="str">
        <f t="shared" si="1"/>
        <v>Juli</v>
      </c>
      <c r="L5" s="425" t="str">
        <f t="shared" si="1"/>
        <v>Aug.</v>
      </c>
      <c r="M5" s="425" t="str">
        <f t="shared" si="1"/>
        <v>Sept.</v>
      </c>
      <c r="N5" s="425" t="str">
        <f t="shared" si="1"/>
        <v>Okt.</v>
      </c>
      <c r="O5" s="425" t="str">
        <f t="shared" si="1"/>
        <v>Nov.</v>
      </c>
      <c r="P5" s="425" t="str">
        <f t="shared" si="1"/>
        <v>Dez.</v>
      </c>
      <c r="Q5" s="426" t="str">
        <f ca="1">IF($C$4="English",DL3,DL2)</f>
        <v>Jahr 2017</v>
      </c>
      <c r="R5" s="65"/>
      <c r="S5" s="54" t="str">
        <f>IF(C4="English",T3,T2)</f>
        <v>Aufgaben und/oder Kommentar</v>
      </c>
      <c r="T5" s="55"/>
      <c r="U5" s="1021" t="s">
        <v>487</v>
      </c>
      <c r="V5" s="1028"/>
      <c r="W5" s="973">
        <f>D6</f>
        <v>0.19</v>
      </c>
      <c r="X5" s="427"/>
      <c r="Y5" s="427"/>
      <c r="Z5" s="427"/>
      <c r="AA5" s="427"/>
      <c r="AB5" s="427"/>
      <c r="AC5" s="427"/>
      <c r="AD5" s="427"/>
      <c r="AE5" s="427"/>
      <c r="AF5" s="427"/>
      <c r="AG5" s="427"/>
      <c r="AH5" s="427"/>
      <c r="AI5" s="427"/>
      <c r="AJ5" s="428"/>
      <c r="AK5" s="229"/>
      <c r="AL5" s="229"/>
      <c r="AM5" s="229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CV5" s="60" t="s">
        <v>51</v>
      </c>
      <c r="CW5" s="58" t="s">
        <v>397</v>
      </c>
      <c r="CX5" s="906"/>
      <c r="CY5" s="699"/>
      <c r="CZ5" s="699"/>
      <c r="DA5" s="699"/>
      <c r="DB5" s="699"/>
      <c r="DC5" s="699"/>
      <c r="DD5" s="699"/>
      <c r="DE5" s="699"/>
      <c r="DF5" s="699"/>
      <c r="DG5" s="699"/>
      <c r="DH5" s="699"/>
      <c r="DI5" s="699"/>
      <c r="DJ5" s="699"/>
      <c r="DK5" s="699"/>
      <c r="DL5" s="699"/>
      <c r="DM5" s="345"/>
      <c r="DN5" s="345"/>
      <c r="DO5" s="345"/>
    </row>
    <row r="6" spans="1:119" s="223" customFormat="1" x14ac:dyDescent="0.2">
      <c r="A6" s="229"/>
      <c r="B6" s="430">
        <v>1</v>
      </c>
      <c r="C6" s="1272" t="s">
        <v>516</v>
      </c>
      <c r="D6" s="1375">
        <v>0.19</v>
      </c>
      <c r="E6" s="1197"/>
      <c r="F6" s="1197"/>
      <c r="G6" s="1197"/>
      <c r="H6" s="1197"/>
      <c r="I6" s="1197"/>
      <c r="J6" s="1197"/>
      <c r="K6" s="1197"/>
      <c r="L6" s="1197"/>
      <c r="M6" s="1197"/>
      <c r="N6" s="1197"/>
      <c r="O6" s="1197"/>
      <c r="P6" s="1197"/>
      <c r="Q6" s="1198"/>
      <c r="R6" s="55"/>
      <c r="S6" s="429"/>
      <c r="T6" s="229"/>
      <c r="U6" s="1059" t="s">
        <v>521</v>
      </c>
      <c r="V6" s="918"/>
      <c r="W6" s="229"/>
      <c r="X6" s="451"/>
      <c r="Y6" s="451"/>
      <c r="Z6" s="451"/>
      <c r="AA6" s="451"/>
      <c r="AB6" s="451"/>
      <c r="AC6" s="451"/>
      <c r="AD6" s="451"/>
      <c r="AE6" s="451"/>
      <c r="AF6" s="451"/>
      <c r="AG6" s="451"/>
      <c r="AH6" s="451"/>
      <c r="AI6" s="451"/>
      <c r="AJ6" s="736">
        <f t="shared" ref="AJ6:AJ11" si="2">SUM(X6:AI6)</f>
        <v>0</v>
      </c>
      <c r="AK6" s="219"/>
      <c r="AL6" s="219"/>
      <c r="AM6" s="219"/>
      <c r="AN6" s="229"/>
      <c r="AO6" s="229"/>
      <c r="AP6" s="229"/>
      <c r="AQ6" s="229"/>
      <c r="AR6" s="229"/>
      <c r="AS6" s="229"/>
      <c r="AT6" s="229"/>
      <c r="AU6" s="229"/>
      <c r="AV6" s="229"/>
      <c r="AW6" s="229"/>
      <c r="AX6" s="229"/>
      <c r="AY6" s="229"/>
      <c r="AZ6" s="229"/>
      <c r="BA6" s="229"/>
      <c r="BB6" s="229"/>
      <c r="BC6" s="229"/>
      <c r="BD6" s="229"/>
      <c r="CV6" s="977" t="s">
        <v>165</v>
      </c>
      <c r="CW6" s="238" t="s">
        <v>584</v>
      </c>
      <c r="CX6" s="355"/>
      <c r="CY6" s="355"/>
      <c r="CZ6" s="355"/>
      <c r="DA6" s="355"/>
      <c r="DB6" s="355"/>
      <c r="DC6" s="355"/>
      <c r="DD6" s="355"/>
      <c r="DE6" s="355"/>
      <c r="DF6" s="355"/>
      <c r="DG6" s="355"/>
      <c r="DH6" s="355"/>
      <c r="DI6" s="355"/>
      <c r="DJ6" s="355"/>
      <c r="DK6" s="355"/>
      <c r="DL6" s="355"/>
      <c r="DM6" s="454"/>
      <c r="DN6" s="454"/>
      <c r="DO6" s="454"/>
    </row>
    <row r="7" spans="1:119" ht="15" x14ac:dyDescent="0.2">
      <c r="B7" s="974" t="s">
        <v>483</v>
      </c>
      <c r="C7" s="451"/>
      <c r="D7" s="1276" t="s">
        <v>688</v>
      </c>
      <c r="E7" s="1378"/>
      <c r="F7" s="1378"/>
      <c r="G7" s="1378"/>
      <c r="H7" s="1378"/>
      <c r="I7" s="1378"/>
      <c r="J7" s="1378"/>
      <c r="K7" s="1378"/>
      <c r="L7" s="1378"/>
      <c r="M7" s="1378"/>
      <c r="N7" s="1378"/>
      <c r="O7" s="1378"/>
      <c r="P7" s="1378"/>
      <c r="Q7" s="1399">
        <f>SUM(E7:P7)</f>
        <v>0</v>
      </c>
      <c r="S7" s="1546"/>
      <c r="U7" s="1059" t="s">
        <v>522</v>
      </c>
      <c r="V7" s="918"/>
      <c r="W7" s="229"/>
      <c r="X7" s="451"/>
      <c r="Y7" s="451"/>
      <c r="Z7" s="451"/>
      <c r="AA7" s="451"/>
      <c r="AB7" s="451"/>
      <c r="AC7" s="451"/>
      <c r="AD7" s="451"/>
      <c r="AE7" s="451"/>
      <c r="AF7" s="451"/>
      <c r="AG7" s="451"/>
      <c r="AH7" s="451"/>
      <c r="AI7" s="451"/>
      <c r="AJ7" s="736">
        <f t="shared" si="2"/>
        <v>0</v>
      </c>
      <c r="CV7" s="381" t="s">
        <v>516</v>
      </c>
      <c r="CW7" s="978" t="s">
        <v>517</v>
      </c>
      <c r="CX7" s="904"/>
    </row>
    <row r="8" spans="1:119" x14ac:dyDescent="0.2">
      <c r="B8" s="974" t="s">
        <v>484</v>
      </c>
      <c r="C8" s="449"/>
      <c r="D8" s="1275" t="str">
        <f>IF($C$4="English",CW6,CV6)</f>
        <v>Auswahl</v>
      </c>
      <c r="E8" s="1378"/>
      <c r="F8" s="1378"/>
      <c r="G8" s="1378"/>
      <c r="H8" s="1378"/>
      <c r="I8" s="1378"/>
      <c r="J8" s="1378"/>
      <c r="K8" s="1378"/>
      <c r="L8" s="1378"/>
      <c r="M8" s="1378"/>
      <c r="N8" s="1378"/>
      <c r="O8" s="1378"/>
      <c r="P8" s="1378"/>
      <c r="Q8" s="1399">
        <f>SUM(E8:P8)</f>
        <v>0</v>
      </c>
      <c r="S8" s="1546"/>
      <c r="U8" s="1059" t="s">
        <v>523</v>
      </c>
      <c r="V8" s="918"/>
      <c r="W8" s="229"/>
      <c r="X8" s="451"/>
      <c r="Y8" s="451"/>
      <c r="Z8" s="451"/>
      <c r="AA8" s="451"/>
      <c r="AB8" s="451"/>
      <c r="AC8" s="451"/>
      <c r="AD8" s="451"/>
      <c r="AE8" s="451"/>
      <c r="AF8" s="451"/>
      <c r="AG8" s="451"/>
      <c r="AH8" s="451"/>
      <c r="AI8" s="451"/>
      <c r="AJ8" s="736">
        <f t="shared" si="2"/>
        <v>0</v>
      </c>
      <c r="CV8" s="381" t="s">
        <v>520</v>
      </c>
      <c r="CW8" s="978" t="s">
        <v>533</v>
      </c>
      <c r="CX8" s="904"/>
    </row>
    <row r="9" spans="1:119" x14ac:dyDescent="0.2">
      <c r="B9" s="974" t="s">
        <v>485</v>
      </c>
      <c r="C9" s="449"/>
      <c r="E9" s="1378"/>
      <c r="F9" s="1378"/>
      <c r="G9" s="1378"/>
      <c r="H9" s="1378"/>
      <c r="I9" s="1378"/>
      <c r="J9" s="1378"/>
      <c r="K9" s="1378"/>
      <c r="L9" s="1378"/>
      <c r="M9" s="1378"/>
      <c r="N9" s="1378"/>
      <c r="O9" s="1378"/>
      <c r="P9" s="1378"/>
      <c r="Q9" s="1399">
        <f>SUM(E9:P9)</f>
        <v>0</v>
      </c>
      <c r="S9" s="1546"/>
      <c r="U9" s="1059" t="s">
        <v>524</v>
      </c>
      <c r="V9" s="918"/>
      <c r="W9" s="229"/>
      <c r="X9" s="451"/>
      <c r="Y9" s="451"/>
      <c r="Z9" s="451"/>
      <c r="AA9" s="451"/>
      <c r="AB9" s="451"/>
      <c r="AC9" s="451"/>
      <c r="AD9" s="451"/>
      <c r="AE9" s="451"/>
      <c r="AF9" s="451"/>
      <c r="AG9" s="451"/>
      <c r="AH9" s="451"/>
      <c r="AI9" s="451"/>
      <c r="AJ9" s="736">
        <f t="shared" si="2"/>
        <v>0</v>
      </c>
      <c r="CV9" s="381" t="s">
        <v>531</v>
      </c>
      <c r="CW9" s="978" t="s">
        <v>534</v>
      </c>
      <c r="CX9" s="904"/>
    </row>
    <row r="10" spans="1:119" x14ac:dyDescent="0.2">
      <c r="B10" s="974" t="s">
        <v>486</v>
      </c>
      <c r="C10" s="1377"/>
      <c r="D10" s="1273"/>
      <c r="E10" s="1378"/>
      <c r="F10" s="1378"/>
      <c r="G10" s="1378"/>
      <c r="H10" s="1378"/>
      <c r="I10" s="1378"/>
      <c r="J10" s="1378"/>
      <c r="K10" s="1378"/>
      <c r="L10" s="1378"/>
      <c r="M10" s="1378"/>
      <c r="N10" s="1378"/>
      <c r="O10" s="1378"/>
      <c r="P10" s="1378"/>
      <c r="Q10" s="1399">
        <f>SUM(E10:P10)</f>
        <v>0</v>
      </c>
      <c r="S10" s="1546"/>
      <c r="U10" s="1059" t="s">
        <v>525</v>
      </c>
      <c r="V10" s="918"/>
      <c r="W10" s="229"/>
      <c r="X10" s="451"/>
      <c r="Y10" s="451"/>
      <c r="Z10" s="451"/>
      <c r="AA10" s="451"/>
      <c r="AB10" s="451"/>
      <c r="AC10" s="451"/>
      <c r="AD10" s="451"/>
      <c r="AE10" s="451"/>
      <c r="AF10" s="451"/>
      <c r="AG10" s="451"/>
      <c r="AH10" s="451"/>
      <c r="AI10" s="451"/>
      <c r="AJ10" s="736">
        <f t="shared" si="2"/>
        <v>0</v>
      </c>
      <c r="CV10" s="381" t="s">
        <v>42</v>
      </c>
      <c r="CW10" s="978" t="s">
        <v>262</v>
      </c>
      <c r="CX10" s="904"/>
    </row>
    <row r="11" spans="1:119" x14ac:dyDescent="0.2">
      <c r="B11" s="974" t="s">
        <v>487</v>
      </c>
      <c r="C11" s="1019" t="str">
        <f>IF($B$2="English",CW8,CV8)</f>
        <v>Umsätze aus Nebenrechnung Gruppe 1</v>
      </c>
      <c r="D11" s="1271"/>
      <c r="E11" s="1200" t="str">
        <f t="shared" ref="E11:P11" si="3">X11</f>
        <v/>
      </c>
      <c r="F11" s="1200" t="str">
        <f t="shared" si="3"/>
        <v/>
      </c>
      <c r="G11" s="1200" t="str">
        <f t="shared" si="3"/>
        <v/>
      </c>
      <c r="H11" s="1200" t="str">
        <f t="shared" si="3"/>
        <v/>
      </c>
      <c r="I11" s="1200" t="str">
        <f t="shared" si="3"/>
        <v/>
      </c>
      <c r="J11" s="1200" t="str">
        <f t="shared" si="3"/>
        <v/>
      </c>
      <c r="K11" s="1200" t="str">
        <f t="shared" si="3"/>
        <v/>
      </c>
      <c r="L11" s="1200" t="str">
        <f t="shared" si="3"/>
        <v/>
      </c>
      <c r="M11" s="1200" t="str">
        <f t="shared" si="3"/>
        <v/>
      </c>
      <c r="N11" s="1200" t="str">
        <f t="shared" si="3"/>
        <v/>
      </c>
      <c r="O11" s="1200" t="str">
        <f t="shared" si="3"/>
        <v/>
      </c>
      <c r="P11" s="1200" t="str">
        <f t="shared" si="3"/>
        <v/>
      </c>
      <c r="Q11" s="1199">
        <f>SUM(E11:P11)</f>
        <v>0</v>
      </c>
      <c r="S11" s="1546"/>
      <c r="U11" s="1041"/>
      <c r="V11" s="1030" t="str">
        <f>IF($B$2="English",CW31,CV31)</f>
        <v>Summe Nebenrechnung Gruppe1</v>
      </c>
      <c r="W11" s="1031"/>
      <c r="X11" s="1032" t="str">
        <f>IF(SUM(X6:X10)=0,"",SUM(X6:X10))</f>
        <v/>
      </c>
      <c r="Y11" s="1032" t="str">
        <f t="shared" ref="Y11:AI11" si="4">IF(SUM(Y6:Y10)=0,"",SUM(Y6:Y10))</f>
        <v/>
      </c>
      <c r="Z11" s="1032" t="str">
        <f t="shared" si="4"/>
        <v/>
      </c>
      <c r="AA11" s="1032" t="str">
        <f t="shared" si="4"/>
        <v/>
      </c>
      <c r="AB11" s="1032" t="str">
        <f t="shared" si="4"/>
        <v/>
      </c>
      <c r="AC11" s="1032" t="str">
        <f t="shared" si="4"/>
        <v/>
      </c>
      <c r="AD11" s="1032" t="str">
        <f t="shared" si="4"/>
        <v/>
      </c>
      <c r="AE11" s="1032" t="str">
        <f t="shared" si="4"/>
        <v/>
      </c>
      <c r="AF11" s="1032" t="str">
        <f t="shared" si="4"/>
        <v/>
      </c>
      <c r="AG11" s="1032" t="str">
        <f t="shared" si="4"/>
        <v/>
      </c>
      <c r="AH11" s="1032" t="str">
        <f t="shared" si="4"/>
        <v/>
      </c>
      <c r="AI11" s="1032" t="str">
        <f t="shared" si="4"/>
        <v/>
      </c>
      <c r="AJ11" s="1033">
        <f t="shared" si="2"/>
        <v>0</v>
      </c>
      <c r="AK11" s="346"/>
      <c r="AL11" s="346"/>
      <c r="AM11" s="346"/>
      <c r="CV11" s="381"/>
      <c r="CW11" s="978"/>
      <c r="CX11" s="904"/>
    </row>
    <row r="12" spans="1:119" s="432" customFormat="1" hidden="1" x14ac:dyDescent="0.2">
      <c r="A12" s="346"/>
      <c r="B12" s="1039"/>
      <c r="C12" s="1040" t="str">
        <f>IF($B$2="English",CW12,CV12)</f>
        <v>nicht im Umsatz enthaltene MwSt</v>
      </c>
      <c r="D12" s="222"/>
      <c r="E12" s="1201" t="str">
        <f>IF(OR(SUM(E7:E11)=0,'Deckblatt Gruender|Data Founder'!$M$1=1),"",IF('Deckblatt Gruender|Data Founder'!$M$1=2,SUM(E7:E11)-SUM(E7:E11)/(1+$D6),SUM(E7:E11)*($D6)))</f>
        <v/>
      </c>
      <c r="F12" s="1201" t="str">
        <f>IF(OR(SUM(F7:F11)=0,'Deckblatt Gruender|Data Founder'!$M$1=1),"",IF('Deckblatt Gruender|Data Founder'!$M$1=2,SUM(F7:F11)-SUM(F7:F11)/(1+$D6),SUM(F7:F11)*($D6)))</f>
        <v/>
      </c>
      <c r="G12" s="1201" t="str">
        <f>IF(OR(SUM(G7:G11)=0,'Deckblatt Gruender|Data Founder'!$M$1=1),"",IF('Deckblatt Gruender|Data Founder'!$M$1=2,SUM(G7:G11)-SUM(G7:G11)/(1+$D6),SUM(G7:G11)*($D6)))</f>
        <v/>
      </c>
      <c r="H12" s="1201" t="str">
        <f>IF(OR(SUM(H7:H11)=0,'Deckblatt Gruender|Data Founder'!$M$1=1),"",IF('Deckblatt Gruender|Data Founder'!$M$1=2,SUM(H7:H11)-SUM(H7:H11)/(1+$D6),SUM(H7:H11)*($D6)))</f>
        <v/>
      </c>
      <c r="I12" s="1201" t="str">
        <f>IF(OR(SUM(I7:I11)=0,'Deckblatt Gruender|Data Founder'!$M$1=1),"",IF('Deckblatt Gruender|Data Founder'!$M$1=2,SUM(I7:I11)-SUM(I7:I11)/(1+$D6),SUM(I7:I11)*($D6)))</f>
        <v/>
      </c>
      <c r="J12" s="1201" t="str">
        <f>IF(OR(SUM(J7:J11)=0,'Deckblatt Gruender|Data Founder'!$M$1=1),"",IF('Deckblatt Gruender|Data Founder'!$M$1=2,SUM(J7:J11)-SUM(J7:J11)/(1+$D6),SUM(J7:J11)*($D6)))</f>
        <v/>
      </c>
      <c r="K12" s="1201" t="str">
        <f>IF(OR(SUM(K7:K11)=0,'Deckblatt Gruender|Data Founder'!$M$1=1),"",IF('Deckblatt Gruender|Data Founder'!$M$1=2,SUM(K7:K11)-SUM(K7:K11)/(1+$D6),SUM(K7:K11)*($D6)))</f>
        <v/>
      </c>
      <c r="L12" s="1201" t="str">
        <f>IF(OR(SUM(L7:L11)=0,'Deckblatt Gruender|Data Founder'!$M$1=1),"",IF('Deckblatt Gruender|Data Founder'!$M$1=2,SUM(L7:L11)-SUM(L7:L11)/(1+$D6),SUM(L7:L11)*($D6)))</f>
        <v/>
      </c>
      <c r="M12" s="1201" t="str">
        <f>IF(OR(SUM(M7:M11)=0,'Deckblatt Gruender|Data Founder'!$M$1=1),"",IF('Deckblatt Gruender|Data Founder'!$M$1=2,SUM(M7:M11)-SUM(M7:M11)/(1+$D6),SUM(M7:M11)*($D6)))</f>
        <v/>
      </c>
      <c r="N12" s="1201" t="str">
        <f>IF(OR(SUM(N7:N11)=0,'Deckblatt Gruender|Data Founder'!$M$1=1),"",IF('Deckblatt Gruender|Data Founder'!$M$1=2,SUM(N7:N11)-SUM(N7:N11)/(1+$D6),SUM(N7:N11)*($D6)))</f>
        <v/>
      </c>
      <c r="O12" s="1201" t="str">
        <f>IF(OR(SUM(O7:O11)=0,'Deckblatt Gruender|Data Founder'!$M$1=1),"",IF('Deckblatt Gruender|Data Founder'!$M$1=2,SUM(O7:O11)-SUM(O7:O11)/(1+$D6),SUM(O7:O11)*($D6)))</f>
        <v/>
      </c>
      <c r="P12" s="1201" t="str">
        <f>IF(OR(SUM(P7:P11)=0,'Deckblatt Gruender|Data Founder'!$M$1=1),"",IF('Deckblatt Gruender|Data Founder'!$M$1=2,SUM(P7:P11)-SUM(P7:P11)/(1+$D6),SUM(P7:P11)*($D6)))</f>
        <v/>
      </c>
      <c r="Q12" s="1202" t="str">
        <f>IF(SUM(E12:P12)=0,"",SUM(E12:P12))</f>
        <v/>
      </c>
      <c r="R12" s="55"/>
      <c r="S12" s="431"/>
      <c r="T12" s="346"/>
      <c r="AN12" s="346"/>
      <c r="AO12" s="346"/>
      <c r="AP12" s="346"/>
      <c r="AQ12" s="346"/>
      <c r="AR12" s="346"/>
      <c r="AS12" s="346"/>
      <c r="AT12" s="346"/>
      <c r="AU12" s="346"/>
      <c r="AV12" s="346"/>
      <c r="AW12" s="346"/>
      <c r="AX12" s="346"/>
      <c r="AY12" s="346"/>
      <c r="AZ12" s="346"/>
      <c r="BA12" s="346"/>
      <c r="BB12" s="346"/>
      <c r="BC12" s="346"/>
      <c r="BD12" s="346"/>
      <c r="CV12" s="381" t="str">
        <f>IF('Deckblatt Gruender|Data Founder'!M1=1,"",IF('Deckblatt Gruender|Data Founder'!M1=2,"im Umsatz enthaltene MwSt", "nicht im Umsatz enthaltene MwSt"))</f>
        <v>nicht im Umsatz enthaltene MwSt</v>
      </c>
      <c r="CW12" s="381" t="str">
        <f>IF('Deckblatt Gruender|Data Founder'!M1=1,"",IF('Deckblatt Gruender|Data Founder'!M1=2,"VAT amount included in sales","VAT amount not included in sales"))</f>
        <v>VAT amount not included in sales</v>
      </c>
      <c r="CX12" s="904"/>
      <c r="CY12" s="912"/>
      <c r="CZ12" s="912"/>
      <c r="DA12" s="912"/>
      <c r="DB12" s="912"/>
      <c r="DC12" s="912"/>
      <c r="DD12" s="912"/>
      <c r="DE12" s="912"/>
      <c r="DF12" s="912"/>
      <c r="DG12" s="912"/>
      <c r="DH12" s="912"/>
      <c r="DI12" s="912"/>
      <c r="DJ12" s="912"/>
      <c r="DK12" s="912"/>
      <c r="DL12" s="912"/>
      <c r="DM12" s="289"/>
      <c r="DN12" s="289"/>
      <c r="DO12" s="289"/>
    </row>
    <row r="13" spans="1:119" s="432" customFormat="1" ht="15" thickBot="1" x14ac:dyDescent="0.25">
      <c r="A13" s="346"/>
      <c r="B13" s="1483"/>
      <c r="C13" s="1484" t="str">
        <f>IF($B$2="English",CW10,CV10)&amp;" "&amp;C6</f>
        <v>Summe Umsatz Produktgruppe 1</v>
      </c>
      <c r="D13" s="1485"/>
      <c r="E13" s="1486">
        <f t="shared" ref="E13:Q13" si="5">SUM(E7:E11)</f>
        <v>0</v>
      </c>
      <c r="F13" s="1486">
        <f t="shared" si="5"/>
        <v>0</v>
      </c>
      <c r="G13" s="1486">
        <f t="shared" si="5"/>
        <v>0</v>
      </c>
      <c r="H13" s="1486">
        <f t="shared" si="5"/>
        <v>0</v>
      </c>
      <c r="I13" s="1486">
        <f t="shared" si="5"/>
        <v>0</v>
      </c>
      <c r="J13" s="1486">
        <f t="shared" si="5"/>
        <v>0</v>
      </c>
      <c r="K13" s="1486">
        <f t="shared" si="5"/>
        <v>0</v>
      </c>
      <c r="L13" s="1486">
        <f t="shared" si="5"/>
        <v>0</v>
      </c>
      <c r="M13" s="1486">
        <f t="shared" si="5"/>
        <v>0</v>
      </c>
      <c r="N13" s="1486">
        <f t="shared" si="5"/>
        <v>0</v>
      </c>
      <c r="O13" s="1486">
        <f t="shared" si="5"/>
        <v>0</v>
      </c>
      <c r="P13" s="1486">
        <f t="shared" si="5"/>
        <v>0</v>
      </c>
      <c r="Q13" s="1487">
        <f t="shared" si="5"/>
        <v>0</v>
      </c>
      <c r="R13" s="55"/>
      <c r="S13" s="431"/>
      <c r="T13" s="346"/>
      <c r="U13" s="1042" t="s">
        <v>492</v>
      </c>
      <c r="V13" s="1029"/>
      <c r="W13" s="973">
        <f>D14</f>
        <v>0.19</v>
      </c>
      <c r="X13" s="427"/>
      <c r="Y13" s="427"/>
      <c r="Z13" s="427"/>
      <c r="AA13" s="427"/>
      <c r="AB13" s="427"/>
      <c r="AC13" s="427"/>
      <c r="AD13" s="427"/>
      <c r="AE13" s="427"/>
      <c r="AF13" s="427"/>
      <c r="AG13" s="427"/>
      <c r="AH13" s="427"/>
      <c r="AI13" s="427"/>
      <c r="AJ13" s="428"/>
      <c r="AK13" s="346"/>
      <c r="AL13" s="346"/>
      <c r="AM13" s="346"/>
      <c r="AN13" s="346"/>
      <c r="AO13" s="346"/>
      <c r="AP13" s="346"/>
      <c r="AQ13" s="346"/>
      <c r="AR13" s="346"/>
      <c r="AS13" s="346"/>
      <c r="AT13" s="346"/>
      <c r="AU13" s="346"/>
      <c r="AV13" s="346"/>
      <c r="AW13" s="346"/>
      <c r="AX13" s="346"/>
      <c r="AY13" s="346"/>
      <c r="AZ13" s="346"/>
      <c r="BA13" s="346"/>
      <c r="BB13" s="346"/>
      <c r="BC13" s="346"/>
      <c r="BD13" s="346"/>
      <c r="CV13" s="381"/>
      <c r="CW13" s="381"/>
      <c r="CX13" s="904"/>
      <c r="CY13" s="912"/>
      <c r="CZ13" s="912"/>
      <c r="DA13" s="912"/>
      <c r="DB13" s="912"/>
      <c r="DC13" s="912"/>
      <c r="DD13" s="912"/>
      <c r="DE13" s="912"/>
      <c r="DF13" s="912"/>
      <c r="DG13" s="912"/>
      <c r="DH13" s="912"/>
      <c r="DI13" s="912"/>
      <c r="DJ13" s="912"/>
      <c r="DK13" s="912"/>
      <c r="DL13" s="912"/>
      <c r="DM13" s="289"/>
      <c r="DN13" s="289"/>
      <c r="DO13" s="289"/>
    </row>
    <row r="14" spans="1:119" x14ac:dyDescent="0.2">
      <c r="B14" s="372">
        <v>2</v>
      </c>
      <c r="C14" s="1481" t="s">
        <v>518</v>
      </c>
      <c r="D14" s="1482">
        <v>0.19</v>
      </c>
      <c r="E14" s="1200"/>
      <c r="F14" s="1200"/>
      <c r="G14" s="1200"/>
      <c r="H14" s="1200"/>
      <c r="I14" s="1200"/>
      <c r="J14" s="1200"/>
      <c r="K14" s="1200"/>
      <c r="L14" s="1200"/>
      <c r="M14" s="1200"/>
      <c r="N14" s="1200"/>
      <c r="O14" s="1200"/>
      <c r="P14" s="1200"/>
      <c r="Q14" s="1199"/>
      <c r="S14" s="431"/>
      <c r="U14" s="1047" t="s">
        <v>526</v>
      </c>
      <c r="V14" s="918"/>
      <c r="W14" s="388"/>
      <c r="X14" s="451"/>
      <c r="Y14" s="451"/>
      <c r="Z14" s="451"/>
      <c r="AA14" s="451"/>
      <c r="AB14" s="451"/>
      <c r="AC14" s="451"/>
      <c r="AD14" s="451"/>
      <c r="AE14" s="451"/>
      <c r="AF14" s="451"/>
      <c r="AG14" s="451"/>
      <c r="AH14" s="451"/>
      <c r="AI14" s="451"/>
      <c r="AJ14" s="736">
        <f t="shared" ref="AJ14:AJ19" si="6">SUM(X14:AI14)</f>
        <v>0</v>
      </c>
      <c r="CV14" s="381" t="s">
        <v>518</v>
      </c>
      <c r="CW14" s="381" t="s">
        <v>519</v>
      </c>
      <c r="CX14" s="904"/>
    </row>
    <row r="15" spans="1:119" ht="15" x14ac:dyDescent="0.2">
      <c r="B15" s="974" t="s">
        <v>488</v>
      </c>
      <c r="C15" s="451"/>
      <c r="D15" s="1276" t="s">
        <v>688</v>
      </c>
      <c r="E15" s="1378"/>
      <c r="F15" s="1378"/>
      <c r="G15" s="1378"/>
      <c r="H15" s="1378"/>
      <c r="I15" s="1378"/>
      <c r="J15" s="1378"/>
      <c r="K15" s="1378"/>
      <c r="L15" s="1378"/>
      <c r="M15" s="1378"/>
      <c r="N15" s="1378"/>
      <c r="O15" s="1378"/>
      <c r="P15" s="1378"/>
      <c r="Q15" s="1399">
        <f>SUM(E15:P15)</f>
        <v>0</v>
      </c>
      <c r="S15" s="1546"/>
      <c r="U15" s="1047" t="s">
        <v>527</v>
      </c>
      <c r="V15" s="918"/>
      <c r="W15" s="229"/>
      <c r="X15" s="451"/>
      <c r="Y15" s="451"/>
      <c r="Z15" s="451"/>
      <c r="AA15" s="451"/>
      <c r="AB15" s="451"/>
      <c r="AC15" s="451"/>
      <c r="AD15" s="451"/>
      <c r="AE15" s="451"/>
      <c r="AF15" s="451"/>
      <c r="AG15" s="451"/>
      <c r="AH15" s="451"/>
      <c r="AI15" s="451"/>
      <c r="AJ15" s="736">
        <f t="shared" si="6"/>
        <v>0</v>
      </c>
      <c r="CV15" s="381" t="s">
        <v>42</v>
      </c>
      <c r="CW15" s="381" t="s">
        <v>262</v>
      </c>
      <c r="CX15" s="904"/>
    </row>
    <row r="16" spans="1:119" x14ac:dyDescent="0.2">
      <c r="B16" s="974" t="s">
        <v>489</v>
      </c>
      <c r="C16" s="449"/>
      <c r="D16" s="1275" t="str">
        <f>D8</f>
        <v>Auswahl</v>
      </c>
      <c r="E16" s="1378"/>
      <c r="F16" s="1378"/>
      <c r="G16" s="1378"/>
      <c r="H16" s="1378"/>
      <c r="I16" s="1378"/>
      <c r="J16" s="1378"/>
      <c r="K16" s="1378"/>
      <c r="L16" s="1378"/>
      <c r="M16" s="1378"/>
      <c r="N16" s="1378"/>
      <c r="O16" s="1378"/>
      <c r="P16" s="1378"/>
      <c r="Q16" s="1399">
        <f>SUM(E16:P16)</f>
        <v>0</v>
      </c>
      <c r="S16" s="1546"/>
      <c r="U16" s="1047" t="s">
        <v>528</v>
      </c>
      <c r="V16" s="918"/>
      <c r="W16" s="229"/>
      <c r="X16" s="451"/>
      <c r="Y16" s="451"/>
      <c r="Z16" s="451"/>
      <c r="AA16" s="451"/>
      <c r="AB16" s="451"/>
      <c r="AC16" s="451"/>
      <c r="AD16" s="451"/>
      <c r="AE16" s="451"/>
      <c r="AF16" s="451"/>
      <c r="AG16" s="451"/>
      <c r="AH16" s="451"/>
      <c r="AI16" s="451"/>
      <c r="AJ16" s="736">
        <f t="shared" si="6"/>
        <v>0</v>
      </c>
      <c r="CV16" s="381"/>
      <c r="CW16" s="381"/>
      <c r="CX16" s="904"/>
    </row>
    <row r="17" spans="1:119" x14ac:dyDescent="0.2">
      <c r="B17" s="974" t="s">
        <v>490</v>
      </c>
      <c r="C17" s="449"/>
      <c r="D17" s="1271"/>
      <c r="E17" s="1378"/>
      <c r="F17" s="1378"/>
      <c r="G17" s="1378"/>
      <c r="H17" s="1378"/>
      <c r="I17" s="1378"/>
      <c r="J17" s="1378"/>
      <c r="K17" s="1378"/>
      <c r="L17" s="1378"/>
      <c r="M17" s="1378"/>
      <c r="N17" s="1378"/>
      <c r="O17" s="1378"/>
      <c r="P17" s="1378"/>
      <c r="Q17" s="1399">
        <f>SUM(E17:P17)</f>
        <v>0</v>
      </c>
      <c r="S17" s="1546"/>
      <c r="U17" s="1047" t="s">
        <v>529</v>
      </c>
      <c r="V17" s="918"/>
      <c r="W17" s="229"/>
      <c r="X17" s="451"/>
      <c r="Y17" s="451"/>
      <c r="Z17" s="451"/>
      <c r="AA17" s="451"/>
      <c r="AB17" s="451"/>
      <c r="AC17" s="451"/>
      <c r="AD17" s="451"/>
      <c r="AE17" s="451"/>
      <c r="AF17" s="451"/>
      <c r="AG17" s="451"/>
      <c r="AH17" s="451"/>
      <c r="AI17" s="451"/>
      <c r="AJ17" s="736">
        <f t="shared" si="6"/>
        <v>0</v>
      </c>
      <c r="CV17" s="381"/>
      <c r="CW17" s="381"/>
      <c r="CX17" s="904"/>
    </row>
    <row r="18" spans="1:119" x14ac:dyDescent="0.2">
      <c r="B18" s="974" t="s">
        <v>491</v>
      </c>
      <c r="C18" s="1377"/>
      <c r="E18" s="1378"/>
      <c r="F18" s="1378"/>
      <c r="G18" s="1378"/>
      <c r="H18" s="1378"/>
      <c r="I18" s="1378"/>
      <c r="J18" s="1378"/>
      <c r="K18" s="1378"/>
      <c r="L18" s="1378"/>
      <c r="M18" s="1378"/>
      <c r="N18" s="1378"/>
      <c r="O18" s="1378"/>
      <c r="P18" s="1378"/>
      <c r="Q18" s="1399">
        <f>SUM(E18:P18)</f>
        <v>0</v>
      </c>
      <c r="S18" s="1546"/>
      <c r="U18" s="1047" t="s">
        <v>530</v>
      </c>
      <c r="V18" s="918"/>
      <c r="W18" s="229"/>
      <c r="X18" s="451"/>
      <c r="Y18" s="451"/>
      <c r="Z18" s="451"/>
      <c r="AA18" s="451"/>
      <c r="AB18" s="451"/>
      <c r="AC18" s="451"/>
      <c r="AD18" s="451"/>
      <c r="AE18" s="451"/>
      <c r="AF18" s="451"/>
      <c r="AG18" s="451"/>
      <c r="AH18" s="451"/>
      <c r="AI18" s="451"/>
      <c r="AJ18" s="736">
        <f t="shared" si="6"/>
        <v>0</v>
      </c>
      <c r="CV18" s="977"/>
      <c r="CW18" s="238"/>
      <c r="CX18" s="904"/>
    </row>
    <row r="19" spans="1:119" ht="15" thickBot="1" x14ac:dyDescent="0.25">
      <c r="B19" s="974" t="s">
        <v>492</v>
      </c>
      <c r="C19" s="1019" t="str">
        <f>IF($B$2="English",CW9,CV9)</f>
        <v>Umsätze aus Nebenrechnung Gruppe 2</v>
      </c>
      <c r="D19" s="1380"/>
      <c r="E19" s="1203" t="str">
        <f t="shared" ref="E19:P19" si="7">X19</f>
        <v/>
      </c>
      <c r="F19" s="1203" t="str">
        <f t="shared" si="7"/>
        <v/>
      </c>
      <c r="G19" s="1203" t="str">
        <f t="shared" si="7"/>
        <v/>
      </c>
      <c r="H19" s="1203" t="str">
        <f t="shared" si="7"/>
        <v/>
      </c>
      <c r="I19" s="1203" t="str">
        <f t="shared" si="7"/>
        <v/>
      </c>
      <c r="J19" s="1203" t="str">
        <f t="shared" si="7"/>
        <v/>
      </c>
      <c r="K19" s="1203" t="str">
        <f t="shared" si="7"/>
        <v/>
      </c>
      <c r="L19" s="1203" t="str">
        <f t="shared" si="7"/>
        <v/>
      </c>
      <c r="M19" s="1203" t="str">
        <f t="shared" si="7"/>
        <v/>
      </c>
      <c r="N19" s="1203" t="str">
        <f t="shared" si="7"/>
        <v/>
      </c>
      <c r="O19" s="1203" t="str">
        <f t="shared" si="7"/>
        <v/>
      </c>
      <c r="P19" s="1203" t="str">
        <f t="shared" si="7"/>
        <v/>
      </c>
      <c r="Q19" s="1199">
        <f>SUM(E19:P19)</f>
        <v>0</v>
      </c>
      <c r="S19" s="1546"/>
      <c r="U19" s="1043"/>
      <c r="V19" s="1034" t="str">
        <f>IF($B$2="English",CW30,CV30)</f>
        <v>Summe Nebenrechnung Gruppe2</v>
      </c>
      <c r="W19" s="1035"/>
      <c r="X19" s="1032" t="str">
        <f t="shared" ref="X19:AI19" si="8">IF(SUM(X14:X18)=0,"",SUM(X14:X18))</f>
        <v/>
      </c>
      <c r="Y19" s="1032" t="str">
        <f t="shared" si="8"/>
        <v/>
      </c>
      <c r="Z19" s="1032" t="str">
        <f t="shared" si="8"/>
        <v/>
      </c>
      <c r="AA19" s="1032" t="str">
        <f t="shared" si="8"/>
        <v/>
      </c>
      <c r="AB19" s="1032" t="str">
        <f t="shared" si="8"/>
        <v/>
      </c>
      <c r="AC19" s="1032" t="str">
        <f t="shared" si="8"/>
        <v/>
      </c>
      <c r="AD19" s="1032" t="str">
        <f t="shared" si="8"/>
        <v/>
      </c>
      <c r="AE19" s="1032" t="str">
        <f t="shared" si="8"/>
        <v/>
      </c>
      <c r="AF19" s="1032" t="str">
        <f t="shared" si="8"/>
        <v/>
      </c>
      <c r="AG19" s="1032" t="str">
        <f t="shared" si="8"/>
        <v/>
      </c>
      <c r="AH19" s="1032" t="str">
        <f t="shared" si="8"/>
        <v/>
      </c>
      <c r="AI19" s="1032" t="str">
        <f t="shared" si="8"/>
        <v/>
      </c>
      <c r="AJ19" s="1037">
        <f t="shared" si="6"/>
        <v>0</v>
      </c>
      <c r="AK19" s="229"/>
      <c r="CV19" s="381"/>
      <c r="CW19" s="381"/>
      <c r="CX19" s="904"/>
    </row>
    <row r="20" spans="1:119" s="432" customFormat="1" hidden="1" x14ac:dyDescent="0.2">
      <c r="A20" s="346"/>
      <c r="B20" s="1039"/>
      <c r="C20" s="1040" t="str">
        <f>C12</f>
        <v>nicht im Umsatz enthaltene MwSt</v>
      </c>
      <c r="D20" s="222"/>
      <c r="E20" s="1201" t="str">
        <f>IF(OR(SUM(E15:E19)=0,'Deckblatt Gruender|Data Founder'!$M$1=1),"",IF('Deckblatt Gruender|Data Founder'!$M$1=2,SUM(E15:E19)-SUM(E15:E19)/(1+$D14),SUM(E15:E19)*($D14)))</f>
        <v/>
      </c>
      <c r="F20" s="1201" t="str">
        <f>IF(OR(SUM(F15:F19)=0,'Deckblatt Gruender|Data Founder'!$M$1=1),"",IF('Deckblatt Gruender|Data Founder'!$M$1=2,SUM(F15:F19)-SUM(F15:F19)/(1+$D14),SUM(F15:F19)*($D14)))</f>
        <v/>
      </c>
      <c r="G20" s="1201" t="str">
        <f>IF(OR(SUM(G15:G19)=0,'Deckblatt Gruender|Data Founder'!$M$1=1),"",IF('Deckblatt Gruender|Data Founder'!$M$1=2,SUM(G15:G19)-SUM(G15:G19)/(1+$D14),SUM(G15:G19)*($D14)))</f>
        <v/>
      </c>
      <c r="H20" s="1201" t="str">
        <f>IF(OR(SUM(H15:H19)=0,'Deckblatt Gruender|Data Founder'!$M$1=1),"",IF('Deckblatt Gruender|Data Founder'!$M$1=2,SUM(H15:H19)-SUM(H15:H19)/(1+$D14),SUM(H15:H19)*($D14)))</f>
        <v/>
      </c>
      <c r="I20" s="1201" t="str">
        <f>IF(OR(SUM(I15:I19)=0,'Deckblatt Gruender|Data Founder'!$M$1=1),"",IF('Deckblatt Gruender|Data Founder'!$M$1=2,SUM(I15:I19)-SUM(I15:I19)/(1+$D14),SUM(I15:I19)*($D14)))</f>
        <v/>
      </c>
      <c r="J20" s="1201" t="str">
        <f>IF(OR(SUM(J15:J19)=0,'Deckblatt Gruender|Data Founder'!$M$1=1),"",IF('Deckblatt Gruender|Data Founder'!$M$1=2,SUM(J15:J19)-SUM(J15:J19)/(1+$D14),SUM(J15:J19)*($D14)))</f>
        <v/>
      </c>
      <c r="K20" s="1201" t="str">
        <f>IF(OR(SUM(K15:K19)=0,'Deckblatt Gruender|Data Founder'!$M$1=1),"",IF('Deckblatt Gruender|Data Founder'!$M$1=2,SUM(K15:K19)-SUM(K15:K19)/(1+$D14),SUM(K15:K19)*($D14)))</f>
        <v/>
      </c>
      <c r="L20" s="1201" t="str">
        <f>IF(OR(SUM(L15:L19)=0,'Deckblatt Gruender|Data Founder'!$M$1=1),"",IF('Deckblatt Gruender|Data Founder'!$M$1=2,SUM(L15:L19)-SUM(L15:L19)/(1+$D14),SUM(L15:L19)*($D14)))</f>
        <v/>
      </c>
      <c r="M20" s="1201" t="str">
        <f>IF(OR(SUM(M15:M19)=0,'Deckblatt Gruender|Data Founder'!$M$1=1),"",IF('Deckblatt Gruender|Data Founder'!$M$1=2,SUM(M15:M19)-SUM(M15:M19)/(1+$D14),SUM(M15:M19)*($D14)))</f>
        <v/>
      </c>
      <c r="N20" s="1201" t="str">
        <f>IF(OR(SUM(N15:N19)=0,'Deckblatt Gruender|Data Founder'!$M$1=1),"",IF('Deckblatt Gruender|Data Founder'!$M$1=2,SUM(N15:N19)-SUM(N15:N19)/(1+$D14),SUM(N15:N19)*($D14)))</f>
        <v/>
      </c>
      <c r="O20" s="1201" t="str">
        <f>IF(OR(SUM(O15:O19)=0,'Deckblatt Gruender|Data Founder'!$M$1=1),"",IF('Deckblatt Gruender|Data Founder'!$M$1=2,SUM(O15:O19)-SUM(O15:O19)/(1+$D14),SUM(O15:O19)*($D14)))</f>
        <v/>
      </c>
      <c r="P20" s="1201" t="str">
        <f>IF(OR(SUM(P15:P19)=0,'Deckblatt Gruender|Data Founder'!$M$1=1),"",IF('Deckblatt Gruender|Data Founder'!$M$1=2,SUM(P15:P19)-SUM(P15:P19)/(1+$D14),SUM(P15:P19)*($D14)))</f>
        <v/>
      </c>
      <c r="Q20" s="1202" t="str">
        <f>IF(SUM(E20:P20)=0,"",SUM(E20:P20))</f>
        <v/>
      </c>
      <c r="R20" s="55"/>
      <c r="S20" s="431"/>
      <c r="T20" s="346"/>
      <c r="AK20" s="388"/>
      <c r="AL20" s="346"/>
      <c r="AM20" s="346"/>
      <c r="AN20" s="346"/>
      <c r="AO20" s="346"/>
      <c r="AP20" s="346"/>
      <c r="AQ20" s="346"/>
      <c r="AR20" s="346"/>
      <c r="AS20" s="346"/>
      <c r="AT20" s="346"/>
      <c r="AU20" s="346"/>
      <c r="AV20" s="346"/>
      <c r="AW20" s="346"/>
      <c r="AX20" s="346"/>
      <c r="AY20" s="346"/>
      <c r="AZ20" s="346"/>
      <c r="BA20" s="346"/>
      <c r="BB20" s="346"/>
      <c r="BC20" s="346"/>
      <c r="BD20" s="346"/>
      <c r="CV20" s="381" t="s">
        <v>538</v>
      </c>
      <c r="CW20" s="381" t="s">
        <v>601</v>
      </c>
      <c r="CX20" s="904"/>
      <c r="CY20" s="912"/>
      <c r="CZ20" s="912"/>
      <c r="DA20" s="912"/>
      <c r="DB20" s="912"/>
      <c r="DC20" s="912"/>
      <c r="DD20" s="912"/>
      <c r="DE20" s="912"/>
      <c r="DF20" s="912"/>
      <c r="DG20" s="912"/>
      <c r="DH20" s="912"/>
      <c r="DI20" s="912"/>
      <c r="DJ20" s="912"/>
      <c r="DK20" s="912"/>
      <c r="DL20" s="912"/>
      <c r="DM20" s="289"/>
      <c r="DN20" s="289"/>
      <c r="DO20" s="289"/>
    </row>
    <row r="21" spans="1:119" s="432" customFormat="1" ht="15" thickBot="1" x14ac:dyDescent="0.25">
      <c r="A21" s="346"/>
      <c r="B21" s="1483"/>
      <c r="C21" s="1484" t="str">
        <f>IF($B$2="English",CW15,CV15)&amp;" "&amp;C14</f>
        <v>Summe Umsatz Produktgruppe 2</v>
      </c>
      <c r="D21" s="1485"/>
      <c r="E21" s="1486">
        <f t="shared" ref="E21:Q21" si="9">SUM(E15:E19)</f>
        <v>0</v>
      </c>
      <c r="F21" s="1486">
        <f t="shared" si="9"/>
        <v>0</v>
      </c>
      <c r="G21" s="1486">
        <f t="shared" si="9"/>
        <v>0</v>
      </c>
      <c r="H21" s="1486">
        <f t="shared" si="9"/>
        <v>0</v>
      </c>
      <c r="I21" s="1486">
        <f t="shared" si="9"/>
        <v>0</v>
      </c>
      <c r="J21" s="1486">
        <f t="shared" si="9"/>
        <v>0</v>
      </c>
      <c r="K21" s="1486">
        <f t="shared" si="9"/>
        <v>0</v>
      </c>
      <c r="L21" s="1486">
        <f t="shared" si="9"/>
        <v>0</v>
      </c>
      <c r="M21" s="1486">
        <f t="shared" si="9"/>
        <v>0</v>
      </c>
      <c r="N21" s="1486">
        <f t="shared" si="9"/>
        <v>0</v>
      </c>
      <c r="O21" s="1486">
        <f t="shared" si="9"/>
        <v>0</v>
      </c>
      <c r="P21" s="1486">
        <f t="shared" si="9"/>
        <v>0</v>
      </c>
      <c r="Q21" s="1487">
        <f t="shared" si="9"/>
        <v>0</v>
      </c>
      <c r="R21" s="55"/>
      <c r="S21" s="431"/>
      <c r="T21" s="346"/>
      <c r="AK21" s="388"/>
      <c r="AL21" s="346"/>
      <c r="AM21" s="346"/>
      <c r="AN21" s="346"/>
      <c r="AO21" s="346"/>
      <c r="AP21" s="346"/>
      <c r="AQ21" s="346"/>
      <c r="AR21" s="346"/>
      <c r="AS21" s="346"/>
      <c r="AT21" s="346"/>
      <c r="AU21" s="346"/>
      <c r="AV21" s="346"/>
      <c r="AW21" s="346"/>
      <c r="AX21" s="346"/>
      <c r="AY21" s="346"/>
      <c r="AZ21" s="346"/>
      <c r="BA21" s="346"/>
      <c r="BB21" s="346"/>
      <c r="BC21" s="346"/>
      <c r="BD21" s="346"/>
      <c r="CV21" s="381"/>
      <c r="CW21" s="381"/>
      <c r="CX21" s="904"/>
      <c r="CY21" s="912"/>
      <c r="CZ21" s="912"/>
      <c r="DA21" s="912"/>
      <c r="DB21" s="912"/>
      <c r="DC21" s="912"/>
      <c r="DD21" s="912"/>
      <c r="DE21" s="912"/>
      <c r="DF21" s="912"/>
      <c r="DG21" s="912"/>
      <c r="DH21" s="912"/>
      <c r="DI21" s="912"/>
      <c r="DJ21" s="912"/>
      <c r="DK21" s="912"/>
      <c r="DL21" s="912"/>
      <c r="DM21" s="289"/>
      <c r="DN21" s="289"/>
      <c r="DO21" s="289"/>
    </row>
    <row r="22" spans="1:119" x14ac:dyDescent="0.2">
      <c r="B22" s="430">
        <v>3</v>
      </c>
      <c r="C22" s="1274" t="s">
        <v>231</v>
      </c>
      <c r="D22" s="1376">
        <v>7.0000000000000007E-2</v>
      </c>
      <c r="E22" s="1200"/>
      <c r="F22" s="1200"/>
      <c r="G22" s="1200"/>
      <c r="H22" s="1200"/>
      <c r="I22" s="1200"/>
      <c r="J22" s="1200"/>
      <c r="K22" s="1200"/>
      <c r="L22" s="1200"/>
      <c r="M22" s="1200"/>
      <c r="N22" s="1200"/>
      <c r="O22" s="1200"/>
      <c r="P22" s="1200"/>
      <c r="Q22" s="1198"/>
      <c r="U22" s="519"/>
      <c r="V22" s="1024"/>
      <c r="W22" s="229"/>
      <c r="X22" s="1025"/>
      <c r="Y22" s="1025"/>
      <c r="Z22" s="1025"/>
      <c r="AA22" s="1025"/>
      <c r="AB22" s="1025"/>
      <c r="AC22" s="1025"/>
      <c r="AD22" s="1025"/>
      <c r="AE22" s="1025"/>
      <c r="AF22" s="1025"/>
      <c r="AG22" s="1025"/>
      <c r="AH22" s="1025"/>
      <c r="AI22" s="1025"/>
      <c r="AJ22" s="1023"/>
      <c r="AK22" s="229"/>
      <c r="CV22" s="381" t="s">
        <v>231</v>
      </c>
      <c r="CW22" s="381" t="s">
        <v>600</v>
      </c>
      <c r="CX22" s="904"/>
    </row>
    <row r="23" spans="1:119" ht="15" x14ac:dyDescent="0.2">
      <c r="B23" s="974" t="s">
        <v>493</v>
      </c>
      <c r="C23" s="451"/>
      <c r="D23" s="1276" t="s">
        <v>688</v>
      </c>
      <c r="E23" s="1378"/>
      <c r="F23" s="1378"/>
      <c r="G23" s="1378"/>
      <c r="H23" s="1378"/>
      <c r="I23" s="1378"/>
      <c r="J23" s="1378"/>
      <c r="K23" s="1378"/>
      <c r="L23" s="1378"/>
      <c r="M23" s="1378"/>
      <c r="N23" s="1378"/>
      <c r="O23" s="1378"/>
      <c r="P23" s="1378"/>
      <c r="Q23" s="1399">
        <f>SUM(E23:P23)</f>
        <v>0</v>
      </c>
      <c r="S23" s="1546"/>
      <c r="U23" s="519"/>
      <c r="V23" s="1024"/>
      <c r="W23" s="229"/>
      <c r="X23" s="1025"/>
      <c r="Y23" s="1025"/>
      <c r="Z23" s="1025"/>
      <c r="AA23" s="1025"/>
      <c r="AB23" s="1025"/>
      <c r="AC23" s="1025"/>
      <c r="AD23" s="1025"/>
      <c r="AE23" s="1025"/>
      <c r="AF23" s="1025"/>
      <c r="AG23" s="1025"/>
      <c r="AH23" s="1025"/>
      <c r="AI23" s="1025"/>
      <c r="AJ23" s="1023"/>
      <c r="AK23" s="229"/>
      <c r="CV23" s="381" t="s">
        <v>42</v>
      </c>
      <c r="CW23" s="381" t="s">
        <v>262</v>
      </c>
      <c r="CX23" s="904"/>
    </row>
    <row r="24" spans="1:119" x14ac:dyDescent="0.2">
      <c r="B24" s="974" t="s">
        <v>494</v>
      </c>
      <c r="C24" s="449"/>
      <c r="D24" s="1275" t="str">
        <f>D8</f>
        <v>Auswahl</v>
      </c>
      <c r="E24" s="1378"/>
      <c r="F24" s="1378"/>
      <c r="G24" s="1378"/>
      <c r="H24" s="1378"/>
      <c r="I24" s="1378"/>
      <c r="J24" s="1378"/>
      <c r="K24" s="1378"/>
      <c r="L24" s="1378"/>
      <c r="M24" s="1378"/>
      <c r="N24" s="1378"/>
      <c r="O24" s="1378"/>
      <c r="P24" s="1378"/>
      <c r="Q24" s="1399">
        <f>SUM(E24:P24)</f>
        <v>0</v>
      </c>
      <c r="S24" s="1546"/>
      <c r="U24" s="519"/>
      <c r="V24" s="1024"/>
      <c r="W24" s="229"/>
      <c r="X24" s="1025"/>
      <c r="Y24" s="1025"/>
      <c r="Z24" s="1025"/>
      <c r="AA24" s="1025"/>
      <c r="AB24" s="1025"/>
      <c r="AC24" s="1025"/>
      <c r="AD24" s="1025"/>
      <c r="AE24" s="1025"/>
      <c r="AF24" s="1025"/>
      <c r="AG24" s="1025"/>
      <c r="AH24" s="1025"/>
      <c r="AI24" s="1025"/>
      <c r="AJ24" s="1023"/>
      <c r="AK24" s="229"/>
      <c r="CV24" s="381"/>
      <c r="CW24" s="381"/>
      <c r="CX24" s="904"/>
    </row>
    <row r="25" spans="1:119" hidden="1" x14ac:dyDescent="0.2">
      <c r="B25" s="1039"/>
      <c r="C25" s="1040" t="str">
        <f>C20</f>
        <v>nicht im Umsatz enthaltene MwSt</v>
      </c>
      <c r="D25" s="1269"/>
      <c r="E25" s="1379" t="str">
        <f>IF(OR(SUM(E23:E24)=0,'Deckblatt Gruender|Data Founder'!$M$1=1),"",IF('Deckblatt Gruender|Data Founder'!$M$1=2,SUM(E23:E24)-SUM(E23:E24)/(1+$D22),SUM(E23:E24)*($D22)))</f>
        <v/>
      </c>
      <c r="F25" s="1379" t="str">
        <f>IF(OR(SUM(F23:F24)=0,'Deckblatt Gruender|Data Founder'!$M$1=1),"",IF('Deckblatt Gruender|Data Founder'!$M$1=2,SUM(F23:F24)-SUM(F23:F24)/(1+$D22),SUM(F23:F24)*($D22)))</f>
        <v/>
      </c>
      <c r="G25" s="1379" t="str">
        <f>IF(OR(SUM(G23:G24)=0,'Deckblatt Gruender|Data Founder'!$M$1=1),"",IF('Deckblatt Gruender|Data Founder'!$M$1=2,SUM(G23:G24)-SUM(G23:G24)/(1+$D22),SUM(G23:G24)*($D22)))</f>
        <v/>
      </c>
      <c r="H25" s="1379" t="str">
        <f>IF(OR(SUM(H23:H24)=0,'Deckblatt Gruender|Data Founder'!$M$1=1),"",IF('Deckblatt Gruender|Data Founder'!$M$1=2,SUM(H23:H24)-SUM(H23:H24)/(1+$D22),SUM(H23:H24)*($D22)))</f>
        <v/>
      </c>
      <c r="I25" s="1379" t="str">
        <f>IF(OR(SUM(I23:I24)=0,'Deckblatt Gruender|Data Founder'!$M$1=1),"",IF('Deckblatt Gruender|Data Founder'!$M$1=2,SUM(I23:I24)-SUM(I23:I24)/(1+$D22),SUM(I23:I24)*($D22)))</f>
        <v/>
      </c>
      <c r="J25" s="1379" t="str">
        <f>IF(OR(SUM(J23:J24)=0,'Deckblatt Gruender|Data Founder'!$M$1=1),"",IF('Deckblatt Gruender|Data Founder'!$M$1=2,SUM(J23:J24)-SUM(J23:J24)/(1+$D22),SUM(J23:J24)*($D22)))</f>
        <v/>
      </c>
      <c r="K25" s="1379" t="str">
        <f>IF(OR(SUM(K23:K24)=0,'Deckblatt Gruender|Data Founder'!$M$1=1),"",IF('Deckblatt Gruender|Data Founder'!$M$1=2,SUM(K23:K24)-SUM(K23:K24)/(1+$D22),SUM(K23:K24)*($D22)))</f>
        <v/>
      </c>
      <c r="L25" s="1379" t="str">
        <f>IF(OR(SUM(L23:L24)=0,'Deckblatt Gruender|Data Founder'!$M$1=1),"",IF('Deckblatt Gruender|Data Founder'!$M$1=2,SUM(L23:L24)-SUM(L23:L24)/(1+$D22),SUM(L23:L24)*($D22)))</f>
        <v/>
      </c>
      <c r="M25" s="1379" t="str">
        <f>IF(OR(SUM(M23:M24)=0,'Deckblatt Gruender|Data Founder'!$M$1=1),"",IF('Deckblatt Gruender|Data Founder'!$M$1=2,SUM(M23:M24)-SUM(M23:M24)/(1+$D22),SUM(M23:M24)*($D22)))</f>
        <v/>
      </c>
      <c r="N25" s="1379" t="str">
        <f>IF(OR(SUM(N23:N24)=0,'Deckblatt Gruender|Data Founder'!$M$1=1),"",IF('Deckblatt Gruender|Data Founder'!$M$1=2,SUM(N23:N24)-SUM(N23:N24)/(1+$D22),SUM(N23:N24)*($D22)))</f>
        <v/>
      </c>
      <c r="O25" s="1379" t="str">
        <f>IF(OR(SUM(O23:O24)=0,'Deckblatt Gruender|Data Founder'!$M$1=1),"",IF('Deckblatt Gruender|Data Founder'!$M$1=2,SUM(O23:O24)-SUM(O23:O24)/(1+$D22),SUM(O23:O24)*($D22)))</f>
        <v/>
      </c>
      <c r="P25" s="1379" t="str">
        <f>IF(OR(SUM(P23:P24)=0,'Deckblatt Gruender|Data Founder'!$M$1=1),"",IF('Deckblatt Gruender|Data Founder'!$M$1=2,SUM(P23:P24)-SUM(P23:P24)/(1+$D22),SUM(P23:P24)*($D22)))</f>
        <v/>
      </c>
      <c r="Q25" s="1202" t="str">
        <f>IF(SUM(E25:P25)=0,"",SUM(E25:P25))</f>
        <v/>
      </c>
      <c r="U25" s="519"/>
      <c r="V25" s="1024"/>
      <c r="W25" s="229"/>
      <c r="X25" s="1025"/>
      <c r="Y25" s="1025"/>
      <c r="Z25" s="1025"/>
      <c r="AA25" s="1025"/>
      <c r="AB25" s="1025"/>
      <c r="AC25" s="1025"/>
      <c r="AD25" s="1025"/>
      <c r="AE25" s="1025"/>
      <c r="AF25" s="1025"/>
      <c r="AG25" s="1025"/>
      <c r="AH25" s="1025"/>
      <c r="AI25" s="1025"/>
      <c r="AJ25" s="1023"/>
      <c r="AK25" s="229"/>
      <c r="CV25" s="381" t="s">
        <v>546</v>
      </c>
      <c r="CW25" s="381" t="s">
        <v>539</v>
      </c>
      <c r="CX25" s="904"/>
    </row>
    <row r="26" spans="1:119" ht="15" thickBot="1" x14ac:dyDescent="0.25">
      <c r="B26" s="1483"/>
      <c r="C26" s="1484" t="str">
        <f>IF($B$2="English",CW23,CV23)&amp;" "&amp;C22</f>
        <v>Summe Honorareinnahmen</v>
      </c>
      <c r="D26" s="1485"/>
      <c r="E26" s="1486">
        <f>SUM(E23:E24)</f>
        <v>0</v>
      </c>
      <c r="F26" s="1486">
        <f t="shared" ref="F26:P26" si="10">SUM(F23:F24)</f>
        <v>0</v>
      </c>
      <c r="G26" s="1486">
        <f t="shared" si="10"/>
        <v>0</v>
      </c>
      <c r="H26" s="1486">
        <f t="shared" si="10"/>
        <v>0</v>
      </c>
      <c r="I26" s="1486">
        <f t="shared" si="10"/>
        <v>0</v>
      </c>
      <c r="J26" s="1486">
        <f t="shared" si="10"/>
        <v>0</v>
      </c>
      <c r="K26" s="1486">
        <f t="shared" si="10"/>
        <v>0</v>
      </c>
      <c r="L26" s="1486">
        <f t="shared" si="10"/>
        <v>0</v>
      </c>
      <c r="M26" s="1486">
        <f t="shared" si="10"/>
        <v>0</v>
      </c>
      <c r="N26" s="1486">
        <f t="shared" si="10"/>
        <v>0</v>
      </c>
      <c r="O26" s="1486">
        <f t="shared" si="10"/>
        <v>0</v>
      </c>
      <c r="P26" s="1486">
        <f t="shared" si="10"/>
        <v>0</v>
      </c>
      <c r="Q26" s="1487">
        <f>SUM(E26:P26)</f>
        <v>0</v>
      </c>
      <c r="U26" s="519"/>
      <c r="V26" s="1024"/>
      <c r="W26" s="229"/>
      <c r="X26" s="1025"/>
      <c r="Y26" s="1025"/>
      <c r="Z26" s="1025"/>
      <c r="AA26" s="1025"/>
      <c r="AB26" s="1025"/>
      <c r="AC26" s="1025"/>
      <c r="AD26" s="1025"/>
      <c r="AE26" s="1025"/>
      <c r="AF26" s="1025"/>
      <c r="AG26" s="1025"/>
      <c r="AH26" s="1025"/>
      <c r="AI26" s="1025"/>
      <c r="AJ26" s="1023"/>
      <c r="AK26" s="229"/>
      <c r="CV26" s="381"/>
      <c r="CW26" s="381"/>
      <c r="CX26" s="904"/>
    </row>
    <row r="27" spans="1:119" x14ac:dyDescent="0.2">
      <c r="B27" s="430">
        <v>4</v>
      </c>
      <c r="C27" s="1274" t="s">
        <v>398</v>
      </c>
      <c r="D27" s="1376">
        <v>7.0000000000000007E-2</v>
      </c>
      <c r="E27" s="233"/>
      <c r="F27" s="1204"/>
      <c r="G27" s="1204"/>
      <c r="H27" s="1204"/>
      <c r="I27" s="1204"/>
      <c r="J27" s="1204"/>
      <c r="K27" s="1204"/>
      <c r="L27" s="1204"/>
      <c r="M27" s="1204"/>
      <c r="N27" s="1204"/>
      <c r="O27" s="1204"/>
      <c r="P27" s="1204"/>
      <c r="Q27" s="1199"/>
      <c r="U27" s="519"/>
      <c r="V27" s="1024"/>
      <c r="W27" s="229"/>
      <c r="X27" s="1025"/>
      <c r="Y27" s="1025"/>
      <c r="Z27" s="1025"/>
      <c r="AA27" s="1025"/>
      <c r="AB27" s="1025"/>
      <c r="AC27" s="1025"/>
      <c r="AD27" s="1025"/>
      <c r="AE27" s="1025"/>
      <c r="AF27" s="1025"/>
      <c r="AG27" s="1025"/>
      <c r="AH27" s="1025"/>
      <c r="AI27" s="1025"/>
      <c r="AJ27" s="1023"/>
      <c r="AK27" s="229"/>
      <c r="CV27" s="381" t="s">
        <v>398</v>
      </c>
      <c r="CW27" s="381" t="s">
        <v>399</v>
      </c>
      <c r="CX27" s="904"/>
    </row>
    <row r="28" spans="1:119" ht="15" x14ac:dyDescent="0.2">
      <c r="B28" s="974" t="s">
        <v>495</v>
      </c>
      <c r="C28" s="451"/>
      <c r="D28" s="1276" t="s">
        <v>688</v>
      </c>
      <c r="E28" s="1378"/>
      <c r="F28" s="1378"/>
      <c r="G28" s="1378"/>
      <c r="H28" s="1378"/>
      <c r="I28" s="1378"/>
      <c r="J28" s="1378"/>
      <c r="K28" s="1378"/>
      <c r="L28" s="1378"/>
      <c r="M28" s="1378"/>
      <c r="N28" s="1378"/>
      <c r="O28" s="1378"/>
      <c r="P28" s="1378"/>
      <c r="Q28" s="1399">
        <f>SUM(E28:P28)</f>
        <v>0</v>
      </c>
      <c r="S28" s="1546"/>
      <c r="U28" s="519"/>
      <c r="V28" s="1024"/>
      <c r="W28" s="229"/>
      <c r="X28" s="1025"/>
      <c r="Y28" s="1025"/>
      <c r="Z28" s="1025"/>
      <c r="AA28" s="1025"/>
      <c r="AB28" s="1025"/>
      <c r="AC28" s="1025"/>
      <c r="AD28" s="1025"/>
      <c r="AE28" s="1025"/>
      <c r="AF28" s="1025"/>
      <c r="AG28" s="1025"/>
      <c r="AH28" s="1025"/>
      <c r="AI28" s="1025"/>
      <c r="AJ28" s="1023"/>
      <c r="AK28" s="229"/>
      <c r="CV28" s="381" t="s">
        <v>42</v>
      </c>
      <c r="CW28" s="381" t="s">
        <v>262</v>
      </c>
      <c r="CX28" s="904"/>
    </row>
    <row r="29" spans="1:119" ht="15" thickBot="1" x14ac:dyDescent="0.25">
      <c r="B29" s="974" t="s">
        <v>496</v>
      </c>
      <c r="C29" s="451"/>
      <c r="D29" s="1275" t="str">
        <f>D8</f>
        <v>Auswahl</v>
      </c>
      <c r="E29" s="1378"/>
      <c r="F29" s="1378"/>
      <c r="G29" s="1378"/>
      <c r="H29" s="1378"/>
      <c r="I29" s="1378"/>
      <c r="J29" s="1378"/>
      <c r="K29" s="1378"/>
      <c r="L29" s="1378"/>
      <c r="M29" s="1378"/>
      <c r="N29" s="1378"/>
      <c r="O29" s="1378"/>
      <c r="P29" s="1378"/>
      <c r="Q29" s="1487">
        <f>SUM(E29:P29)</f>
        <v>0</v>
      </c>
      <c r="S29" s="1546"/>
      <c r="U29" s="519"/>
      <c r="V29" s="1024"/>
      <c r="W29" s="229"/>
      <c r="X29" s="1025"/>
      <c r="Y29" s="1025"/>
      <c r="Z29" s="1025"/>
      <c r="AA29" s="1025"/>
      <c r="AB29" s="1025"/>
      <c r="AC29" s="1025"/>
      <c r="AD29" s="1025"/>
      <c r="AE29" s="1025"/>
      <c r="AF29" s="1025"/>
      <c r="AG29" s="1025"/>
      <c r="AH29" s="1025"/>
      <c r="AI29" s="1025"/>
      <c r="AJ29" s="1023"/>
      <c r="AK29" s="229"/>
      <c r="CV29" s="223" t="str">
        <f ca="1">"Nebenrechnung Umsätze/sonstige Einnahmen "&amp;'1 Pers.Ausgaben|Pers Expenses'!$C$4+1</f>
        <v>Nebenrechnung Umsätze/sonstige Einnahmen 2018</v>
      </c>
      <c r="CW29" s="223" t="str">
        <f ca="1">"Ancillary account for sales/other Income "&amp;'1 Pers.Ausgaben|Pers Expenses'!$C$4+1</f>
        <v>Ancillary account for sales/other Income 2018</v>
      </c>
      <c r="CX29" s="904"/>
    </row>
    <row r="30" spans="1:119" s="432" customFormat="1" hidden="1" x14ac:dyDescent="0.2">
      <c r="A30" s="346"/>
      <c r="B30" s="1039"/>
      <c r="C30" s="1040" t="str">
        <f>C25</f>
        <v>nicht im Umsatz enthaltene MwSt</v>
      </c>
      <c r="D30" s="1269"/>
      <c r="E30" s="1379" t="str">
        <f>IF(OR(SUM(E28:E29)=0,'Deckblatt Gruender|Data Founder'!$M$1=1),"",IF('Deckblatt Gruender|Data Founder'!$M$1=2,SUM(E28:E29)-SUM(E28:E29)/(1+$D27),SUM(E28:E29)*($D27)))</f>
        <v/>
      </c>
      <c r="F30" s="1379" t="str">
        <f>IF(OR(SUM(F28:F29)=0,'Deckblatt Gruender|Data Founder'!$M$1=1),"",IF('Deckblatt Gruender|Data Founder'!$M$1=2,SUM(F28:F29)-SUM(F28:F29)/(1+$D27),SUM(F28:F29)*($D27)))</f>
        <v/>
      </c>
      <c r="G30" s="1379" t="str">
        <f>IF(OR(SUM(G28:G29)=0,'Deckblatt Gruender|Data Founder'!$M$1=1),"",IF('Deckblatt Gruender|Data Founder'!$M$1=2,SUM(G28:G29)-SUM(G28:G29)/(1+$D27),SUM(G28:G29)*($D27)))</f>
        <v/>
      </c>
      <c r="H30" s="1379" t="str">
        <f>IF(OR(SUM(H28:H29)=0,'Deckblatt Gruender|Data Founder'!$M$1=1),"",IF('Deckblatt Gruender|Data Founder'!$M$1=2,SUM(H28:H29)-SUM(H28:H29)/(1+$D27),SUM(H28:H29)*($D27)))</f>
        <v/>
      </c>
      <c r="I30" s="1379" t="str">
        <f>IF(OR(SUM(I28:I29)=0,'Deckblatt Gruender|Data Founder'!$M$1=1),"",IF('Deckblatt Gruender|Data Founder'!$M$1=2,SUM(I28:I29)-SUM(I28:I29)/(1+$D27),SUM(I28:I29)*($D27)))</f>
        <v/>
      </c>
      <c r="J30" s="1379" t="str">
        <f>IF(OR(SUM(J28:J29)=0,'Deckblatt Gruender|Data Founder'!$M$1=1),"",IF('Deckblatt Gruender|Data Founder'!$M$1=2,SUM(J28:J29)-SUM(J28:J29)/(1+$D27),SUM(J28:J29)*($D27)))</f>
        <v/>
      </c>
      <c r="K30" s="1379" t="str">
        <f>IF(OR(SUM(K28:K29)=0,'Deckblatt Gruender|Data Founder'!$M$1=1),"",IF('Deckblatt Gruender|Data Founder'!$M$1=2,SUM(K28:K29)-SUM(K28:K29)/(1+$D27),SUM(K28:K29)*($D27)))</f>
        <v/>
      </c>
      <c r="L30" s="1379" t="str">
        <f>IF(OR(SUM(L28:L29)=0,'Deckblatt Gruender|Data Founder'!$M$1=1),"",IF('Deckblatt Gruender|Data Founder'!$M$1=2,SUM(L28:L29)-SUM(L28:L29)/(1+$D27),SUM(L28:L29)*($D27)))</f>
        <v/>
      </c>
      <c r="M30" s="1379" t="str">
        <f>IF(OR(SUM(M28:M29)=0,'Deckblatt Gruender|Data Founder'!$M$1=1),"",IF('Deckblatt Gruender|Data Founder'!$M$1=2,SUM(M28:M29)-SUM(M28:M29)/(1+$D27),SUM(M28:M29)*($D27)))</f>
        <v/>
      </c>
      <c r="N30" s="1379" t="str">
        <f>IF(OR(SUM(N28:N29)=0,'Deckblatt Gruender|Data Founder'!$M$1=1),"",IF('Deckblatt Gruender|Data Founder'!$M$1=2,SUM(N28:N29)-SUM(N28:N29)/(1+$D27),SUM(N28:N29)*($D27)))</f>
        <v/>
      </c>
      <c r="O30" s="1379" t="str">
        <f>IF(OR(SUM(O28:O29)=0,'Deckblatt Gruender|Data Founder'!$M$1=1),"",IF('Deckblatt Gruender|Data Founder'!$M$1=2,SUM(O28:O29)-SUM(O28:O29)/(1+$D27),SUM(O28:O29)*($D27)))</f>
        <v/>
      </c>
      <c r="P30" s="1379" t="str">
        <f>IF(OR(SUM(P28:P29)=0,'Deckblatt Gruender|Data Founder'!$M$1=1),"",IF('Deckblatt Gruender|Data Founder'!$M$1=2,SUM(P28:P29)-SUM(P28:P29)/(1+$D27),SUM(P28:P29)*($D27)))</f>
        <v/>
      </c>
      <c r="Q30" s="1202" t="str">
        <f>IF(SUM(E30:P30)=0,"",SUM(E30:P30))</f>
        <v/>
      </c>
      <c r="R30" s="55"/>
      <c r="S30" s="431"/>
      <c r="T30" s="346"/>
      <c r="U30" s="519"/>
      <c r="V30" s="1024"/>
      <c r="W30" s="388"/>
      <c r="X30" s="1025"/>
      <c r="Y30" s="1025"/>
      <c r="Z30" s="1025"/>
      <c r="AA30" s="1025"/>
      <c r="AB30" s="1025"/>
      <c r="AC30" s="1025"/>
      <c r="AD30" s="1025"/>
      <c r="AE30" s="1025"/>
      <c r="AF30" s="1025"/>
      <c r="AG30" s="1025"/>
      <c r="AH30" s="1025"/>
      <c r="AI30" s="1025"/>
      <c r="AJ30" s="1023"/>
      <c r="AK30" s="388"/>
      <c r="AL30" s="346"/>
      <c r="AM30" s="346"/>
      <c r="AN30" s="346"/>
      <c r="AO30" s="346"/>
      <c r="AP30" s="346"/>
      <c r="AQ30" s="346"/>
      <c r="AR30" s="346"/>
      <c r="AS30" s="346"/>
      <c r="AT30" s="346"/>
      <c r="AU30" s="346"/>
      <c r="AV30" s="346"/>
      <c r="AW30" s="346"/>
      <c r="AX30" s="346"/>
      <c r="AY30" s="346"/>
      <c r="AZ30" s="346"/>
      <c r="BA30" s="346"/>
      <c r="BB30" s="346"/>
      <c r="BC30" s="346"/>
      <c r="BD30" s="346"/>
      <c r="CV30" s="381" t="s">
        <v>536</v>
      </c>
      <c r="CW30" s="381" t="s">
        <v>537</v>
      </c>
      <c r="CX30" s="904"/>
      <c r="CY30" s="912"/>
      <c r="CZ30" s="912"/>
      <c r="DA30" s="912"/>
      <c r="DB30" s="912"/>
      <c r="DC30" s="912"/>
      <c r="DD30" s="912"/>
      <c r="DE30" s="912"/>
      <c r="DF30" s="912"/>
      <c r="DG30" s="912"/>
      <c r="DH30" s="912"/>
      <c r="DI30" s="912"/>
      <c r="DJ30" s="912"/>
      <c r="DK30" s="912"/>
      <c r="DL30" s="912"/>
      <c r="DM30" s="289"/>
      <c r="DN30" s="289"/>
      <c r="DO30" s="289"/>
    </row>
    <row r="31" spans="1:119" ht="15" thickBot="1" x14ac:dyDescent="0.25">
      <c r="B31" s="1483"/>
      <c r="C31" s="1484" t="str">
        <f>IF($B$2="English",CW25,CV25)</f>
        <v>Summe Sonstige Einnahmen</v>
      </c>
      <c r="D31" s="1485"/>
      <c r="E31" s="1486">
        <f>SUM(E28:E29)</f>
        <v>0</v>
      </c>
      <c r="F31" s="1486">
        <f t="shared" ref="F31:P31" si="11">SUM(F28:F29)</f>
        <v>0</v>
      </c>
      <c r="G31" s="1486">
        <f t="shared" si="11"/>
        <v>0</v>
      </c>
      <c r="H31" s="1486">
        <f t="shared" si="11"/>
        <v>0</v>
      </c>
      <c r="I31" s="1486">
        <f t="shared" si="11"/>
        <v>0</v>
      </c>
      <c r="J31" s="1486">
        <f t="shared" si="11"/>
        <v>0</v>
      </c>
      <c r="K31" s="1486">
        <f t="shared" si="11"/>
        <v>0</v>
      </c>
      <c r="L31" s="1486">
        <f t="shared" si="11"/>
        <v>0</v>
      </c>
      <c r="M31" s="1486">
        <f t="shared" si="11"/>
        <v>0</v>
      </c>
      <c r="N31" s="1486">
        <f t="shared" si="11"/>
        <v>0</v>
      </c>
      <c r="O31" s="1486">
        <f t="shared" si="11"/>
        <v>0</v>
      </c>
      <c r="P31" s="1486">
        <f t="shared" si="11"/>
        <v>0</v>
      </c>
      <c r="Q31" s="1487">
        <f>SUM(E31:P31)</f>
        <v>0</v>
      </c>
      <c r="U31" s="519"/>
      <c r="V31" s="1024"/>
      <c r="W31" s="229"/>
      <c r="X31" s="1025"/>
      <c r="Y31" s="1025"/>
      <c r="Z31" s="1025"/>
      <c r="AA31" s="1025"/>
      <c r="AB31" s="1025"/>
      <c r="AC31" s="1025"/>
      <c r="AD31" s="1025"/>
      <c r="AE31" s="1025"/>
      <c r="AF31" s="1025"/>
      <c r="AG31" s="1025"/>
      <c r="AH31" s="1025"/>
      <c r="AI31" s="1025"/>
      <c r="AJ31" s="1023"/>
      <c r="AK31" s="229"/>
      <c r="CV31" s="381" t="s">
        <v>532</v>
      </c>
      <c r="CW31" s="381" t="s">
        <v>535</v>
      </c>
      <c r="CX31" s="904"/>
    </row>
    <row r="32" spans="1:119" s="438" customFormat="1" x14ac:dyDescent="0.2">
      <c r="A32" s="433"/>
      <c r="B32" s="434"/>
      <c r="C32" s="1278" t="str">
        <f>C12</f>
        <v>nicht im Umsatz enthaltene MwSt</v>
      </c>
      <c r="D32" s="1279">
        <f>IF(C32="","",7%)</f>
        <v>7.0000000000000007E-2</v>
      </c>
      <c r="E32" s="1280">
        <f>IF('Deckblatt Gruender|Data Founder'!$M$1=1,"",IF(E12="",0,E12*IF($D6=$F$2,1,0))+IF(E20="",0,E20*IF($D14=$F$2,1,0))+IF(E25="",0,E25*IF($D22=$F$2,1,0))+IF(E30="",0,E30*IF($D27=$F$2,1,0)))</f>
        <v>0</v>
      </c>
      <c r="F32" s="1280">
        <f>IF('Deckblatt Gruender|Data Founder'!$M$1=1,"",IF(F12="",0,F12*IF($D6=$F$2,1,0))+IF(F20="",0,F20*IF($D14=$F$2,1,0))+IF(F25="",0,F25*IF($D22=$F$2,1,0))+IF(F30="",0,F30*IF($D27=$F$2,1,0)))</f>
        <v>0</v>
      </c>
      <c r="G32" s="1280">
        <f>IF('Deckblatt Gruender|Data Founder'!$M$1=1,"",IF(G12="",0,G12*IF($D6=$F$2,1,0))+IF(G20="",0,G20*IF($D14=$F$2,1,0))+IF(G25="",0,G25*IF($D22=$F$2,1,0))+IF(G30="",0,G30*IF($D27=$F$2,1,0)))</f>
        <v>0</v>
      </c>
      <c r="H32" s="1280">
        <f>IF('Deckblatt Gruender|Data Founder'!$M$1=1,"",IF(H12="",0,H12*IF($D6=$F$2,1,0))+IF(H20="",0,H20*IF($D14=$F$2,1,0))+IF(H25="",0,H25*IF($D22=$F$2,1,0))+IF(H30="",0,H30*IF($D27=$F$2,1,0)))</f>
        <v>0</v>
      </c>
      <c r="I32" s="1280">
        <f>IF('Deckblatt Gruender|Data Founder'!$M$1=1,"",IF(I12="",0,I12*IF($D6=$F$2,1,0))+IF(I20="",0,I20*IF($D14=$F$2,1,0))+IF(I25="",0,I25*IF($D22=$F$2,1,0))+IF(I30="",0,I30*IF($D27=$F$2,1,0)))</f>
        <v>0</v>
      </c>
      <c r="J32" s="1280">
        <f>IF('Deckblatt Gruender|Data Founder'!$M$1=1,"",IF(J12="",0,J12*IF($D6=$F$2,1,0))+IF(J20="",0,J20*IF($D14=$F$2,1,0))+IF(J25="",0,J25*IF($D22=$F$2,1,0))+IF(J30="",0,J30*IF($D27=$F$2,1,0)))</f>
        <v>0</v>
      </c>
      <c r="K32" s="1280">
        <f>IF('Deckblatt Gruender|Data Founder'!$M$1=1,"",IF(K12="",0,K12*IF($D6=$F$2,1,0))+IF(K20="",0,K20*IF($D14=$F$2,1,0))+IF(K25="",0,K25*IF($D22=$F$2,1,0))+IF(K30="",0,K30*IF($D27=$F$2,1,0)))</f>
        <v>0</v>
      </c>
      <c r="L32" s="1280">
        <f>IF('Deckblatt Gruender|Data Founder'!$M$1=1,"",IF(L12="",0,L12*IF($D6=$F$2,1,0))+IF(L20="",0,L20*IF($D14=$F$2,1,0))+IF(L25="",0,L25*IF($D22=$F$2,1,0))+IF(L30="",0,L30*IF($D27=$F$2,1,0)))</f>
        <v>0</v>
      </c>
      <c r="M32" s="1280">
        <f>IF('Deckblatt Gruender|Data Founder'!$M$1=1,"",IF(M12="",0,M12*IF($D6=$F$2,1,0))+IF(M20="",0,M20*IF($D14=$F$2,1,0))+IF(M25="",0,M25*IF($D22=$F$2,1,0))+IF(M30="",0,M30*IF($D27=$F$2,1,0)))</f>
        <v>0</v>
      </c>
      <c r="N32" s="1280">
        <f>IF('Deckblatt Gruender|Data Founder'!$M$1=1,"",IF(N12="",0,N12*IF($D6=$F$2,1,0))+IF(N20="",0,N20*IF($D14=$F$2,1,0))+IF(N25="",0,N25*IF($D22=$F$2,1,0))+IF(N30="",0,N30*IF($D27=$F$2,1,0)))</f>
        <v>0</v>
      </c>
      <c r="O32" s="1280">
        <f>IF('Deckblatt Gruender|Data Founder'!$M$1=1,"",IF(O12="",0,O12*IF($D6=$F$2,1,0))+IF(O20="",0,O20*IF($D14=$F$2,1,0))+IF(O25="",0,O25*IF($D22=$F$2,1,0))+IF(O30="",0,O30*IF($D27=$F$2,1,0)))</f>
        <v>0</v>
      </c>
      <c r="P32" s="1280">
        <f>IF('Deckblatt Gruender|Data Founder'!$M$1=1,"",IF(P12="",0,P12*IF($D6=$F$2,1,0))+IF(P20="",0,P20*IF($D14=$F$2,1,0))+IF(P25="",0,P25*IF($D22=$F$2,1,0))+IF(P30="",0,P30*IF($D27=$F$2,1,0)))</f>
        <v>0</v>
      </c>
      <c r="Q32" s="1270">
        <f>IF('Deckblatt Gruender|Data Founder'!$M$1=1,"",SUM(E32:P32))</f>
        <v>0</v>
      </c>
      <c r="R32" s="55"/>
      <c r="S32" s="437"/>
      <c r="T32" s="433"/>
      <c r="U32" s="519"/>
      <c r="V32" s="1024"/>
      <c r="W32" s="975"/>
      <c r="X32" s="1025"/>
      <c r="Y32" s="1025"/>
      <c r="Z32" s="1025"/>
      <c r="AA32" s="1025"/>
      <c r="AB32" s="1025"/>
      <c r="AC32" s="1025"/>
      <c r="AD32" s="1025"/>
      <c r="AE32" s="1025"/>
      <c r="AF32" s="1025"/>
      <c r="AG32" s="1025"/>
      <c r="AH32" s="1025"/>
      <c r="AI32" s="1025"/>
      <c r="AJ32" s="1023"/>
      <c r="AK32" s="975"/>
      <c r="AL32" s="433"/>
      <c r="AM32" s="433"/>
      <c r="AN32" s="433"/>
      <c r="AO32" s="433"/>
      <c r="AP32" s="433"/>
      <c r="AQ32" s="433"/>
      <c r="AR32" s="433"/>
      <c r="AS32" s="433"/>
      <c r="AT32" s="433"/>
      <c r="AU32" s="433"/>
      <c r="AV32" s="433"/>
      <c r="AW32" s="433"/>
      <c r="AX32" s="433"/>
      <c r="AY32" s="433"/>
      <c r="AZ32" s="433"/>
      <c r="BA32" s="433"/>
      <c r="BB32" s="433"/>
      <c r="BC32" s="433"/>
      <c r="BD32" s="433"/>
      <c r="CV32" s="381" t="str">
        <f>IF($D$2="mit MwSt","enthaltener MwSt  ","nicht im Umsatz enthaltener MwSt-Betrag ")  &amp; $F$2*100 &amp; "%"</f>
        <v>nicht im Umsatz enthaltener MwSt-Betrag 7%</v>
      </c>
      <c r="CW32" s="381" t="str">
        <f>IF($D$2="included VAT","applied VAT  ","Not in Sales included VAT  ")  &amp; $F$2*100 &amp; "%"</f>
        <v>Not in Sales included VAT  7%</v>
      </c>
      <c r="CX32" s="904"/>
      <c r="CY32" s="915"/>
      <c r="CZ32" s="915"/>
      <c r="DA32" s="915"/>
      <c r="DB32" s="915"/>
      <c r="DC32" s="915"/>
      <c r="DD32" s="915"/>
      <c r="DE32" s="915"/>
      <c r="DF32" s="915"/>
      <c r="DG32" s="915"/>
      <c r="DH32" s="915"/>
      <c r="DI32" s="915"/>
      <c r="DJ32" s="915"/>
      <c r="DK32" s="915"/>
      <c r="DL32" s="915"/>
      <c r="DM32" s="892"/>
      <c r="DN32" s="892"/>
      <c r="DO32" s="892"/>
    </row>
    <row r="33" spans="1:119" s="438" customFormat="1" ht="15" thickBot="1" x14ac:dyDescent="0.25">
      <c r="A33" s="433"/>
      <c r="B33" s="439"/>
      <c r="C33" s="1281" t="str">
        <f>C12</f>
        <v>nicht im Umsatz enthaltene MwSt</v>
      </c>
      <c r="D33" s="1282">
        <f>IF(C33="","",19%)</f>
        <v>0.19</v>
      </c>
      <c r="E33" s="1277">
        <f>IF('Deckblatt Gruender|Data Founder'!$M$1=1,"",IF(E12="",0,E12*IF($D6=$G$2,1,0))+IF(E20="",0,E20*IF($D14=$G$2,1,0))+IF(E25="",0,E25*IF($D22=$G$2,1,0))+IF(E30="",0,E30*IF($D27=$G$2,1,0)))</f>
        <v>0</v>
      </c>
      <c r="F33" s="1277">
        <f>IF('Deckblatt Gruender|Data Founder'!$M$1=1,"",IF(F12="",0,F12*IF($D6=$G$2,1,0))+IF(F20="",0,F20*IF($D14=$G$2,1,0))+IF(F25="",0,F25*IF($D22=$G$2,1,0))+IF(F30="",0,F30*IF($D27=$G$2,1,0)))</f>
        <v>0</v>
      </c>
      <c r="G33" s="1277">
        <f>IF('Deckblatt Gruender|Data Founder'!$M$1=1,"",IF(G12="",0,G12*IF($D6=$G$2,1,0))+IF(G20="",0,G20*IF($D14=$G$2,1,0))+IF(G25="",0,G25*IF($D22=$G$2,1,0))+IF(G30="",0,G30*IF($D27=$G$2,1,0)))</f>
        <v>0</v>
      </c>
      <c r="H33" s="1277">
        <f>IF('Deckblatt Gruender|Data Founder'!$M$1=1,"",IF(H12="",0,H12*IF($D6=$G$2,1,0))+IF(H20="",0,H20*IF($D14=$G$2,1,0))+IF(H25="",0,H25*IF($D22=$G$2,1,0))+IF(H30="",0,H30*IF($D27=$G$2,1,0)))</f>
        <v>0</v>
      </c>
      <c r="I33" s="1277">
        <f>IF('Deckblatt Gruender|Data Founder'!$M$1=1,"",IF(I12="",0,I12*IF($D6=$G$2,1,0))+IF(I20="",0,I20*IF($D14=$G$2,1,0))+IF(I25="",0,I25*IF($D22=$G$2,1,0))+IF(I30="",0,I30*IF($D27=$G$2,1,0)))</f>
        <v>0</v>
      </c>
      <c r="J33" s="1277">
        <f>IF('Deckblatt Gruender|Data Founder'!$M$1=1,"",IF(J12="",0,J12*IF($D6=$G$2,1,0))+IF(J20="",0,J20*IF($D14=$G$2,1,0))+IF(J25="",0,J25*IF($D22=$G$2,1,0))+IF(J30="",0,J30*IF($D27=$G$2,1,0)))</f>
        <v>0</v>
      </c>
      <c r="K33" s="1277">
        <f>IF('Deckblatt Gruender|Data Founder'!$M$1=1,"",IF(K12="",0,K12*IF($D6=$G$2,1,0))+IF(K20="",0,K20*IF($D14=$G$2,1,0))+IF(K25="",0,K25*IF($D22=$G$2,1,0))+IF(K30="",0,K30*IF($D27=$G$2,1,0)))</f>
        <v>0</v>
      </c>
      <c r="L33" s="1277">
        <f>IF('Deckblatt Gruender|Data Founder'!$M$1=1,"",IF(L12="",0,L12*IF($D6=$G$2,1,0))+IF(L20="",0,L20*IF($D14=$G$2,1,0))+IF(L25="",0,L25*IF($D22=$G$2,1,0))+IF(L30="",0,L30*IF($D27=$G$2,1,0)))</f>
        <v>0</v>
      </c>
      <c r="M33" s="1277">
        <f>IF('Deckblatt Gruender|Data Founder'!$M$1=1,"",IF(M12="",0,M12*IF($D6=$G$2,1,0))+IF(M20="",0,M20*IF($D14=$G$2,1,0))+IF(M25="",0,M25*IF($D22=$G$2,1,0))+IF(M30="",0,M30*IF($D27=$G$2,1,0)))</f>
        <v>0</v>
      </c>
      <c r="N33" s="1277">
        <f>IF('Deckblatt Gruender|Data Founder'!$M$1=1,"",IF(N12="",0,N12*IF($D6=$G$2,1,0))+IF(N20="",0,N20*IF($D14=$G$2,1,0))+IF(N25="",0,N25*IF($D22=$G$2,1,0))+IF(N30="",0,N30*IF($D27=$G$2,1,0)))</f>
        <v>0</v>
      </c>
      <c r="O33" s="1277">
        <f>IF('Deckblatt Gruender|Data Founder'!$M$1=1,"",IF(O12="",0,O12*IF($D6=$G$2,1,0))+IF(O20="",0,O20*IF($D14=$G$2,1,0))+IF(O25="",0,O25*IF($D22=$G$2,1,0))+IF(O30="",0,O30*IF($D27=$G$2,1,0)))</f>
        <v>0</v>
      </c>
      <c r="P33" s="1277">
        <f>IF('Deckblatt Gruender|Data Founder'!$M$1=1,"",IF(P12="",0,P12*IF($D6=$G$2,1,0))+IF(P20="",0,P20*IF($D14=$G$2,1,0))+IF(P25="",0,P25*IF($D22=$G$2,1,0))+IF(P30="",0,P30*IF($D27=$G$2,1,0)))</f>
        <v>0</v>
      </c>
      <c r="Q33" s="1283">
        <f>IF('Deckblatt Gruender|Data Founder'!$M$1=1,"",SUM(E33:P33))</f>
        <v>0</v>
      </c>
      <c r="R33" s="55"/>
      <c r="T33" s="433"/>
      <c r="U33" s="519"/>
      <c r="V33" s="1024"/>
      <c r="W33" s="975"/>
      <c r="X33" s="1025"/>
      <c r="Y33" s="1025"/>
      <c r="Z33" s="1025"/>
      <c r="AA33" s="1025"/>
      <c r="AB33" s="1025"/>
      <c r="AC33" s="1025"/>
      <c r="AD33" s="1025"/>
      <c r="AE33" s="1025"/>
      <c r="AF33" s="1025"/>
      <c r="AG33" s="1025"/>
      <c r="AH33" s="1025"/>
      <c r="AI33" s="1025"/>
      <c r="AJ33" s="1023"/>
      <c r="AK33" s="975"/>
      <c r="AL33" s="433"/>
      <c r="AM33" s="433"/>
      <c r="AN33" s="433"/>
      <c r="AO33" s="433"/>
      <c r="AP33" s="433"/>
      <c r="AQ33" s="433"/>
      <c r="AR33" s="433"/>
      <c r="AS33" s="433"/>
      <c r="AT33" s="433"/>
      <c r="AU33" s="433"/>
      <c r="AV33" s="433"/>
      <c r="AW33" s="433"/>
      <c r="AX33" s="433"/>
      <c r="AY33" s="433"/>
      <c r="AZ33" s="433"/>
      <c r="BA33" s="433"/>
      <c r="BB33" s="433"/>
      <c r="BC33" s="433"/>
      <c r="BD33" s="433"/>
      <c r="CV33" s="381" t="str">
        <f>IF($D$2="mit MwSt","enthaltener MwSt ","nicht im Umsatz enthaltener MwSt-Betrag  ") &amp; $G$2*100 &amp; "%"</f>
        <v>nicht im Umsatz enthaltener MwSt-Betrag  19%</v>
      </c>
      <c r="CW33" s="381" t="str">
        <f>IF($D$2="included VAT","applied VAT ","Not in Sales included VAT ")&amp; $G$2*100 &amp; "%"</f>
        <v>Not in Sales included VAT 19%</v>
      </c>
      <c r="CX33" s="904"/>
      <c r="CY33" s="915"/>
      <c r="CZ33" s="915"/>
      <c r="DA33" s="915"/>
      <c r="DB33" s="915"/>
      <c r="DC33" s="915"/>
      <c r="DD33" s="915"/>
      <c r="DE33" s="915"/>
      <c r="DF33" s="915"/>
      <c r="DG33" s="915"/>
      <c r="DH33" s="915"/>
      <c r="DI33" s="915"/>
      <c r="DJ33" s="915"/>
      <c r="DK33" s="915"/>
      <c r="DL33" s="915"/>
      <c r="DM33" s="892"/>
      <c r="DN33" s="892"/>
      <c r="DO33" s="892"/>
    </row>
    <row r="34" spans="1:119" ht="15" thickTop="1" x14ac:dyDescent="0.2">
      <c r="B34" s="441"/>
      <c r="C34" s="442" t="str">
        <f>IF($B$2="English",CW34,CV34)</f>
        <v>Gesamtumsätze</v>
      </c>
      <c r="D34" s="443"/>
      <c r="E34" s="1205">
        <f t="shared" ref="E34:P34" si="12">E13+E21+E26+E31</f>
        <v>0</v>
      </c>
      <c r="F34" s="1205">
        <f t="shared" si="12"/>
        <v>0</v>
      </c>
      <c r="G34" s="1205">
        <f t="shared" si="12"/>
        <v>0</v>
      </c>
      <c r="H34" s="1205">
        <f t="shared" si="12"/>
        <v>0</v>
      </c>
      <c r="I34" s="1205">
        <f t="shared" si="12"/>
        <v>0</v>
      </c>
      <c r="J34" s="1205">
        <f t="shared" si="12"/>
        <v>0</v>
      </c>
      <c r="K34" s="1205">
        <f t="shared" si="12"/>
        <v>0</v>
      </c>
      <c r="L34" s="1205">
        <f t="shared" si="12"/>
        <v>0</v>
      </c>
      <c r="M34" s="1205">
        <f t="shared" si="12"/>
        <v>0</v>
      </c>
      <c r="N34" s="1205">
        <f t="shared" si="12"/>
        <v>0</v>
      </c>
      <c r="O34" s="1205">
        <f t="shared" si="12"/>
        <v>0</v>
      </c>
      <c r="P34" s="1205">
        <f t="shared" si="12"/>
        <v>0</v>
      </c>
      <c r="Q34" s="1206">
        <f>SUM(E34:P34)</f>
        <v>0</v>
      </c>
      <c r="U34" s="519"/>
      <c r="V34" s="1022"/>
      <c r="W34" s="975"/>
      <c r="X34" s="1023"/>
      <c r="Y34" s="1023"/>
      <c r="Z34" s="1023"/>
      <c r="AA34" s="1023"/>
      <c r="AB34" s="1023"/>
      <c r="AC34" s="1023"/>
      <c r="AD34" s="1023"/>
      <c r="AE34" s="1023"/>
      <c r="AF34" s="1023"/>
      <c r="AG34" s="1023"/>
      <c r="AH34" s="1023"/>
      <c r="AI34" s="1023"/>
      <c r="AJ34" s="1023"/>
      <c r="AK34" s="229"/>
      <c r="CV34" s="977" t="s">
        <v>393</v>
      </c>
      <c r="CW34" s="979" t="s">
        <v>395</v>
      </c>
      <c r="CX34" s="904"/>
    </row>
    <row r="35" spans="1:119" ht="15.75" customHeight="1" thickBot="1" x14ac:dyDescent="0.25">
      <c r="B35" s="444"/>
      <c r="C35" s="385" t="str">
        <f>IF($B$2="English",CW35,CV35)</f>
        <v>Gesamtumsätze akkumuliert</v>
      </c>
      <c r="D35" s="1045"/>
      <c r="E35" s="1207">
        <f>E34</f>
        <v>0</v>
      </c>
      <c r="F35" s="1207">
        <f>E35+F34</f>
        <v>0</v>
      </c>
      <c r="G35" s="1207">
        <f t="shared" ref="G35:P35" si="13">F35+G34</f>
        <v>0</v>
      </c>
      <c r="H35" s="1207">
        <f t="shared" si="13"/>
        <v>0</v>
      </c>
      <c r="I35" s="1207">
        <f t="shared" si="13"/>
        <v>0</v>
      </c>
      <c r="J35" s="1207">
        <f t="shared" si="13"/>
        <v>0</v>
      </c>
      <c r="K35" s="1207">
        <f t="shared" si="13"/>
        <v>0</v>
      </c>
      <c r="L35" s="1207">
        <f t="shared" si="13"/>
        <v>0</v>
      </c>
      <c r="M35" s="1207">
        <f t="shared" si="13"/>
        <v>0</v>
      </c>
      <c r="N35" s="1207">
        <f t="shared" si="13"/>
        <v>0</v>
      </c>
      <c r="O35" s="1207">
        <f t="shared" si="13"/>
        <v>0</v>
      </c>
      <c r="P35" s="1207">
        <f t="shared" si="13"/>
        <v>0</v>
      </c>
      <c r="Q35" s="1208"/>
      <c r="U35" s="643"/>
      <c r="V35" s="1024"/>
      <c r="W35" s="1026"/>
      <c r="X35" s="1027"/>
      <c r="Y35" s="1027"/>
      <c r="Z35" s="1027"/>
      <c r="AA35" s="1027"/>
      <c r="AB35" s="1027"/>
      <c r="AC35" s="1027"/>
      <c r="AD35" s="1027"/>
      <c r="AE35" s="1027"/>
      <c r="AF35" s="1027"/>
      <c r="AG35" s="1027"/>
      <c r="AH35" s="1027"/>
      <c r="AI35" s="1027"/>
      <c r="AJ35" s="1027"/>
      <c r="AK35" s="229"/>
      <c r="CV35" s="977" t="s">
        <v>394</v>
      </c>
      <c r="CW35" s="979" t="s">
        <v>396</v>
      </c>
      <c r="CX35" s="904"/>
    </row>
    <row r="36" spans="1:119" ht="15.75" customHeight="1" thickBot="1" x14ac:dyDescent="0.25">
      <c r="B36" s="1547"/>
      <c r="C36" s="363"/>
      <c r="D36" s="238"/>
      <c r="E36" s="1548"/>
      <c r="F36" s="1548"/>
      <c r="G36" s="1548"/>
      <c r="H36" s="1548"/>
      <c r="I36" s="1548"/>
      <c r="J36" s="1548"/>
      <c r="K36" s="1548"/>
      <c r="L36" s="1548"/>
      <c r="M36" s="1548"/>
      <c r="N36" s="1548"/>
      <c r="O36" s="1548"/>
      <c r="P36" s="1548"/>
      <c r="Q36" s="1549"/>
      <c r="U36" s="643"/>
      <c r="V36" s="1024"/>
      <c r="W36" s="1026"/>
      <c r="X36" s="1027"/>
      <c r="Y36" s="1027"/>
      <c r="Z36" s="1027"/>
      <c r="AA36" s="1027"/>
      <c r="AB36" s="1027"/>
      <c r="AC36" s="1027"/>
      <c r="AD36" s="1027"/>
      <c r="AE36" s="1027"/>
      <c r="AF36" s="1027"/>
      <c r="AG36" s="1027"/>
      <c r="AH36" s="1027"/>
      <c r="AI36" s="1027"/>
      <c r="AJ36" s="1027"/>
      <c r="AK36" s="229"/>
      <c r="CV36" s="977"/>
      <c r="CW36" s="979"/>
      <c r="CX36" s="904"/>
    </row>
    <row r="37" spans="1:119" s="219" customFormat="1" ht="20.25" thickBot="1" x14ac:dyDescent="0.3">
      <c r="B37" s="461" t="str">
        <f ca="1">IF($C$4="English",CW37,CV37)</f>
        <v>2b Umsätze, Honorare, Sonstige Einnahmen (ohne MwSt) für die Jahre 2017-2021 in EURO</v>
      </c>
      <c r="E37" s="250"/>
      <c r="F37" s="250"/>
      <c r="G37" s="250"/>
      <c r="H37" s="250"/>
      <c r="I37" s="250"/>
      <c r="J37" s="250"/>
      <c r="K37" s="250"/>
      <c r="L37" s="250"/>
      <c r="M37" s="250"/>
      <c r="N37" s="1284" t="str">
        <f ca="1">IF($C$4="English",CW70,CV70)</f>
        <v>Umsätze, Honorare, sonst. Einnahmen (ohne MwSt) 2017-2021</v>
      </c>
      <c r="O37" s="250"/>
      <c r="P37" s="250"/>
      <c r="Q37" s="250"/>
      <c r="R37" s="55"/>
      <c r="S37" s="232"/>
      <c r="U37" s="56" t="s">
        <v>302</v>
      </c>
      <c r="V37" s="217" t="str">
        <f>C39</f>
        <v>Einnahmeart</v>
      </c>
      <c r="W37" s="217" t="str">
        <f>IF($C$4="English","VAT","MwSt")</f>
        <v>MwSt</v>
      </c>
      <c r="X37" s="213">
        <f ca="1">E39+1</f>
        <v>2018</v>
      </c>
      <c r="Y37" s="213">
        <f ca="1">F39+1</f>
        <v>2019</v>
      </c>
      <c r="Z37" s="213">
        <f ca="1">G39+1</f>
        <v>2020</v>
      </c>
      <c r="AA37" s="214">
        <f ca="1">H39+1</f>
        <v>2021</v>
      </c>
      <c r="AB37" s="225"/>
      <c r="AC37" s="225"/>
      <c r="AD37" s="225"/>
      <c r="AE37" s="225"/>
      <c r="AF37" s="225"/>
      <c r="AG37" s="225"/>
      <c r="AH37" s="225"/>
      <c r="AI37" s="225"/>
      <c r="AJ37" s="225"/>
      <c r="AK37" s="229"/>
      <c r="CV37" s="470" t="str">
        <f ca="1">"2b Umsätze, Honorare, Sonstige Einnahmen (" &amp; 'Deckblatt Gruender|Data Founder'!J$1&amp; ") für die Jahre " &amp; '1 Pers.Ausgaben|Pers Expenses'!$C$4 &amp; "-" &amp; '1 Pers.Ausgaben|Pers Expenses'!$C$4+4&amp;" in EURO"</f>
        <v>2b Umsätze, Honorare, Sonstige Einnahmen (ohne MwSt) für die Jahre 2017-2021 in EURO</v>
      </c>
      <c r="CW37" s="470" t="str">
        <f ca="1">"2b Sales, Fees, other Income (" &amp; 'Deckblatt Gruender|Data Founder'!$K$1&amp; ") for the years " &amp; '1 Pers.Ausgaben|Pers Expenses'!$C$4 &amp; " - " &amp; '1 Pers.Ausgaben|Pers Expenses'!$C$4+4&amp;" in EURO"</f>
        <v>2b Sales, Fees, other Income (w/o VAT) for the years 2017 - 2021 in EURO</v>
      </c>
      <c r="CX37" s="904"/>
      <c r="CY37" s="255"/>
      <c r="CZ37" s="255"/>
      <c r="DA37" s="255"/>
      <c r="DB37" s="255"/>
      <c r="DC37" s="255"/>
      <c r="DD37" s="255"/>
      <c r="DE37" s="255"/>
      <c r="DF37" s="255"/>
      <c r="DG37" s="255"/>
      <c r="DH37" s="255"/>
      <c r="DI37" s="255"/>
      <c r="DJ37" s="255"/>
      <c r="DK37" s="255"/>
      <c r="DL37" s="255"/>
      <c r="DM37" s="220"/>
      <c r="DN37" s="220"/>
      <c r="DO37" s="220"/>
    </row>
    <row r="38" spans="1:119" s="219" customFormat="1" ht="15" thickBot="1" x14ac:dyDescent="0.25">
      <c r="B38" s="229"/>
      <c r="C38" s="448"/>
      <c r="D38" s="448"/>
      <c r="E38" s="229"/>
      <c r="F38" s="229"/>
      <c r="G38" s="229"/>
      <c r="H38" s="229"/>
      <c r="I38" s="229"/>
      <c r="J38" s="229"/>
      <c r="Q38" s="221"/>
      <c r="R38" s="55"/>
      <c r="S38" s="232"/>
      <c r="U38" s="1021" t="s">
        <v>487</v>
      </c>
      <c r="V38" s="1028"/>
      <c r="W38" s="973">
        <f>D46</f>
        <v>0.19</v>
      </c>
      <c r="X38" s="427"/>
      <c r="Y38" s="427"/>
      <c r="Z38" s="427"/>
      <c r="AA38" s="428"/>
      <c r="AB38" s="225"/>
      <c r="AC38" s="225"/>
      <c r="AD38" s="225"/>
      <c r="AE38" s="225"/>
      <c r="AF38" s="225"/>
      <c r="AG38" s="225"/>
      <c r="AH38" s="225"/>
      <c r="AI38" s="225"/>
      <c r="AK38" s="229"/>
      <c r="CV38" s="223"/>
      <c r="CW38" s="941"/>
      <c r="CX38" s="904"/>
      <c r="CY38" s="255"/>
      <c r="CZ38" s="255"/>
      <c r="DA38" s="255"/>
      <c r="DB38" s="255"/>
      <c r="DC38" s="255"/>
      <c r="DD38" s="255"/>
      <c r="DE38" s="255"/>
      <c r="DF38" s="255"/>
      <c r="DG38" s="255"/>
      <c r="DH38" s="255"/>
      <c r="DI38" s="255"/>
      <c r="DJ38" s="255"/>
      <c r="DK38" s="255"/>
      <c r="DL38" s="255"/>
      <c r="DM38" s="220"/>
      <c r="DN38" s="220"/>
      <c r="DO38" s="220"/>
    </row>
    <row r="39" spans="1:119" s="58" customFormat="1" ht="15" thickBot="1" x14ac:dyDescent="0.25">
      <c r="A39" s="55"/>
      <c r="B39" s="56" t="str">
        <f t="shared" ref="B39:D40" si="14">B5</f>
        <v>No.</v>
      </c>
      <c r="C39" s="56" t="str">
        <f t="shared" si="14"/>
        <v>Einnahmeart</v>
      </c>
      <c r="D39" s="217" t="str">
        <f t="shared" si="14"/>
        <v>MwSt</v>
      </c>
      <c r="E39" s="141">
        <f ca="1">'1 Pers.Ausgaben|Pers Expenses'!C4</f>
        <v>2017</v>
      </c>
      <c r="F39" s="267">
        <f ca="1">E39+1</f>
        <v>2018</v>
      </c>
      <c r="G39" s="267">
        <f ca="1">F39+1</f>
        <v>2019</v>
      </c>
      <c r="H39" s="267">
        <f ca="1">G39+1</f>
        <v>2020</v>
      </c>
      <c r="I39" s="458">
        <f ca="1">H39+1</f>
        <v>2021</v>
      </c>
      <c r="J39" s="142"/>
      <c r="K39" s="55"/>
      <c r="L39" s="55"/>
      <c r="M39" s="55"/>
      <c r="N39" s="55"/>
      <c r="O39" s="55"/>
      <c r="P39" s="55"/>
      <c r="Q39" s="55"/>
      <c r="R39" s="55"/>
      <c r="S39" s="232"/>
      <c r="T39" s="55"/>
      <c r="U39" s="1047" t="s">
        <v>521</v>
      </c>
      <c r="V39" s="918"/>
      <c r="W39" s="229"/>
      <c r="X39" s="451"/>
      <c r="Y39" s="451"/>
      <c r="Z39" s="451"/>
      <c r="AA39" s="1017"/>
      <c r="AB39" s="225"/>
      <c r="AC39" s="55"/>
      <c r="AD39" s="225"/>
      <c r="AE39" s="225"/>
      <c r="AF39" s="225"/>
      <c r="AG39" s="225"/>
      <c r="AH39" s="225"/>
      <c r="AI39" s="225"/>
      <c r="AK39" s="1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CV39" s="174"/>
      <c r="CW39" s="174"/>
      <c r="CX39" s="904"/>
      <c r="CY39" s="699"/>
      <c r="CZ39" s="699"/>
      <c r="DA39" s="699"/>
      <c r="DB39" s="699"/>
      <c r="DC39" s="699"/>
      <c r="DD39" s="699"/>
      <c r="DE39" s="699"/>
      <c r="DF39" s="699"/>
      <c r="DG39" s="699"/>
      <c r="DH39" s="699"/>
      <c r="DI39" s="699"/>
      <c r="DJ39" s="699"/>
      <c r="DK39" s="699"/>
      <c r="DL39" s="699"/>
      <c r="DM39" s="345"/>
      <c r="DN39" s="345"/>
      <c r="DO39" s="345"/>
    </row>
    <row r="40" spans="1:119" s="223" customFormat="1" x14ac:dyDescent="0.2">
      <c r="A40" s="219"/>
      <c r="B40" s="1046">
        <f t="shared" si="14"/>
        <v>1</v>
      </c>
      <c r="C40" s="1493" t="str">
        <f t="shared" si="14"/>
        <v>Umsatz Produktgruppe 1</v>
      </c>
      <c r="D40" s="1491">
        <f t="shared" si="14"/>
        <v>0.19</v>
      </c>
      <c r="E40" s="1211"/>
      <c r="F40" s="1197"/>
      <c r="G40" s="1197"/>
      <c r="H40" s="1197"/>
      <c r="I40" s="1197"/>
      <c r="J40" s="264"/>
      <c r="K40" s="229"/>
      <c r="L40" s="229"/>
      <c r="M40" s="229"/>
      <c r="N40" s="229"/>
      <c r="O40" s="229"/>
      <c r="P40" s="229"/>
      <c r="Q40" s="229"/>
      <c r="R40" s="55"/>
      <c r="S40" s="429"/>
      <c r="T40" s="229"/>
      <c r="U40" s="1047" t="s">
        <v>522</v>
      </c>
      <c r="V40" s="918"/>
      <c r="W40" s="229"/>
      <c r="X40" s="451"/>
      <c r="Y40" s="451"/>
      <c r="Z40" s="451"/>
      <c r="AA40" s="1017"/>
      <c r="AB40" s="225"/>
      <c r="AC40" s="229"/>
      <c r="AD40" s="225"/>
      <c r="AE40" s="225"/>
      <c r="AF40" s="225"/>
      <c r="AG40" s="225"/>
      <c r="AH40" s="225"/>
      <c r="AI40" s="225"/>
      <c r="AK40" s="229"/>
      <c r="AL40" s="229"/>
      <c r="AM40" s="229"/>
      <c r="AN40" s="229"/>
      <c r="AO40" s="229"/>
      <c r="AP40" s="229"/>
      <c r="AQ40" s="229"/>
      <c r="AR40" s="229"/>
      <c r="AS40" s="229"/>
      <c r="AT40" s="229"/>
      <c r="AU40" s="229"/>
      <c r="AV40" s="229"/>
      <c r="AW40" s="229"/>
      <c r="AX40" s="229"/>
      <c r="AY40" s="229"/>
      <c r="AZ40" s="229"/>
      <c r="BA40" s="229"/>
      <c r="BB40" s="229"/>
      <c r="BC40" s="229"/>
      <c r="BD40" s="229"/>
      <c r="CV40" s="980"/>
      <c r="CW40" s="238"/>
      <c r="CX40" s="904"/>
      <c r="CY40" s="355"/>
      <c r="CZ40" s="355"/>
      <c r="DA40" s="355"/>
      <c r="DB40" s="355"/>
      <c r="DC40" s="355"/>
      <c r="DD40" s="355"/>
      <c r="DE40" s="355"/>
      <c r="DF40" s="355"/>
      <c r="DG40" s="355"/>
      <c r="DH40" s="355"/>
      <c r="DI40" s="355"/>
      <c r="DJ40" s="355"/>
      <c r="DK40" s="355"/>
      <c r="DL40" s="355"/>
      <c r="DM40" s="454"/>
      <c r="DN40" s="454"/>
      <c r="DO40" s="454"/>
    </row>
    <row r="41" spans="1:119" x14ac:dyDescent="0.2">
      <c r="B41" s="974" t="str">
        <f>B7</f>
        <v>1.1</v>
      </c>
      <c r="C41" s="1492" t="str">
        <f>IF(C7="","",C7)</f>
        <v/>
      </c>
      <c r="D41" s="788"/>
      <c r="E41" s="1387">
        <f t="shared" ref="E41:E47" si="15">Q7</f>
        <v>0</v>
      </c>
      <c r="F41" s="1378"/>
      <c r="G41" s="1378"/>
      <c r="H41" s="1378"/>
      <c r="I41" s="1381"/>
      <c r="J41" s="264"/>
      <c r="K41" s="219"/>
      <c r="L41" s="219"/>
      <c r="M41" s="219"/>
      <c r="N41" s="219"/>
      <c r="O41" s="219"/>
      <c r="P41" s="219"/>
      <c r="Q41" s="219"/>
      <c r="S41" s="1546"/>
      <c r="U41" s="1047" t="s">
        <v>523</v>
      </c>
      <c r="V41" s="918"/>
      <c r="W41" s="229"/>
      <c r="X41" s="451"/>
      <c r="Y41" s="451"/>
      <c r="Z41" s="451"/>
      <c r="AA41" s="1017"/>
      <c r="AB41" s="225"/>
      <c r="AD41" s="225"/>
      <c r="AE41" s="225"/>
      <c r="AF41" s="225"/>
      <c r="AG41" s="225"/>
      <c r="AH41" s="225"/>
      <c r="AI41" s="225"/>
      <c r="AK41" s="229"/>
      <c r="CV41" s="981"/>
      <c r="CW41" s="363"/>
      <c r="CX41" s="904"/>
    </row>
    <row r="42" spans="1:119" x14ac:dyDescent="0.2">
      <c r="B42" s="974" t="str">
        <f>B8</f>
        <v>1.2</v>
      </c>
      <c r="C42" s="1388" t="str">
        <f>IF(C8="","",C8)</f>
        <v/>
      </c>
      <c r="D42" s="788"/>
      <c r="E42" s="1387">
        <f t="shared" si="15"/>
        <v>0</v>
      </c>
      <c r="F42" s="1378"/>
      <c r="G42" s="1378"/>
      <c r="H42" s="1378"/>
      <c r="I42" s="1378"/>
      <c r="J42" s="264"/>
      <c r="K42" s="219"/>
      <c r="L42" s="219"/>
      <c r="M42" s="219"/>
      <c r="N42" s="219"/>
      <c r="O42" s="219"/>
      <c r="P42" s="219"/>
      <c r="Q42" s="219"/>
      <c r="S42" s="1546"/>
      <c r="U42" s="1047" t="s">
        <v>524</v>
      </c>
      <c r="V42" s="918"/>
      <c r="W42" s="229"/>
      <c r="X42" s="451"/>
      <c r="Y42" s="451"/>
      <c r="Z42" s="451"/>
      <c r="AA42" s="1017"/>
      <c r="AB42" s="225"/>
      <c r="AD42" s="225"/>
      <c r="AE42" s="225"/>
      <c r="AF42" s="225"/>
      <c r="AG42" s="225"/>
      <c r="AH42" s="225"/>
      <c r="AI42" s="225"/>
      <c r="AK42" s="229"/>
      <c r="CV42" s="981"/>
      <c r="CW42" s="363"/>
      <c r="CX42" s="904"/>
    </row>
    <row r="43" spans="1:119" x14ac:dyDescent="0.2">
      <c r="B43" s="974" t="str">
        <f>B9</f>
        <v>1.3</v>
      </c>
      <c r="C43" s="1388" t="str">
        <f>IF(C9="","",C9)</f>
        <v/>
      </c>
      <c r="D43" s="788"/>
      <c r="E43" s="1387">
        <f t="shared" si="15"/>
        <v>0</v>
      </c>
      <c r="F43" s="1378"/>
      <c r="G43" s="1378"/>
      <c r="H43" s="1378"/>
      <c r="I43" s="1381"/>
      <c r="J43" s="264"/>
      <c r="K43" s="219"/>
      <c r="L43" s="219"/>
      <c r="M43" s="219"/>
      <c r="N43" s="219"/>
      <c r="O43" s="219"/>
      <c r="P43" s="219"/>
      <c r="Q43" s="219"/>
      <c r="S43" s="1546"/>
      <c r="U43" s="1047" t="s">
        <v>525</v>
      </c>
      <c r="V43" s="918"/>
      <c r="W43" s="229"/>
      <c r="X43" s="451"/>
      <c r="Y43" s="451"/>
      <c r="Z43" s="451"/>
      <c r="AA43" s="1017"/>
      <c r="AB43" s="225"/>
      <c r="AD43" s="225"/>
      <c r="AE43" s="225"/>
      <c r="AF43" s="225"/>
      <c r="AG43" s="225"/>
      <c r="AH43" s="225"/>
      <c r="AI43" s="225"/>
      <c r="AK43" s="229"/>
      <c r="CV43" s="981"/>
      <c r="CW43" s="363"/>
      <c r="CX43" s="904"/>
    </row>
    <row r="44" spans="1:119" x14ac:dyDescent="0.2">
      <c r="B44" s="974" t="str">
        <f>B10</f>
        <v>1.4</v>
      </c>
      <c r="C44" s="1388" t="str">
        <f>IF(C10="","",C10)</f>
        <v/>
      </c>
      <c r="D44" s="788"/>
      <c r="E44" s="1387">
        <f t="shared" si="15"/>
        <v>0</v>
      </c>
      <c r="F44" s="1378"/>
      <c r="G44" s="1378"/>
      <c r="H44" s="1378"/>
      <c r="I44" s="1381"/>
      <c r="J44" s="264"/>
      <c r="K44" s="219"/>
      <c r="L44" s="219"/>
      <c r="M44" s="219"/>
      <c r="N44" s="219"/>
      <c r="O44" s="219"/>
      <c r="P44" s="219"/>
      <c r="Q44" s="219"/>
      <c r="S44" s="1546"/>
      <c r="U44" s="1041"/>
      <c r="V44" s="1030" t="str">
        <f>V11</f>
        <v>Summe Nebenrechnung Gruppe1</v>
      </c>
      <c r="W44" s="1031"/>
      <c r="X44" s="1032" t="str">
        <f>IF(SUM(X39:X43)=0,"",SUM(X39:X43))</f>
        <v/>
      </c>
      <c r="Y44" s="1032" t="str">
        <f>IF(SUM(Y39:Y43)=0,"",SUM(Y39:Y43))</f>
        <v/>
      </c>
      <c r="Z44" s="1032" t="str">
        <f>IF(SUM(Z39:Z43)=0,"",SUM(Z39:Z43))</f>
        <v/>
      </c>
      <c r="AA44" s="1130" t="str">
        <f>IF(SUM(AA39:AA43)=0,"",SUM(AA39:AA43))</f>
        <v/>
      </c>
      <c r="AB44" s="225"/>
      <c r="AD44" s="225"/>
      <c r="AE44" s="225"/>
      <c r="AF44" s="225"/>
      <c r="AG44" s="225"/>
      <c r="AH44" s="225"/>
      <c r="AI44" s="225"/>
      <c r="AK44" s="229"/>
      <c r="CV44" s="981"/>
      <c r="CW44" s="363"/>
      <c r="CX44" s="904"/>
    </row>
    <row r="45" spans="1:119" x14ac:dyDescent="0.2">
      <c r="B45" s="974" t="str">
        <f>B11</f>
        <v>1.6</v>
      </c>
      <c r="C45" s="1075" t="str">
        <f>IF(C11="","",C11)</f>
        <v>Umsätze aus Nebenrechnung Gruppe 1</v>
      </c>
      <c r="D45" s="1038"/>
      <c r="E45" s="1387">
        <f t="shared" si="15"/>
        <v>0</v>
      </c>
      <c r="F45" s="1200" t="str">
        <f>X44</f>
        <v/>
      </c>
      <c r="G45" s="1200" t="str">
        <f>X44</f>
        <v/>
      </c>
      <c r="H45" s="1200" t="str">
        <f>Y44</f>
        <v/>
      </c>
      <c r="I45" s="1200" t="str">
        <f>Z44</f>
        <v/>
      </c>
      <c r="J45" s="264"/>
      <c r="K45" s="219"/>
      <c r="L45" s="219"/>
      <c r="M45" s="219"/>
      <c r="N45" s="219"/>
      <c r="O45" s="219"/>
      <c r="P45" s="219"/>
      <c r="Q45" s="219"/>
      <c r="S45" s="1546"/>
      <c r="U45" s="1555"/>
      <c r="V45" s="1556"/>
      <c r="W45" s="1556"/>
      <c r="X45" s="1556"/>
      <c r="Y45" s="1556"/>
      <c r="Z45" s="1556"/>
      <c r="AA45" s="1557"/>
      <c r="AB45" s="225"/>
      <c r="AD45" s="225"/>
      <c r="AE45" s="225"/>
      <c r="AF45" s="225"/>
      <c r="AG45" s="225"/>
      <c r="AH45" s="225"/>
      <c r="AI45" s="225"/>
      <c r="AK45" s="229"/>
      <c r="CV45" s="981"/>
      <c r="CW45" s="363"/>
      <c r="CX45" s="904"/>
    </row>
    <row r="46" spans="1:119" hidden="1" x14ac:dyDescent="0.2">
      <c r="B46" s="1039"/>
      <c r="C46" s="1040" t="str">
        <f>C12</f>
        <v>nicht im Umsatz enthaltene MwSt</v>
      </c>
      <c r="D46" s="1044">
        <f>D6</f>
        <v>0.19</v>
      </c>
      <c r="E46" s="1214" t="str">
        <f t="shared" si="15"/>
        <v/>
      </c>
      <c r="F46" s="1201" t="str">
        <f>IF(OR(SUM(F41:F45)=0,'Deckblatt Gruender|Data Founder'!$M$1=1),"",IF('Deckblatt Gruender|Data Founder'!$M$1=2,SUM(F41:F45)-SUM(F41:F45)/(1+$D46),SUM(F41:F45)*($D46)))</f>
        <v/>
      </c>
      <c r="G46" s="1201" t="str">
        <f>IF(OR(SUM(G41:G45)=0,'Deckblatt Gruender|Data Founder'!$M$1=1),"",IF('Deckblatt Gruender|Data Founder'!$M$1=2,SUM(G41:G45)-SUM(G41:G45)/(1+$D46),SUM(G41:G45)*($D46)))</f>
        <v/>
      </c>
      <c r="H46" s="1201" t="str">
        <f>IF(OR(SUM(H41:H45)=0,'Deckblatt Gruender|Data Founder'!$M$1=1),"",IF('Deckblatt Gruender|Data Founder'!$M$1=2,SUM(H41:H45)-SUM(H41:H45)/(1+$D46),SUM(H41:H45)*($D46)))</f>
        <v/>
      </c>
      <c r="I46" s="1201" t="str">
        <f>IF(OR(SUM(I41:I45)=0,'Deckblatt Gruender|Data Founder'!$M$1=1),"",IF('Deckblatt Gruender|Data Founder'!$M$1=2,SUM(I41:I45)-SUM(I41:I45)/(1+$D46),SUM(I41:I45)*($D46)))</f>
        <v/>
      </c>
      <c r="J46" s="264"/>
      <c r="K46" s="219"/>
      <c r="L46" s="219"/>
      <c r="M46" s="219"/>
      <c r="N46" s="219"/>
      <c r="O46" s="219"/>
      <c r="P46" s="219"/>
      <c r="Q46" s="219"/>
      <c r="U46" s="1042" t="s">
        <v>492</v>
      </c>
      <c r="V46" s="1029" t="str">
        <f>C53</f>
        <v>Umsätze aus Nebenrechnung Gruppe 2</v>
      </c>
      <c r="W46" s="973">
        <f>D54</f>
        <v>0.19</v>
      </c>
      <c r="X46" s="427"/>
      <c r="Y46" s="427"/>
      <c r="Z46" s="427"/>
      <c r="AA46" s="428"/>
      <c r="AB46" s="225"/>
      <c r="AD46" s="225"/>
      <c r="AE46" s="225"/>
      <c r="AF46" s="225"/>
      <c r="AG46" s="225"/>
      <c r="AH46" s="225"/>
      <c r="AI46" s="225"/>
      <c r="AK46" s="229"/>
      <c r="CV46" s="981"/>
      <c r="CW46" s="363"/>
      <c r="CX46" s="904"/>
    </row>
    <row r="47" spans="1:119" s="438" customFormat="1" ht="15" thickBot="1" x14ac:dyDescent="0.25">
      <c r="A47" s="433"/>
      <c r="B47" s="1483"/>
      <c r="C47" s="1489" t="str">
        <f>C13</f>
        <v>Summe Umsatz Produktgruppe 1</v>
      </c>
      <c r="D47" s="1485"/>
      <c r="E47" s="1490">
        <f t="shared" si="15"/>
        <v>0</v>
      </c>
      <c r="F47" s="1486">
        <f>SUM(F41:F45)</f>
        <v>0</v>
      </c>
      <c r="G47" s="1486">
        <f>SUM(G41:G45)</f>
        <v>0</v>
      </c>
      <c r="H47" s="1486">
        <f>SUM(H41:H45)</f>
        <v>0</v>
      </c>
      <c r="I47" s="1487">
        <f>SUM(I41:I45)</f>
        <v>0</v>
      </c>
      <c r="J47" s="450"/>
      <c r="K47" s="433"/>
      <c r="L47" s="433"/>
      <c r="M47" s="433"/>
      <c r="N47" s="433"/>
      <c r="O47" s="433"/>
      <c r="P47" s="433"/>
      <c r="Q47" s="433"/>
      <c r="R47" s="55"/>
      <c r="S47" s="431"/>
      <c r="T47" s="433"/>
      <c r="U47" s="1047" t="s">
        <v>526</v>
      </c>
      <c r="V47" s="918"/>
      <c r="W47" s="388"/>
      <c r="X47" s="451"/>
      <c r="Y47" s="451"/>
      <c r="Z47" s="451"/>
      <c r="AA47" s="1017"/>
      <c r="AB47" s="225"/>
      <c r="AD47" s="225"/>
      <c r="AE47" s="225"/>
      <c r="AF47" s="225"/>
      <c r="AG47" s="225"/>
      <c r="AH47" s="225"/>
      <c r="AI47" s="225"/>
      <c r="AK47" s="975"/>
      <c r="AL47" s="433"/>
      <c r="AM47" s="433"/>
      <c r="AN47" s="433"/>
      <c r="AO47" s="433"/>
      <c r="AP47" s="433"/>
      <c r="AQ47" s="433"/>
      <c r="AR47" s="433"/>
      <c r="AS47" s="433"/>
      <c r="AT47" s="433"/>
      <c r="AU47" s="433"/>
      <c r="AV47" s="433"/>
      <c r="AW47" s="433"/>
      <c r="AX47" s="433"/>
      <c r="AY47" s="433"/>
      <c r="AZ47" s="433"/>
      <c r="BA47" s="433"/>
      <c r="BB47" s="433"/>
      <c r="BC47" s="433"/>
      <c r="BD47" s="433"/>
      <c r="CV47" s="982"/>
      <c r="CW47" s="983"/>
      <c r="CX47" s="914"/>
      <c r="CY47" s="915"/>
      <c r="CZ47" s="915"/>
      <c r="DA47" s="915"/>
      <c r="DB47" s="915"/>
      <c r="DC47" s="915"/>
      <c r="DD47" s="915"/>
      <c r="DE47" s="915"/>
      <c r="DF47" s="915"/>
      <c r="DG47" s="915"/>
      <c r="DH47" s="915"/>
      <c r="DI47" s="915"/>
      <c r="DJ47" s="915"/>
      <c r="DK47" s="915"/>
      <c r="DL47" s="915"/>
      <c r="DM47" s="892"/>
      <c r="DN47" s="892"/>
      <c r="DO47" s="892"/>
    </row>
    <row r="48" spans="1:119" x14ac:dyDescent="0.2">
      <c r="B48" s="1488">
        <f t="shared" ref="B48:B53" si="16">B14</f>
        <v>2</v>
      </c>
      <c r="C48" s="1493" t="str">
        <f>C14</f>
        <v>Umsatz Produktgruppe 2</v>
      </c>
      <c r="D48" s="1491">
        <f>D14</f>
        <v>0.19</v>
      </c>
      <c r="E48" s="1212"/>
      <c r="F48" s="1200"/>
      <c r="G48" s="1200"/>
      <c r="H48" s="1200"/>
      <c r="I48" s="1200"/>
      <c r="J48" s="264"/>
      <c r="K48" s="219"/>
      <c r="L48" s="219"/>
      <c r="M48" s="219"/>
      <c r="N48" s="219"/>
      <c r="O48" s="219"/>
      <c r="P48" s="219"/>
      <c r="Q48" s="219"/>
      <c r="U48" s="1047" t="s">
        <v>527</v>
      </c>
      <c r="V48" s="918"/>
      <c r="W48" s="229"/>
      <c r="X48" s="451"/>
      <c r="Y48" s="451"/>
      <c r="Z48" s="451"/>
      <c r="AA48" s="1017"/>
      <c r="AB48" s="225"/>
      <c r="AD48" s="225"/>
      <c r="AE48" s="225"/>
      <c r="AF48" s="225"/>
      <c r="AG48" s="225"/>
      <c r="AH48" s="225"/>
      <c r="AI48" s="225"/>
      <c r="AK48" s="229"/>
      <c r="CV48" s="981"/>
      <c r="CW48" s="363"/>
      <c r="CX48" s="916"/>
    </row>
    <row r="49" spans="1:119" x14ac:dyDescent="0.2">
      <c r="B49" s="974" t="str">
        <f t="shared" si="16"/>
        <v>2.1</v>
      </c>
      <c r="C49" s="1388" t="str">
        <f>IF(C15="","",C15)</f>
        <v/>
      </c>
      <c r="D49" s="788"/>
      <c r="E49" s="1387">
        <f t="shared" ref="E49:E55" si="17">Q15</f>
        <v>0</v>
      </c>
      <c r="F49" s="1378"/>
      <c r="G49" s="1378"/>
      <c r="H49" s="1378"/>
      <c r="I49" s="1381"/>
      <c r="J49" s="264"/>
      <c r="K49" s="219"/>
      <c r="L49" s="219"/>
      <c r="M49" s="219"/>
      <c r="N49" s="219"/>
      <c r="O49" s="219"/>
      <c r="P49" s="219"/>
      <c r="Q49" s="219"/>
      <c r="S49" s="1546"/>
      <c r="U49" s="1047" t="s">
        <v>528</v>
      </c>
      <c r="V49" s="918"/>
      <c r="W49" s="229"/>
      <c r="X49" s="451"/>
      <c r="Y49" s="451"/>
      <c r="Z49" s="451"/>
      <c r="AA49" s="1017"/>
      <c r="AB49" s="225"/>
      <c r="AD49" s="225"/>
      <c r="AE49" s="225"/>
      <c r="AF49" s="225"/>
      <c r="AG49" s="225"/>
      <c r="AH49" s="225"/>
      <c r="AI49" s="225"/>
      <c r="AK49" s="229"/>
      <c r="CV49" s="981"/>
      <c r="CW49" s="363"/>
      <c r="CX49" s="916"/>
    </row>
    <row r="50" spans="1:119" x14ac:dyDescent="0.2">
      <c r="B50" s="974" t="str">
        <f t="shared" si="16"/>
        <v>2.2</v>
      </c>
      <c r="C50" s="1388" t="str">
        <f>IF(C16="","",C16)</f>
        <v/>
      </c>
      <c r="D50" s="788"/>
      <c r="E50" s="1387">
        <f t="shared" si="17"/>
        <v>0</v>
      </c>
      <c r="F50" s="1378"/>
      <c r="G50" s="1378"/>
      <c r="H50" s="1378"/>
      <c r="I50" s="1381"/>
      <c r="J50" s="264"/>
      <c r="K50" s="219"/>
      <c r="L50" s="219"/>
      <c r="M50" s="219"/>
      <c r="N50" s="219"/>
      <c r="O50" s="219"/>
      <c r="P50" s="219"/>
      <c r="Q50" s="219"/>
      <c r="S50" s="1546"/>
      <c r="U50" s="1047" t="s">
        <v>529</v>
      </c>
      <c r="V50" s="918"/>
      <c r="W50" s="229"/>
      <c r="X50" s="451"/>
      <c r="Y50" s="451"/>
      <c r="Z50" s="451"/>
      <c r="AA50" s="1017"/>
      <c r="AB50" s="225"/>
      <c r="AD50" s="225"/>
      <c r="AE50" s="225"/>
      <c r="AF50" s="225"/>
      <c r="AG50" s="225"/>
      <c r="AH50" s="225"/>
      <c r="AI50" s="225"/>
      <c r="AK50" s="229"/>
      <c r="CV50" s="981"/>
      <c r="CW50" s="363"/>
      <c r="CX50" s="916"/>
    </row>
    <row r="51" spans="1:119" x14ac:dyDescent="0.2">
      <c r="B51" s="974" t="str">
        <f t="shared" si="16"/>
        <v>2.3</v>
      </c>
      <c r="C51" s="1388" t="str">
        <f>IF(C17="","",C17)</f>
        <v/>
      </c>
      <c r="D51" s="788"/>
      <c r="E51" s="1387">
        <f t="shared" si="17"/>
        <v>0</v>
      </c>
      <c r="F51" s="1378"/>
      <c r="G51" s="1378"/>
      <c r="H51" s="1378"/>
      <c r="I51" s="1381"/>
      <c r="J51" s="264"/>
      <c r="K51" s="219"/>
      <c r="L51" s="219"/>
      <c r="M51" s="219"/>
      <c r="N51" s="219"/>
      <c r="O51" s="219"/>
      <c r="P51" s="219"/>
      <c r="Q51" s="219"/>
      <c r="S51" s="1546"/>
      <c r="U51" s="1047" t="s">
        <v>530</v>
      </c>
      <c r="V51" s="918"/>
      <c r="W51" s="229"/>
      <c r="X51" s="451"/>
      <c r="Y51" s="451"/>
      <c r="Z51" s="451"/>
      <c r="AA51" s="1017"/>
      <c r="AB51" s="225"/>
      <c r="AD51" s="225"/>
      <c r="AE51" s="225"/>
      <c r="AF51" s="225"/>
      <c r="AG51" s="225"/>
      <c r="AH51" s="225"/>
      <c r="AI51" s="225"/>
      <c r="AK51" s="229"/>
      <c r="CV51" s="981"/>
      <c r="CW51" s="363"/>
      <c r="CX51" s="916"/>
    </row>
    <row r="52" spans="1:119" ht="15" thickBot="1" x14ac:dyDescent="0.25">
      <c r="B52" s="974" t="str">
        <f t="shared" si="16"/>
        <v>2.4</v>
      </c>
      <c r="C52" s="1388" t="str">
        <f>IF(C18="","",C18)</f>
        <v/>
      </c>
      <c r="D52" s="788"/>
      <c r="E52" s="1387">
        <f t="shared" si="17"/>
        <v>0</v>
      </c>
      <c r="F52" s="1378"/>
      <c r="G52" s="1378"/>
      <c r="H52" s="1378"/>
      <c r="I52" s="1381"/>
      <c r="J52" s="264"/>
      <c r="K52" s="219"/>
      <c r="L52" s="219"/>
      <c r="M52" s="219"/>
      <c r="N52" s="219"/>
      <c r="O52" s="219"/>
      <c r="P52" s="219"/>
      <c r="Q52" s="219"/>
      <c r="S52" s="1546"/>
      <c r="U52" s="1043"/>
      <c r="V52" s="1034"/>
      <c r="W52" s="1035"/>
      <c r="X52" s="1036"/>
      <c r="Y52" s="1036"/>
      <c r="Z52" s="1036"/>
      <c r="AA52" s="1131"/>
      <c r="AB52" s="225"/>
      <c r="AD52" s="225"/>
      <c r="AE52" s="225"/>
      <c r="AF52" s="225"/>
      <c r="AG52" s="225"/>
      <c r="AH52" s="225"/>
      <c r="AI52" s="225"/>
      <c r="AK52" s="229"/>
      <c r="CV52" s="981"/>
      <c r="CW52" s="363"/>
      <c r="CX52" s="916"/>
    </row>
    <row r="53" spans="1:119" hidden="1" x14ac:dyDescent="0.2">
      <c r="B53" s="974" t="str">
        <f t="shared" si="16"/>
        <v>2.6</v>
      </c>
      <c r="C53" s="1385" t="str">
        <f>IF(C19="","",C19)</f>
        <v>Umsätze aus Nebenrechnung Gruppe 2</v>
      </c>
      <c r="D53" s="1018"/>
      <c r="E53" s="1212">
        <f t="shared" si="17"/>
        <v>0</v>
      </c>
      <c r="F53" s="1200">
        <f>X52</f>
        <v>0</v>
      </c>
      <c r="G53" s="1200">
        <f>X52</f>
        <v>0</v>
      </c>
      <c r="H53" s="1200">
        <f>Y52</f>
        <v>0</v>
      </c>
      <c r="I53" s="1200">
        <f>Z52</f>
        <v>0</v>
      </c>
      <c r="J53" s="264"/>
      <c r="K53" s="219"/>
      <c r="L53" s="219"/>
      <c r="M53" s="219"/>
      <c r="N53" s="219"/>
      <c r="O53" s="219"/>
      <c r="P53" s="219"/>
      <c r="Q53" s="219"/>
      <c r="S53" s="265"/>
      <c r="U53" s="222"/>
      <c r="V53" s="222"/>
      <c r="W53" s="222"/>
      <c r="X53" s="222"/>
      <c r="Y53" s="222"/>
      <c r="Z53" s="222"/>
      <c r="AA53" s="222"/>
      <c r="AB53" s="225"/>
      <c r="AD53" s="225"/>
      <c r="AE53" s="225"/>
      <c r="AF53" s="225"/>
      <c r="AG53" s="225"/>
      <c r="AH53" s="225"/>
      <c r="AI53" s="225"/>
      <c r="AK53" s="229"/>
      <c r="CV53" s="981"/>
      <c r="CW53" s="363"/>
      <c r="CX53" s="916"/>
    </row>
    <row r="54" spans="1:119" s="438" customFormat="1" hidden="1" x14ac:dyDescent="0.2">
      <c r="A54" s="433"/>
      <c r="B54" s="1039"/>
      <c r="C54" s="1382" t="str">
        <f>C20</f>
        <v>nicht im Umsatz enthaltene MwSt</v>
      </c>
      <c r="D54" s="1383">
        <f>D14</f>
        <v>0.19</v>
      </c>
      <c r="E54" s="1448" t="str">
        <f t="shared" si="17"/>
        <v/>
      </c>
      <c r="F54" s="1201" t="str">
        <f>IF(OR(SUM(F49:F53)=0,'Deckblatt Gruender|Data Founder'!$M$1=1),"",IF('Deckblatt Gruender|Data Founder'!$M$1=2,SUM(F49:F53)-SUM(F49:F53)/(1+$D54),SUM(F49:F53)*($D54)))</f>
        <v/>
      </c>
      <c r="G54" s="1201" t="str">
        <f>IF(OR(SUM(G49:G53)=0,'Deckblatt Gruender|Data Founder'!$M$1=1),"",IF('Deckblatt Gruender|Data Founder'!$M$1=2,SUM(G49:G53)-SUM(G49:G53)/(1+$D54),SUM(G49:G53)*($D54)))</f>
        <v/>
      </c>
      <c r="H54" s="1201" t="str">
        <f>IF(OR(SUM(H49:H53)=0,'Deckblatt Gruender|Data Founder'!$M$1=1),"",IF('Deckblatt Gruender|Data Founder'!$M$1=2,SUM(H49:H53)-SUM(H49:H53)/(1+$D54),SUM(H49:H53)*($D54)))</f>
        <v/>
      </c>
      <c r="I54" s="1201" t="str">
        <f>IF(OR(SUM(I49:I53)=0,'Deckblatt Gruender|Data Founder'!$M$1=1),"",IF('Deckblatt Gruender|Data Founder'!$M$1=2,SUM(I49:I53)-SUM(I49:I53)/(1+$D54),SUM(I49:I53)*($D54)))</f>
        <v/>
      </c>
      <c r="J54" s="450"/>
      <c r="K54" s="433"/>
      <c r="L54" s="433"/>
      <c r="M54" s="433"/>
      <c r="N54" s="433"/>
      <c r="O54" s="433"/>
      <c r="P54" s="433"/>
      <c r="Q54" s="433"/>
      <c r="R54" s="55"/>
      <c r="S54" s="431"/>
      <c r="T54" s="433"/>
      <c r="AB54" s="225"/>
      <c r="AC54" s="225"/>
      <c r="AD54" s="225"/>
      <c r="AE54" s="225"/>
      <c r="AF54" s="225"/>
      <c r="AG54" s="225"/>
      <c r="AH54" s="225"/>
      <c r="AI54" s="225"/>
      <c r="AJ54" s="1023"/>
      <c r="AK54" s="975"/>
      <c r="AL54" s="433"/>
      <c r="AM54" s="433"/>
      <c r="AN54" s="433"/>
      <c r="AO54" s="433"/>
      <c r="AP54" s="433"/>
      <c r="AQ54" s="433"/>
      <c r="AR54" s="433"/>
      <c r="AS54" s="433"/>
      <c r="AT54" s="433"/>
      <c r="AU54" s="433"/>
      <c r="AV54" s="433"/>
      <c r="AW54" s="433"/>
      <c r="AX54" s="433"/>
      <c r="AY54" s="433"/>
      <c r="AZ54" s="433"/>
      <c r="BA54" s="433"/>
      <c r="BB54" s="433"/>
      <c r="BC54" s="433"/>
      <c r="BD54" s="433"/>
      <c r="CV54" s="982"/>
      <c r="CW54" s="983"/>
      <c r="CX54" s="914"/>
      <c r="CY54" s="915"/>
      <c r="CZ54" s="915"/>
      <c r="DA54" s="915"/>
      <c r="DB54" s="915"/>
      <c r="DC54" s="915"/>
      <c r="DD54" s="915"/>
      <c r="DE54" s="915"/>
      <c r="DF54" s="915"/>
      <c r="DG54" s="915"/>
      <c r="DH54" s="915"/>
      <c r="DI54" s="915"/>
      <c r="DJ54" s="915"/>
      <c r="DK54" s="915"/>
      <c r="DL54" s="915"/>
      <c r="DM54" s="892"/>
      <c r="DN54" s="892"/>
      <c r="DO54" s="892"/>
    </row>
    <row r="55" spans="1:119" ht="15" thickBot="1" x14ac:dyDescent="0.25">
      <c r="B55" s="1483"/>
      <c r="C55" s="1489" t="str">
        <f>C21</f>
        <v>Summe Umsatz Produktgruppe 2</v>
      </c>
      <c r="D55" s="1485"/>
      <c r="E55" s="1490">
        <f t="shared" si="17"/>
        <v>0</v>
      </c>
      <c r="F55" s="1486">
        <f>SUM(F49:F53)</f>
        <v>0</v>
      </c>
      <c r="G55" s="1486">
        <f>SUM(G49:G53)</f>
        <v>0</v>
      </c>
      <c r="H55" s="1486">
        <f>SUM(H49:H53)</f>
        <v>0</v>
      </c>
      <c r="I55" s="1487">
        <f>SUM(I49:I53)</f>
        <v>0</v>
      </c>
      <c r="J55" s="264"/>
      <c r="K55" s="219"/>
      <c r="L55" s="219"/>
      <c r="M55" s="219"/>
      <c r="N55" s="219"/>
      <c r="O55" s="219"/>
      <c r="P55" s="219"/>
      <c r="Q55" s="219"/>
      <c r="U55" s="222"/>
      <c r="V55" s="222"/>
      <c r="W55" s="222"/>
      <c r="X55" s="222"/>
      <c r="Y55" s="222"/>
      <c r="Z55" s="222"/>
      <c r="AA55" s="222"/>
      <c r="AB55" s="225"/>
      <c r="AC55" s="225"/>
      <c r="AD55" s="225"/>
      <c r="AE55" s="225"/>
      <c r="AF55" s="225"/>
      <c r="AG55" s="225"/>
      <c r="AH55" s="225"/>
      <c r="AI55" s="225"/>
      <c r="AJ55" s="1023"/>
      <c r="AK55" s="229"/>
      <c r="CV55" s="981"/>
      <c r="CW55" s="363"/>
      <c r="CX55" s="913"/>
    </row>
    <row r="56" spans="1:119" x14ac:dyDescent="0.2">
      <c r="B56" s="976">
        <v>3</v>
      </c>
      <c r="C56" s="1493" t="str">
        <f>C22</f>
        <v>Honorareinnahmen</v>
      </c>
      <c r="D56" s="1491">
        <f>D22</f>
        <v>7.0000000000000007E-2</v>
      </c>
      <c r="E56" s="1210"/>
      <c r="F56" s="1200"/>
      <c r="G56" s="1200"/>
      <c r="H56" s="1200"/>
      <c r="I56" s="1200"/>
      <c r="J56" s="264"/>
      <c r="K56" s="219"/>
      <c r="L56" s="219"/>
      <c r="M56" s="219"/>
      <c r="N56" s="219"/>
      <c r="O56" s="219"/>
      <c r="P56" s="219"/>
      <c r="Q56" s="219"/>
      <c r="U56" s="222"/>
      <c r="V56" s="222"/>
      <c r="W56" s="222"/>
      <c r="X56" s="222"/>
      <c r="Y56" s="222"/>
      <c r="Z56" s="222"/>
      <c r="AA56" s="222"/>
      <c r="AB56" s="225"/>
      <c r="AC56" s="225"/>
      <c r="AD56" s="225"/>
      <c r="AE56" s="225"/>
      <c r="AF56" s="225"/>
      <c r="AG56" s="225"/>
      <c r="AH56" s="225"/>
      <c r="AI56" s="225"/>
      <c r="AJ56" s="1023"/>
      <c r="AK56" s="229"/>
      <c r="CV56" s="981"/>
      <c r="CW56" s="363"/>
      <c r="CX56" s="913"/>
    </row>
    <row r="57" spans="1:119" x14ac:dyDescent="0.2">
      <c r="B57" s="974" t="s">
        <v>493</v>
      </c>
      <c r="C57" s="1388" t="str">
        <f>IF(C23="","",C23)</f>
        <v/>
      </c>
      <c r="D57" s="1020"/>
      <c r="E57" s="1387">
        <f>Q23</f>
        <v>0</v>
      </c>
      <c r="F57" s="1378"/>
      <c r="G57" s="1378"/>
      <c r="H57" s="1378"/>
      <c r="I57" s="1381"/>
      <c r="J57" s="264"/>
      <c r="K57" s="219"/>
      <c r="L57" s="219"/>
      <c r="M57" s="219"/>
      <c r="N57" s="219"/>
      <c r="O57" s="219"/>
      <c r="P57" s="219"/>
      <c r="Q57" s="219"/>
      <c r="S57" s="1546"/>
      <c r="U57" s="519"/>
      <c r="V57" s="1024"/>
      <c r="W57" s="229"/>
      <c r="X57" s="1025"/>
      <c r="Y57" s="1025"/>
      <c r="Z57" s="1025"/>
      <c r="AA57" s="1025"/>
      <c r="AB57" s="225"/>
      <c r="AC57" s="1025"/>
      <c r="AD57" s="1025"/>
      <c r="AE57" s="1025"/>
      <c r="AF57" s="1025"/>
      <c r="AG57" s="1025"/>
      <c r="AH57" s="1025"/>
      <c r="AI57" s="1025"/>
      <c r="AJ57" s="1023"/>
      <c r="AK57" s="229"/>
      <c r="CV57" s="981"/>
      <c r="CW57" s="363"/>
      <c r="CX57" s="913"/>
    </row>
    <row r="58" spans="1:119" x14ac:dyDescent="0.2">
      <c r="B58" s="974" t="s">
        <v>494</v>
      </c>
      <c r="C58" s="1389" t="str">
        <f>IF(C24="","",C24)</f>
        <v/>
      </c>
      <c r="D58" s="1386"/>
      <c r="E58" s="1387">
        <f>Q24</f>
        <v>0</v>
      </c>
      <c r="F58" s="1378"/>
      <c r="G58" s="1378"/>
      <c r="H58" s="1378"/>
      <c r="I58" s="1381"/>
      <c r="J58" s="264"/>
      <c r="K58" s="219"/>
      <c r="L58" s="219"/>
      <c r="M58" s="219"/>
      <c r="N58" s="219"/>
      <c r="O58" s="219"/>
      <c r="P58" s="219"/>
      <c r="Q58" s="219"/>
      <c r="S58" s="1546"/>
      <c r="U58" s="519"/>
      <c r="V58" s="1024"/>
      <c r="W58" s="229"/>
      <c r="X58" s="1025"/>
      <c r="Y58" s="1025"/>
      <c r="Z58" s="1025"/>
      <c r="AA58" s="1025"/>
      <c r="AB58" s="225"/>
      <c r="AC58" s="1025"/>
      <c r="AD58" s="1025"/>
      <c r="AE58" s="1025"/>
      <c r="AF58" s="1025"/>
      <c r="AG58" s="1025"/>
      <c r="AH58" s="1025"/>
      <c r="AI58" s="1025"/>
      <c r="AJ58" s="1023"/>
      <c r="AK58" s="229"/>
      <c r="CV58" s="981"/>
      <c r="CW58" s="363"/>
      <c r="CX58" s="913"/>
    </row>
    <row r="59" spans="1:119" hidden="1" x14ac:dyDescent="0.2">
      <c r="B59" s="1039"/>
      <c r="C59" s="1040" t="str">
        <f>C25</f>
        <v>nicht im Umsatz enthaltene MwSt</v>
      </c>
      <c r="D59" s="1383">
        <f>D22</f>
        <v>7.0000000000000007E-2</v>
      </c>
      <c r="E59" s="1384" t="str">
        <f>Q25</f>
        <v/>
      </c>
      <c r="F59" s="1201"/>
      <c r="G59" s="1201"/>
      <c r="H59" s="1201"/>
      <c r="I59" s="1201"/>
      <c r="J59" s="264"/>
      <c r="K59" s="219"/>
      <c r="L59" s="219"/>
      <c r="M59" s="219"/>
      <c r="N59" s="219"/>
      <c r="O59" s="219"/>
      <c r="P59" s="219"/>
      <c r="Q59" s="219"/>
      <c r="U59" s="519"/>
      <c r="V59" s="1024"/>
      <c r="W59" s="229"/>
      <c r="X59" s="1025"/>
      <c r="Y59" s="1025"/>
      <c r="Z59" s="1025"/>
      <c r="AA59" s="1025"/>
      <c r="AB59" s="225"/>
      <c r="AC59" s="1025"/>
      <c r="AD59" s="1025"/>
      <c r="AE59" s="1025"/>
      <c r="AF59" s="1025"/>
      <c r="AG59" s="1025"/>
      <c r="AH59" s="1025"/>
      <c r="AI59" s="1025"/>
      <c r="AJ59" s="1023"/>
      <c r="AK59" s="229"/>
      <c r="CV59" s="981"/>
      <c r="CW59" s="363"/>
      <c r="CX59" s="913"/>
    </row>
    <row r="60" spans="1:119" ht="15" thickBot="1" x14ac:dyDescent="0.25">
      <c r="B60" s="1483"/>
      <c r="C60" s="1489" t="str">
        <f>C26</f>
        <v>Summe Honorareinnahmen</v>
      </c>
      <c r="D60" s="1485"/>
      <c r="E60" s="1490">
        <f>Q26</f>
        <v>0</v>
      </c>
      <c r="F60" s="1486">
        <f>SUM(F57:F58)</f>
        <v>0</v>
      </c>
      <c r="G60" s="1486">
        <f>SUM(G57:G58)</f>
        <v>0</v>
      </c>
      <c r="H60" s="1486">
        <f>SUM(H57:H58)</f>
        <v>0</v>
      </c>
      <c r="I60" s="1487">
        <f>SUM(I57:I58)</f>
        <v>0</v>
      </c>
      <c r="J60" s="264"/>
      <c r="K60" s="219"/>
      <c r="L60" s="219"/>
      <c r="M60" s="219"/>
      <c r="N60" s="219"/>
      <c r="O60" s="219"/>
      <c r="P60" s="219"/>
      <c r="Q60" s="219"/>
      <c r="U60" s="519"/>
      <c r="V60" s="1024"/>
      <c r="W60" s="229"/>
      <c r="X60" s="1025"/>
      <c r="Y60" s="1025"/>
      <c r="Z60" s="1025"/>
      <c r="AA60" s="1025"/>
      <c r="AB60" s="1025"/>
      <c r="AC60" s="1025"/>
      <c r="AD60" s="1025"/>
      <c r="AE60" s="1025"/>
      <c r="AF60" s="1025"/>
      <c r="AG60" s="1025"/>
      <c r="AH60" s="1025"/>
      <c r="AI60" s="1025"/>
      <c r="AJ60" s="1023"/>
      <c r="AK60" s="229"/>
      <c r="CV60" s="981"/>
      <c r="CW60" s="363"/>
      <c r="CX60" s="913"/>
    </row>
    <row r="61" spans="1:119" s="438" customFormat="1" x14ac:dyDescent="0.2">
      <c r="A61" s="433"/>
      <c r="B61" s="976">
        <f>B27</f>
        <v>4</v>
      </c>
      <c r="C61" s="1493" t="str">
        <f>C27</f>
        <v>Sonstige Einnahmen</v>
      </c>
      <c r="D61" s="1491">
        <f>D27</f>
        <v>7.0000000000000007E-2</v>
      </c>
      <c r="E61" s="1213"/>
      <c r="F61" s="1204"/>
      <c r="G61" s="1204"/>
      <c r="H61" s="1204"/>
      <c r="I61" s="1204"/>
      <c r="J61" s="450"/>
      <c r="K61" s="433"/>
      <c r="L61" s="433"/>
      <c r="M61" s="433"/>
      <c r="N61" s="433"/>
      <c r="O61" s="433"/>
      <c r="P61" s="433"/>
      <c r="Q61" s="433"/>
      <c r="R61" s="55"/>
      <c r="S61" s="232"/>
      <c r="T61" s="433"/>
      <c r="U61" s="519"/>
      <c r="V61" s="1024"/>
      <c r="W61" s="229"/>
      <c r="X61" s="1025"/>
      <c r="Y61" s="1025"/>
      <c r="Z61" s="1025"/>
      <c r="AA61" s="1025"/>
      <c r="AB61" s="1025"/>
      <c r="AC61" s="1025"/>
      <c r="AD61" s="1025"/>
      <c r="AE61" s="1025"/>
      <c r="AF61" s="1025"/>
      <c r="AG61" s="1025"/>
      <c r="AH61" s="1025"/>
      <c r="AI61" s="1025"/>
      <c r="AJ61" s="1023"/>
      <c r="AK61" s="975"/>
      <c r="AL61" s="433"/>
      <c r="AM61" s="433"/>
      <c r="AN61" s="433"/>
      <c r="AO61" s="433"/>
      <c r="AP61" s="433"/>
      <c r="AQ61" s="433"/>
      <c r="AR61" s="433"/>
      <c r="AS61" s="433"/>
      <c r="AT61" s="433"/>
      <c r="AU61" s="433"/>
      <c r="AV61" s="433"/>
      <c r="AW61" s="433"/>
      <c r="AX61" s="433"/>
      <c r="AY61" s="433"/>
      <c r="AZ61" s="433"/>
      <c r="BA61" s="433"/>
      <c r="BB61" s="433"/>
      <c r="BC61" s="433"/>
      <c r="BD61" s="433"/>
      <c r="CV61" s="982"/>
      <c r="CW61" s="983"/>
      <c r="CX61" s="914"/>
      <c r="CY61" s="915"/>
      <c r="CZ61" s="915"/>
      <c r="DA61" s="915"/>
      <c r="DB61" s="915"/>
      <c r="DC61" s="915"/>
      <c r="DD61" s="915"/>
      <c r="DE61" s="915"/>
      <c r="DF61" s="915"/>
      <c r="DG61" s="915"/>
      <c r="DH61" s="915"/>
      <c r="DI61" s="915"/>
      <c r="DJ61" s="915"/>
      <c r="DK61" s="915"/>
      <c r="DL61" s="915"/>
      <c r="DM61" s="892"/>
      <c r="DN61" s="892"/>
      <c r="DO61" s="892"/>
    </row>
    <row r="62" spans="1:119" s="438" customFormat="1" x14ac:dyDescent="0.2">
      <c r="A62" s="433"/>
      <c r="B62" s="974" t="str">
        <f>B28</f>
        <v>4.1</v>
      </c>
      <c r="C62" s="1388" t="str">
        <f>IF(C28="","",C28)</f>
        <v/>
      </c>
      <c r="D62" s="788"/>
      <c r="E62" s="1387">
        <f t="shared" ref="E62:E67" si="18">Q28</f>
        <v>0</v>
      </c>
      <c r="F62" s="1378"/>
      <c r="G62" s="1378"/>
      <c r="H62" s="1378"/>
      <c r="I62" s="1381"/>
      <c r="J62" s="450"/>
      <c r="K62" s="433"/>
      <c r="L62" s="433"/>
      <c r="M62" s="433"/>
      <c r="N62" s="433"/>
      <c r="O62" s="433"/>
      <c r="P62" s="433"/>
      <c r="Q62" s="433"/>
      <c r="R62" s="55"/>
      <c r="S62" s="1546"/>
      <c r="T62" s="433"/>
      <c r="U62" s="519"/>
      <c r="V62" s="1024"/>
      <c r="W62" s="229"/>
      <c r="X62" s="1025"/>
      <c r="Y62" s="1025"/>
      <c r="Z62" s="1025"/>
      <c r="AA62" s="1025"/>
      <c r="AB62" s="1025"/>
      <c r="AC62" s="1025"/>
      <c r="AD62" s="1025"/>
      <c r="AE62" s="1025"/>
      <c r="AF62" s="1025"/>
      <c r="AG62" s="1025"/>
      <c r="AH62" s="1025"/>
      <c r="AI62" s="1025"/>
      <c r="AJ62" s="1023"/>
      <c r="AK62" s="975"/>
      <c r="AL62" s="433"/>
      <c r="AM62" s="433"/>
      <c r="AN62" s="433"/>
      <c r="AO62" s="433"/>
      <c r="AP62" s="433"/>
      <c r="AQ62" s="433"/>
      <c r="AR62" s="433"/>
      <c r="AS62" s="433"/>
      <c r="AT62" s="433"/>
      <c r="AU62" s="433"/>
      <c r="AV62" s="433"/>
      <c r="AW62" s="433"/>
      <c r="AX62" s="433"/>
      <c r="AY62" s="433"/>
      <c r="AZ62" s="433"/>
      <c r="BA62" s="433"/>
      <c r="BB62" s="433"/>
      <c r="BC62" s="433"/>
      <c r="BD62" s="433"/>
      <c r="CV62" s="982"/>
      <c r="CW62" s="983"/>
      <c r="CX62" s="914"/>
      <c r="CY62" s="915"/>
      <c r="CZ62" s="915"/>
      <c r="DA62" s="915"/>
      <c r="DB62" s="915"/>
      <c r="DC62" s="915"/>
      <c r="DD62" s="915"/>
      <c r="DE62" s="915"/>
      <c r="DF62" s="915"/>
      <c r="DG62" s="915"/>
      <c r="DH62" s="915"/>
      <c r="DI62" s="915"/>
      <c r="DJ62" s="915"/>
      <c r="DK62" s="915"/>
      <c r="DL62" s="915"/>
      <c r="DM62" s="892"/>
      <c r="DN62" s="892"/>
      <c r="DO62" s="892"/>
    </row>
    <row r="63" spans="1:119" x14ac:dyDescent="0.2">
      <c r="B63" s="974" t="str">
        <f>B29</f>
        <v>4.2</v>
      </c>
      <c r="C63" s="1389" t="str">
        <f>IF(C29="","",C29)</f>
        <v/>
      </c>
      <c r="D63" s="1386"/>
      <c r="E63" s="1387">
        <f t="shared" si="18"/>
        <v>0</v>
      </c>
      <c r="F63" s="1378"/>
      <c r="G63" s="1378"/>
      <c r="H63" s="1378"/>
      <c r="I63" s="1381"/>
      <c r="J63" s="264"/>
      <c r="K63" s="219"/>
      <c r="L63" s="219"/>
      <c r="M63" s="219"/>
      <c r="N63" s="219"/>
      <c r="O63" s="219"/>
      <c r="P63" s="219"/>
      <c r="Q63" s="219"/>
      <c r="S63" s="1546"/>
      <c r="U63" s="519"/>
      <c r="V63" s="1024"/>
      <c r="W63" s="229"/>
      <c r="X63" s="1025"/>
      <c r="Y63" s="1025"/>
      <c r="Z63" s="1025"/>
      <c r="AA63" s="1025"/>
      <c r="AB63" s="1025"/>
      <c r="AC63" s="1025"/>
      <c r="AD63" s="1025"/>
      <c r="AE63" s="1025"/>
      <c r="AF63" s="1025"/>
      <c r="AG63" s="1025"/>
      <c r="AH63" s="1025"/>
      <c r="AI63" s="1025"/>
      <c r="AJ63" s="1023"/>
      <c r="AK63" s="229"/>
      <c r="CV63" s="981"/>
      <c r="CW63" s="363"/>
      <c r="CX63" s="916"/>
    </row>
    <row r="64" spans="1:119" s="438" customFormat="1" hidden="1" x14ac:dyDescent="0.2">
      <c r="A64" s="433"/>
      <c r="B64" s="1039"/>
      <c r="C64" s="1040" t="str">
        <f>C30</f>
        <v>nicht im Umsatz enthaltene MwSt</v>
      </c>
      <c r="D64" s="1044">
        <f>D27</f>
        <v>7.0000000000000007E-2</v>
      </c>
      <c r="E64" s="1214" t="str">
        <f t="shared" si="18"/>
        <v/>
      </c>
      <c r="F64" s="1201" t="str">
        <f>IF(OR(SUM(F62:F63)=0,'Deckblatt Gruender|Data Founder'!$M$1=1),"",IF('Deckblatt Gruender|Data Founder'!$M$1=2,SUM(F62:F63)-SUM(F62:F63)/(1+$D64),SUM(F62:F63)*($D64)))</f>
        <v/>
      </c>
      <c r="G64" s="1201" t="str">
        <f>IF(OR(SUM(G62:G63)=0,'Deckblatt Gruender|Data Founder'!$M$1=1),"",IF('Deckblatt Gruender|Data Founder'!$M$1=2,SUM(G62:G63)-SUM(G62:G63)/(1+$D64),SUM(G62:G63)*($D64)))</f>
        <v/>
      </c>
      <c r="H64" s="1201" t="str">
        <f>IF(OR(SUM(H62:H63)=0,'Deckblatt Gruender|Data Founder'!$M$1=1),"",IF('Deckblatt Gruender|Data Founder'!$M$1=2,SUM(H62:H63)-SUM(H62:H63)/(1+$D64),SUM(H62:H63)*($D64)))</f>
        <v/>
      </c>
      <c r="I64" s="1201" t="str">
        <f>IF(OR(SUM(I62:I63)=0,'Deckblatt Gruender|Data Founder'!$M$1=1),"",IF('Deckblatt Gruender|Data Founder'!$M$1=2,SUM(I62:I63)-SUM(I62:I63)/(1+$D64),SUM(I62:I63)*($D64)))</f>
        <v/>
      </c>
      <c r="J64" s="450"/>
      <c r="K64" s="433"/>
      <c r="L64" s="433"/>
      <c r="M64" s="433"/>
      <c r="N64" s="433"/>
      <c r="O64" s="433"/>
      <c r="P64" s="433"/>
      <c r="Q64" s="433"/>
      <c r="R64" s="95"/>
      <c r="S64" s="232"/>
      <c r="T64" s="433"/>
      <c r="U64" s="519"/>
      <c r="V64" s="1024"/>
      <c r="W64" s="388"/>
      <c r="X64" s="1025"/>
      <c r="Y64" s="1025"/>
      <c r="Z64" s="1025"/>
      <c r="AA64" s="1025"/>
      <c r="AB64" s="1025"/>
      <c r="AC64" s="1025"/>
      <c r="AD64" s="1025"/>
      <c r="AE64" s="1025"/>
      <c r="AF64" s="1025"/>
      <c r="AG64" s="1025"/>
      <c r="AH64" s="1025"/>
      <c r="AI64" s="1025"/>
      <c r="AJ64" s="1023"/>
      <c r="AK64" s="975"/>
      <c r="AL64" s="433"/>
      <c r="AM64" s="433"/>
      <c r="AN64" s="433"/>
      <c r="AO64" s="433"/>
      <c r="AP64" s="433"/>
      <c r="AQ64" s="433"/>
      <c r="AR64" s="433"/>
      <c r="AS64" s="433"/>
      <c r="AT64" s="433"/>
      <c r="AU64" s="433"/>
      <c r="AV64" s="433"/>
      <c r="AW64" s="433"/>
      <c r="AX64" s="433"/>
      <c r="AY64" s="433"/>
      <c r="AZ64" s="433"/>
      <c r="BA64" s="433"/>
      <c r="BB64" s="433"/>
      <c r="BC64" s="433"/>
      <c r="BD64" s="433"/>
      <c r="CV64" s="982"/>
      <c r="CW64" s="983"/>
      <c r="CX64" s="914"/>
      <c r="CY64" s="915"/>
      <c r="CZ64" s="915"/>
      <c r="DA64" s="915"/>
      <c r="DB64" s="915"/>
      <c r="DC64" s="915"/>
      <c r="DD64" s="915"/>
      <c r="DE64" s="915"/>
      <c r="DF64" s="915"/>
      <c r="DG64" s="915"/>
      <c r="DH64" s="915"/>
      <c r="DI64" s="915"/>
      <c r="DJ64" s="915"/>
      <c r="DK64" s="915"/>
      <c r="DL64" s="915"/>
      <c r="DM64" s="892"/>
      <c r="DN64" s="892"/>
      <c r="DO64" s="892"/>
    </row>
    <row r="65" spans="1:119" s="438" customFormat="1" ht="15" thickBot="1" x14ac:dyDescent="0.25">
      <c r="A65" s="433"/>
      <c r="B65" s="1483"/>
      <c r="C65" s="1489" t="str">
        <f>C31</f>
        <v>Summe Sonstige Einnahmen</v>
      </c>
      <c r="D65" s="1485"/>
      <c r="E65" s="1490">
        <f t="shared" si="18"/>
        <v>0</v>
      </c>
      <c r="F65" s="1486">
        <f>SUM(F62:F63)</f>
        <v>0</v>
      </c>
      <c r="G65" s="1486">
        <f>SUM(G62:G63)</f>
        <v>0</v>
      </c>
      <c r="H65" s="1486">
        <f>SUM(H62:H63)</f>
        <v>0</v>
      </c>
      <c r="I65" s="1487">
        <f>SUM(I62:I63)</f>
        <v>0</v>
      </c>
      <c r="J65" s="450"/>
      <c r="K65" s="433"/>
      <c r="L65" s="433"/>
      <c r="M65" s="433"/>
      <c r="N65" s="433"/>
      <c r="O65" s="433"/>
      <c r="P65" s="433"/>
      <c r="Q65" s="433"/>
      <c r="R65" s="95"/>
      <c r="S65" s="455" t="s">
        <v>251</v>
      </c>
      <c r="T65" s="433"/>
      <c r="U65" s="519"/>
      <c r="V65" s="1024"/>
      <c r="W65" s="229"/>
      <c r="X65" s="1025"/>
      <c r="Y65" s="1025"/>
      <c r="Z65" s="1025"/>
      <c r="AA65" s="1025"/>
      <c r="AB65" s="1025"/>
      <c r="AC65" s="1025"/>
      <c r="AD65" s="1025"/>
      <c r="AE65" s="1025"/>
      <c r="AF65" s="1025"/>
      <c r="AG65" s="1025"/>
      <c r="AH65" s="1025"/>
      <c r="AI65" s="1025"/>
      <c r="AJ65" s="1023"/>
      <c r="AK65" s="975"/>
      <c r="AL65" s="433"/>
      <c r="AM65" s="433"/>
      <c r="AN65" s="433"/>
      <c r="AO65" s="433"/>
      <c r="AP65" s="433"/>
      <c r="AQ65" s="433"/>
      <c r="AR65" s="433"/>
      <c r="AS65" s="433"/>
      <c r="AT65" s="433"/>
      <c r="AU65" s="433"/>
      <c r="AV65" s="433"/>
      <c r="AW65" s="433"/>
      <c r="AX65" s="433"/>
      <c r="AY65" s="433"/>
      <c r="AZ65" s="433"/>
      <c r="BA65" s="433"/>
      <c r="BB65" s="433"/>
      <c r="BC65" s="433"/>
      <c r="BD65" s="433"/>
      <c r="CV65" s="982"/>
      <c r="CW65" s="983"/>
      <c r="CX65" s="914"/>
      <c r="CY65" s="915"/>
      <c r="CZ65" s="915"/>
      <c r="DA65" s="915"/>
      <c r="DB65" s="915"/>
      <c r="DC65" s="915"/>
      <c r="DD65" s="915"/>
      <c r="DE65" s="915"/>
      <c r="DF65" s="915"/>
      <c r="DG65" s="915"/>
      <c r="DH65" s="915"/>
      <c r="DI65" s="915"/>
      <c r="DJ65" s="915"/>
      <c r="DK65" s="915"/>
      <c r="DL65" s="915"/>
      <c r="DM65" s="892"/>
      <c r="DN65" s="892"/>
      <c r="DO65" s="892"/>
    </row>
    <row r="66" spans="1:119" s="438" customFormat="1" x14ac:dyDescent="0.2">
      <c r="A66" s="433"/>
      <c r="B66" s="434"/>
      <c r="C66" s="435" t="str">
        <f>C32</f>
        <v>nicht im Umsatz enthaltene MwSt</v>
      </c>
      <c r="D66" s="436">
        <f>IF('Deckblatt Gruender|Data Founder'!$I$13='Deckblatt Gruender|Data Founder'!$G$1,"",$F$2)</f>
        <v>7.0000000000000007E-2</v>
      </c>
      <c r="E66" s="1215">
        <f t="shared" si="18"/>
        <v>0</v>
      </c>
      <c r="F66" s="1209">
        <f>IF('Deckblatt Gruender|Data Founder'!$M$1=1,"",IF(F46="",0,F46*IF($D46=$F$2,1,0))+IF(F54="",0,F54*IF($D54=$F$2,1,0))+IF(F59="",0,F59*IF($D59=$F$2,1,0))+IF(F64="",0,F64*IF($D64=$F$2,1,0)))</f>
        <v>0</v>
      </c>
      <c r="G66" s="1209">
        <f>IF('Deckblatt Gruender|Data Founder'!$M$1=1,"",IF(G46="",0,G46*IF($D46=$F$2,1,0))+IF(G54="",0,G54*IF($D54=$F$2,1,0))+IF(G59="",0,G59*IF($D59=$F$2,1,0))+IF(G64="",0,G64*IF($D64=$F$2,1,0)))</f>
        <v>0</v>
      </c>
      <c r="H66" s="1209">
        <f>IF('Deckblatt Gruender|Data Founder'!$M$1=1,"",IF(H46="",0,H46*IF($D46=$F$2,1,0))+IF(H54="",0,H54*IF($D54=$F$2,1,0))+IF(H59="",0,H59*IF($D59=$F$2,1,0))+IF(H64="",0,H64*IF($D64=$F$2,1,0)))</f>
        <v>0</v>
      </c>
      <c r="I66" s="1209">
        <f>IF('Deckblatt Gruender|Data Founder'!$M$1=1,"",IF(I46="",0,I46*IF($D46=$F$2,1,0))+IF(I54="",0,I54*IF($D54=$F$2,1,0))+IF(I59="",0,I59*IF($D59=$F$2,1,0))+IF(I64="",0,I64*IF($D64=$F$2,1,0)))</f>
        <v>0</v>
      </c>
      <c r="J66" s="450"/>
      <c r="K66" s="433"/>
      <c r="L66" s="433"/>
      <c r="M66" s="433"/>
      <c r="N66" s="433"/>
      <c r="O66" s="433"/>
      <c r="P66" s="433"/>
      <c r="Q66" s="433"/>
      <c r="R66" s="55"/>
      <c r="S66" s="437"/>
      <c r="T66" s="433"/>
      <c r="U66" s="519"/>
      <c r="V66" s="1024"/>
      <c r="W66" s="975"/>
      <c r="X66" s="1025"/>
      <c r="Y66" s="1025"/>
      <c r="Z66" s="1025"/>
      <c r="AA66" s="1025"/>
      <c r="AB66" s="1025"/>
      <c r="AC66" s="1025"/>
      <c r="AD66" s="1025"/>
      <c r="AE66" s="1025"/>
      <c r="AF66" s="1025"/>
      <c r="AG66" s="1025"/>
      <c r="AH66" s="1025"/>
      <c r="AI66" s="1025"/>
      <c r="AJ66" s="1023"/>
      <c r="AK66" s="975"/>
      <c r="AL66" s="433"/>
      <c r="AM66" s="433"/>
      <c r="AN66" s="433"/>
      <c r="AO66" s="433"/>
      <c r="AP66" s="433"/>
      <c r="AQ66" s="433"/>
      <c r="AR66" s="433"/>
      <c r="AS66" s="433"/>
      <c r="AT66" s="433"/>
      <c r="AU66" s="433"/>
      <c r="AV66" s="433"/>
      <c r="AW66" s="433"/>
      <c r="AX66" s="433"/>
      <c r="AY66" s="433"/>
      <c r="AZ66" s="433"/>
      <c r="BA66" s="433"/>
      <c r="BB66" s="433"/>
      <c r="BC66" s="433"/>
      <c r="BD66" s="433"/>
      <c r="CV66" s="982"/>
      <c r="CW66" s="983"/>
      <c r="CX66" s="914"/>
      <c r="CY66" s="915"/>
      <c r="CZ66" s="915"/>
      <c r="DA66" s="915"/>
      <c r="DB66" s="915"/>
      <c r="DC66" s="915"/>
      <c r="DD66" s="915"/>
      <c r="DE66" s="915"/>
      <c r="DF66" s="915"/>
      <c r="DG66" s="915"/>
      <c r="DH66" s="915"/>
      <c r="DI66" s="915"/>
      <c r="DJ66" s="915"/>
      <c r="DK66" s="915"/>
      <c r="DL66" s="915"/>
      <c r="DM66" s="892"/>
      <c r="DN66" s="892"/>
      <c r="DO66" s="892"/>
    </row>
    <row r="67" spans="1:119" s="438" customFormat="1" ht="15" thickBot="1" x14ac:dyDescent="0.25">
      <c r="A67" s="433"/>
      <c r="B67" s="439"/>
      <c r="C67" s="435" t="str">
        <f>C33</f>
        <v>nicht im Umsatz enthaltene MwSt</v>
      </c>
      <c r="D67" s="440">
        <f>IF('Deckblatt Gruender|Data Founder'!$I$13='Deckblatt Gruender|Data Founder'!$G$1,"",$G$2)</f>
        <v>0.19</v>
      </c>
      <c r="E67" s="1215">
        <f t="shared" si="18"/>
        <v>0</v>
      </c>
      <c r="F67" s="1209">
        <f>IF('Deckblatt Gruender|Data Founder'!$M$1=1,"",IF(F46="",0,F46*IF($D46=$G$2,1,0))+IF(F54="",0,F54*IF($D54=$G$2,1,0))+IF(F59="",0,F59*IF($D59=$G$2,1,0))+IF(F64="",0,F64*IF($D64=$G$2,1,0)))</f>
        <v>0</v>
      </c>
      <c r="G67" s="1209">
        <f>IF('Deckblatt Gruender|Data Founder'!$M$1=1,"",IF(G46="",0,G46*IF($D46=$G$2,1,0))+IF(G54="",0,G54*IF($D54=$G$2,1,0))+IF(G59="",0,G59*IF($D59=$G$2,1,0))+IF(G64="",0,G64*IF($D64=$G$2,1,0)))</f>
        <v>0</v>
      </c>
      <c r="H67" s="1209">
        <f>IF('Deckblatt Gruender|Data Founder'!$M$1=1,"",IF(H46="",0,H46*IF($D46=$G$2,1,0))+IF(H54="",0,H54*IF($D54=$G$2,1,0))+IF(H59="",0,H59*IF($D59=$G$2,1,0))+IF(H64="",0,H64*IF($D64=$G$2,1,0)))</f>
        <v>0</v>
      </c>
      <c r="I67" s="1209">
        <f>IF('Deckblatt Gruender|Data Founder'!$M$1=1,"",IF(I46="",0,I46*IF($D46=$G$2,1,0))+IF(I54="",0,I54*IF($D54=$G$2,1,0))+IF(I59="",0,I59*IF($D59=$G$2,1,0))+IF(I64="",0,I64*IF($D64=$G$2,1,0)))</f>
        <v>0</v>
      </c>
      <c r="J67" s="450"/>
      <c r="K67" s="433"/>
      <c r="L67" s="433"/>
      <c r="M67" s="433"/>
      <c r="N67" s="433"/>
      <c r="O67" s="433"/>
      <c r="P67" s="433"/>
      <c r="Q67" s="433"/>
      <c r="R67" s="55"/>
      <c r="S67" s="232"/>
      <c r="T67" s="433"/>
      <c r="U67" s="519"/>
      <c r="V67" s="1024"/>
      <c r="W67" s="975"/>
      <c r="X67" s="1025"/>
      <c r="Y67" s="1025"/>
      <c r="Z67" s="1025"/>
      <c r="AA67" s="1025"/>
      <c r="AB67" s="1025"/>
      <c r="AC67" s="1025"/>
      <c r="AD67" s="1025"/>
      <c r="AE67" s="1025"/>
      <c r="AF67" s="1025"/>
      <c r="AG67" s="1025"/>
      <c r="AH67" s="1025"/>
      <c r="AI67" s="1025"/>
      <c r="AJ67" s="1023"/>
      <c r="AK67" s="975"/>
      <c r="AL67" s="433"/>
      <c r="AM67" s="433"/>
      <c r="AN67" s="433"/>
      <c r="AO67" s="433"/>
      <c r="AP67" s="433"/>
      <c r="AQ67" s="433"/>
      <c r="AR67" s="433"/>
      <c r="AS67" s="433"/>
      <c r="AT67" s="433"/>
      <c r="AU67" s="433"/>
      <c r="AV67" s="433"/>
      <c r="AW67" s="433"/>
      <c r="AX67" s="433"/>
      <c r="AY67" s="433"/>
      <c r="AZ67" s="433"/>
      <c r="BA67" s="433"/>
      <c r="BB67" s="433"/>
      <c r="BC67" s="433"/>
      <c r="BD67" s="433"/>
      <c r="CV67" s="982"/>
      <c r="CW67" s="983"/>
      <c r="CX67" s="914"/>
      <c r="CY67" s="915"/>
      <c r="CZ67" s="915"/>
      <c r="DA67" s="915"/>
      <c r="DB67" s="915"/>
      <c r="DC67" s="915"/>
      <c r="DD67" s="915"/>
      <c r="DE67" s="915"/>
      <c r="DF67" s="915"/>
      <c r="DG67" s="915"/>
      <c r="DH67" s="915"/>
      <c r="DI67" s="915"/>
      <c r="DJ67" s="915"/>
      <c r="DK67" s="915"/>
      <c r="DL67" s="915"/>
      <c r="DM67" s="892"/>
      <c r="DN67" s="892"/>
      <c r="DO67" s="892"/>
    </row>
    <row r="68" spans="1:119" ht="15" thickTop="1" x14ac:dyDescent="0.2">
      <c r="B68" s="452"/>
      <c r="C68" s="442" t="str">
        <f xml:space="preserve"> C34</f>
        <v>Gesamtumsätze</v>
      </c>
      <c r="D68" s="443"/>
      <c r="E68" s="1205">
        <f>E47+E55+E60+E65</f>
        <v>0</v>
      </c>
      <c r="F68" s="1205">
        <f>F47+F55+F60+F65</f>
        <v>0</v>
      </c>
      <c r="G68" s="1205">
        <f>G47+G55+G60+G65</f>
        <v>0</v>
      </c>
      <c r="H68" s="1205">
        <f>H47+H55+H60+H65</f>
        <v>0</v>
      </c>
      <c r="I68" s="1205">
        <f>I47+I55+I60+I65</f>
        <v>0</v>
      </c>
      <c r="J68" s="264"/>
      <c r="K68" s="219"/>
      <c r="L68" s="219"/>
      <c r="M68" s="219"/>
      <c r="N68" s="219"/>
      <c r="O68" s="219"/>
      <c r="P68" s="219"/>
      <c r="Q68" s="219"/>
      <c r="U68" s="519"/>
      <c r="V68" s="1022"/>
      <c r="W68" s="975"/>
      <c r="X68" s="1023"/>
      <c r="Y68" s="1023"/>
      <c r="Z68" s="1023"/>
      <c r="AA68" s="1023"/>
      <c r="AB68" s="1023"/>
      <c r="AC68" s="1023"/>
      <c r="AD68" s="1023"/>
      <c r="AE68" s="1023"/>
      <c r="AF68" s="1023"/>
      <c r="AG68" s="1023"/>
      <c r="AH68" s="1023"/>
      <c r="AI68" s="1023"/>
      <c r="AJ68" s="1023"/>
      <c r="AK68" s="229"/>
      <c r="CV68" s="238"/>
      <c r="CW68" s="363"/>
      <c r="CX68" s="902"/>
    </row>
    <row r="69" spans="1:119" ht="15" thickBot="1" x14ac:dyDescent="0.25">
      <c r="B69" s="444"/>
      <c r="C69" s="385" t="str">
        <f xml:space="preserve"> C35</f>
        <v>Gesamtumsätze akkumuliert</v>
      </c>
      <c r="D69" s="1045"/>
      <c r="E69" s="1207">
        <f>E68</f>
        <v>0</v>
      </c>
      <c r="F69" s="1207">
        <f>E69+F68</f>
        <v>0</v>
      </c>
      <c r="G69" s="1207">
        <f>F69+G68</f>
        <v>0</v>
      </c>
      <c r="H69" s="1207">
        <f>G69+H68</f>
        <v>0</v>
      </c>
      <c r="I69" s="1207">
        <f>H69+I68</f>
        <v>0</v>
      </c>
      <c r="J69" s="264"/>
      <c r="K69" s="219"/>
      <c r="L69" s="219"/>
      <c r="M69" s="219"/>
      <c r="N69" s="219"/>
      <c r="O69" s="219"/>
      <c r="P69" s="219"/>
      <c r="Q69" s="219"/>
      <c r="U69" s="643"/>
      <c r="V69" s="1024"/>
      <c r="W69" s="1026"/>
      <c r="X69" s="1027"/>
      <c r="Y69" s="1027"/>
      <c r="Z69" s="1027"/>
      <c r="AA69" s="1027"/>
      <c r="AB69" s="1027"/>
      <c r="AC69" s="1027"/>
      <c r="AD69" s="1027"/>
      <c r="AE69" s="1027"/>
      <c r="AF69" s="1027"/>
      <c r="AG69" s="1027"/>
      <c r="AH69" s="1027"/>
      <c r="AI69" s="1027"/>
      <c r="AJ69" s="1027"/>
      <c r="AK69" s="229"/>
      <c r="CV69" s="981"/>
      <c r="CW69" s="363"/>
      <c r="CX69" s="902"/>
    </row>
    <row r="70" spans="1:119" s="219" customFormat="1" x14ac:dyDescent="0.2">
      <c r="Q70" s="221"/>
      <c r="R70" s="55"/>
      <c r="S70" s="232"/>
      <c r="AK70" s="229"/>
      <c r="CV70" s="223" t="str">
        <f ca="1">"Umsätze, Honorare, sonst. Einnahmen (" &amp; 'Deckblatt Gruender|Data Founder'!$J$1 &amp; ") " &amp; '1 Pers.Ausgaben|Pers Expenses'!$C$4 &amp;"-"&amp; '1 Pers.Ausgaben|Pers Expenses'!$C$4 +4</f>
        <v>Umsätze, Honorare, sonst. Einnahmen (ohne MwSt) 2017-2021</v>
      </c>
      <c r="CW70" s="223" t="str">
        <f ca="1">"Sales, Fees other Income (" &amp; 'Deckblatt Gruender|Data Founder'!$K$1 &amp; ") " &amp; '1 Pers.Ausgaben|Pers Expenses'!$C$4&amp;"-"&amp; '1 Pers.Ausgaben|Pers Expenses'!$C$4+4</f>
        <v>Sales, Fees other Income (w/o VAT) 2017-2021</v>
      </c>
      <c r="CX70" s="355"/>
      <c r="CY70" s="255"/>
      <c r="CZ70" s="255"/>
      <c r="DA70" s="255"/>
      <c r="DB70" s="255"/>
      <c r="DC70" s="255"/>
      <c r="DD70" s="255"/>
      <c r="DE70" s="255"/>
      <c r="DF70" s="255"/>
      <c r="DG70" s="255"/>
      <c r="DH70" s="255"/>
      <c r="DI70" s="255"/>
      <c r="DJ70" s="255"/>
      <c r="DK70" s="255"/>
      <c r="DL70" s="255"/>
      <c r="DM70" s="220"/>
      <c r="DN70" s="220"/>
      <c r="DO70" s="220"/>
    </row>
    <row r="71" spans="1:119" s="220" customFormat="1" ht="22.5" x14ac:dyDescent="0.3">
      <c r="B71" s="453" t="str">
        <f ca="1">IF($C$4="English",CW71,CV71)</f>
        <v>Umsätze, Honorare, Sonstige Einnahmen (ohne MwSt) für Jahr 2017 (EUR)</v>
      </c>
      <c r="C71" s="219"/>
      <c r="D71" s="219"/>
      <c r="E71" s="219"/>
      <c r="F71" s="219"/>
      <c r="G71" s="219"/>
      <c r="H71" s="219"/>
      <c r="I71" s="447" t="str">
        <f ca="1">B71</f>
        <v>Umsätze, Honorare, Sonstige Einnahmen (ohne MwSt) für Jahr 2017 (EUR)</v>
      </c>
      <c r="J71" s="219"/>
      <c r="K71" s="219"/>
      <c r="L71" s="219"/>
      <c r="M71" s="219"/>
      <c r="N71" s="219"/>
      <c r="O71" s="219"/>
      <c r="P71" s="219"/>
      <c r="Q71" s="221"/>
      <c r="R71" s="96"/>
      <c r="S71" s="224"/>
      <c r="U71" s="219"/>
      <c r="V71" s="219"/>
      <c r="W71" s="219"/>
      <c r="X71" s="219"/>
      <c r="Y71" s="219"/>
      <c r="Z71" s="219"/>
      <c r="AA71" s="219"/>
      <c r="AB71" s="219"/>
      <c r="AC71" s="219"/>
      <c r="AD71" s="219"/>
      <c r="AE71" s="219"/>
      <c r="AF71" s="219"/>
      <c r="AG71" s="219"/>
      <c r="AH71" s="219"/>
      <c r="AI71" s="219"/>
      <c r="AJ71" s="219"/>
      <c r="AK71" s="544"/>
      <c r="CV71" s="223" t="str">
        <f ca="1">"Umsätze, Honorare, Sonstige Einnahmen (" &amp; 'Deckblatt Gruender|Data Founder'!$J$1 &amp; ") für Jahr " &amp; '1 Pers.Ausgaben|Pers Expenses'!$C$4&amp;" (EUR)"</f>
        <v>Umsätze, Honorare, Sonstige Einnahmen (ohne MwSt) für Jahr 2017 (EUR)</v>
      </c>
      <c r="CW71" s="223" t="str">
        <f ca="1">"Sales, Fees, other Income (" &amp; 'Deckblatt Gruender|Data Founder'!$K$1 &amp; ") for Year " &amp; '1 Pers.Ausgaben|Pers Expenses'!$C$4&amp;" (EUR)"</f>
        <v>Sales, Fees, other Income (w/o VAT) for Year 2017 (EUR)</v>
      </c>
      <c r="CX71" s="355"/>
      <c r="CY71" s="255"/>
      <c r="CZ71" s="255"/>
      <c r="DA71" s="255"/>
      <c r="DB71" s="255"/>
      <c r="DC71" s="255"/>
      <c r="DD71" s="255"/>
      <c r="DE71" s="255"/>
      <c r="DF71" s="255"/>
      <c r="DG71" s="255"/>
      <c r="DH71" s="255"/>
      <c r="DI71" s="255"/>
      <c r="DJ71" s="255"/>
      <c r="DK71" s="255"/>
      <c r="DL71" s="255"/>
    </row>
    <row r="72" spans="1:119" s="219" customFormat="1" x14ac:dyDescent="0.2">
      <c r="A72" s="229"/>
      <c r="Q72" s="221"/>
      <c r="R72" s="55"/>
      <c r="S72" s="232"/>
      <c r="AC72" s="229"/>
      <c r="AD72" s="229"/>
      <c r="AE72" s="229"/>
      <c r="AF72" s="229"/>
      <c r="AG72" s="229"/>
      <c r="AH72" s="229"/>
      <c r="AI72" s="229"/>
      <c r="AJ72" s="229"/>
      <c r="AK72" s="229"/>
      <c r="CV72" s="223"/>
      <c r="CW72" s="223"/>
      <c r="CX72" s="355"/>
      <c r="CY72" s="255"/>
      <c r="CZ72" s="255"/>
      <c r="DA72" s="255"/>
      <c r="DB72" s="255"/>
      <c r="DC72" s="255"/>
      <c r="DD72" s="255"/>
      <c r="DE72" s="255"/>
      <c r="DF72" s="255"/>
      <c r="DG72" s="255"/>
      <c r="DH72" s="255"/>
      <c r="DI72" s="255"/>
      <c r="DJ72" s="255"/>
      <c r="DK72" s="255"/>
      <c r="DL72" s="255"/>
      <c r="DM72" s="220"/>
      <c r="DN72" s="220"/>
      <c r="DO72" s="220"/>
    </row>
    <row r="73" spans="1:119" s="219" customFormat="1" x14ac:dyDescent="0.2">
      <c r="Q73" s="221"/>
      <c r="R73" s="55"/>
      <c r="S73" s="232"/>
      <c r="AC73" s="229"/>
      <c r="AD73" s="229"/>
      <c r="AE73" s="229"/>
      <c r="AF73" s="229"/>
      <c r="AG73" s="229"/>
      <c r="AH73" s="229"/>
      <c r="AI73" s="229"/>
      <c r="AJ73" s="229"/>
      <c r="AK73" s="229"/>
      <c r="CV73" s="223"/>
      <c r="CW73" s="223"/>
      <c r="CX73" s="355"/>
      <c r="CY73" s="255"/>
      <c r="CZ73" s="255"/>
      <c r="DA73" s="255"/>
      <c r="DB73" s="255"/>
      <c r="DC73" s="255"/>
      <c r="DD73" s="255"/>
      <c r="DE73" s="255"/>
      <c r="DF73" s="255"/>
      <c r="DG73" s="255"/>
      <c r="DH73" s="255"/>
      <c r="DI73" s="255"/>
      <c r="DJ73" s="255"/>
      <c r="DK73" s="255"/>
      <c r="DL73" s="255"/>
      <c r="DM73" s="220"/>
      <c r="DN73" s="220"/>
      <c r="DO73" s="220"/>
    </row>
    <row r="74" spans="1:119" s="219" customFormat="1" x14ac:dyDescent="0.2">
      <c r="Q74" s="221"/>
      <c r="R74" s="55"/>
      <c r="S74" s="232"/>
      <c r="AC74" s="229"/>
      <c r="AD74" s="229"/>
      <c r="AE74" s="229"/>
      <c r="AF74" s="229"/>
      <c r="AG74" s="229"/>
      <c r="AH74" s="229"/>
      <c r="AI74" s="229"/>
      <c r="AJ74" s="229"/>
      <c r="AK74" s="229"/>
      <c r="CV74" s="223"/>
      <c r="CW74" s="223"/>
      <c r="CX74" s="355"/>
      <c r="CY74" s="255"/>
      <c r="CZ74" s="255"/>
      <c r="DA74" s="255"/>
      <c r="DB74" s="255"/>
      <c r="DC74" s="255"/>
      <c r="DD74" s="255"/>
      <c r="DE74" s="255"/>
      <c r="DF74" s="255"/>
      <c r="DG74" s="255"/>
      <c r="DH74" s="255"/>
      <c r="DI74" s="255"/>
      <c r="DJ74" s="255"/>
      <c r="DK74" s="255"/>
      <c r="DL74" s="255"/>
      <c r="DM74" s="220"/>
      <c r="DN74" s="220"/>
      <c r="DO74" s="220"/>
    </row>
    <row r="75" spans="1:119" s="219" customFormat="1" x14ac:dyDescent="0.2">
      <c r="Q75" s="221"/>
      <c r="R75" s="55"/>
      <c r="S75" s="232"/>
      <c r="AC75" s="229"/>
      <c r="AD75" s="229"/>
      <c r="AE75" s="229"/>
      <c r="AF75" s="229"/>
      <c r="AG75" s="229"/>
      <c r="AH75" s="229"/>
      <c r="AI75" s="229"/>
      <c r="AJ75" s="229"/>
      <c r="AK75" s="229"/>
      <c r="CV75" s="223"/>
      <c r="CW75" s="223"/>
      <c r="CX75" s="355"/>
      <c r="CY75" s="255"/>
      <c r="CZ75" s="255"/>
      <c r="DA75" s="255"/>
      <c r="DB75" s="255"/>
      <c r="DC75" s="255"/>
      <c r="DD75" s="255"/>
      <c r="DE75" s="255"/>
      <c r="DF75" s="255"/>
      <c r="DG75" s="255"/>
      <c r="DH75" s="255"/>
      <c r="DI75" s="255"/>
      <c r="DJ75" s="255"/>
      <c r="DK75" s="255"/>
      <c r="DL75" s="255"/>
      <c r="DM75" s="220"/>
      <c r="DN75" s="220"/>
      <c r="DO75" s="220"/>
    </row>
    <row r="76" spans="1:119" s="219" customFormat="1" x14ac:dyDescent="0.2">
      <c r="Q76" s="221"/>
      <c r="R76" s="55"/>
      <c r="S76" s="232"/>
      <c r="AC76" s="229"/>
      <c r="AD76" s="229"/>
      <c r="AE76" s="229"/>
      <c r="AF76" s="229"/>
      <c r="AG76" s="229"/>
      <c r="AH76" s="229"/>
      <c r="AI76" s="229"/>
      <c r="AJ76" s="229"/>
      <c r="AK76" s="229"/>
      <c r="CV76" s="223"/>
      <c r="CW76" s="223"/>
      <c r="CX76" s="355"/>
      <c r="CY76" s="255"/>
      <c r="CZ76" s="255"/>
      <c r="DA76" s="255"/>
      <c r="DB76" s="255"/>
      <c r="DC76" s="255"/>
      <c r="DD76" s="255"/>
      <c r="DE76" s="255"/>
      <c r="DF76" s="255"/>
      <c r="DG76" s="255"/>
      <c r="DH76" s="255"/>
      <c r="DI76" s="255"/>
      <c r="DJ76" s="255"/>
      <c r="DK76" s="255"/>
      <c r="DL76" s="255"/>
      <c r="DM76" s="220"/>
      <c r="DN76" s="220"/>
      <c r="DO76" s="220"/>
    </row>
    <row r="77" spans="1:119" s="219" customFormat="1" x14ac:dyDescent="0.2">
      <c r="Q77" s="221"/>
      <c r="R77" s="55"/>
      <c r="S77" s="232"/>
      <c r="AC77" s="229"/>
      <c r="AD77" s="229"/>
      <c r="AE77" s="229"/>
      <c r="AF77" s="229"/>
      <c r="AG77" s="229"/>
      <c r="AH77" s="229"/>
      <c r="AI77" s="229"/>
      <c r="AJ77" s="229"/>
      <c r="AK77" s="229"/>
      <c r="CV77" s="223"/>
      <c r="CW77" s="223"/>
      <c r="CX77" s="355"/>
      <c r="CY77" s="255"/>
      <c r="CZ77" s="255"/>
      <c r="DA77" s="255"/>
      <c r="DB77" s="255"/>
      <c r="DC77" s="255"/>
      <c r="DD77" s="255"/>
      <c r="DE77" s="255"/>
      <c r="DF77" s="255"/>
      <c r="DG77" s="255"/>
      <c r="DH77" s="255"/>
      <c r="DI77" s="255"/>
      <c r="DJ77" s="255"/>
      <c r="DK77" s="255"/>
      <c r="DL77" s="255"/>
      <c r="DM77" s="220"/>
      <c r="DN77" s="220"/>
      <c r="DO77" s="220"/>
    </row>
    <row r="78" spans="1:119" s="219" customFormat="1" x14ac:dyDescent="0.2">
      <c r="Q78" s="221"/>
      <c r="R78" s="55"/>
      <c r="S78" s="232"/>
      <c r="AC78" s="229"/>
      <c r="AD78" s="229"/>
      <c r="AE78" s="229"/>
      <c r="AF78" s="229"/>
      <c r="AG78" s="229"/>
      <c r="AH78" s="229"/>
      <c r="AI78" s="229"/>
      <c r="AJ78" s="229"/>
      <c r="AK78" s="229"/>
      <c r="CV78" s="223"/>
      <c r="CW78" s="223"/>
      <c r="CX78" s="355"/>
      <c r="CY78" s="255"/>
      <c r="CZ78" s="255"/>
      <c r="DA78" s="255"/>
      <c r="DB78" s="255"/>
      <c r="DC78" s="255"/>
      <c r="DD78" s="255"/>
      <c r="DE78" s="255"/>
      <c r="DF78" s="255"/>
      <c r="DG78" s="255"/>
      <c r="DH78" s="255"/>
      <c r="DI78" s="255"/>
      <c r="DJ78" s="255"/>
      <c r="DK78" s="255"/>
      <c r="DL78" s="255"/>
      <c r="DM78" s="220"/>
      <c r="DN78" s="220"/>
      <c r="DO78" s="220"/>
    </row>
    <row r="79" spans="1:119" s="219" customFormat="1" x14ac:dyDescent="0.2">
      <c r="Q79" s="221"/>
      <c r="R79" s="55"/>
      <c r="S79" s="232"/>
      <c r="AC79" s="229"/>
      <c r="AD79" s="229"/>
      <c r="AE79" s="229"/>
      <c r="AF79" s="229"/>
      <c r="AG79" s="229"/>
      <c r="AH79" s="229"/>
      <c r="AI79" s="229"/>
      <c r="AJ79" s="229"/>
      <c r="AK79" s="229"/>
      <c r="CV79" s="223"/>
      <c r="CW79" s="223"/>
      <c r="CX79" s="355"/>
      <c r="CY79" s="255"/>
      <c r="CZ79" s="255"/>
      <c r="DA79" s="255"/>
      <c r="DB79" s="255"/>
      <c r="DC79" s="255"/>
      <c r="DD79" s="255"/>
      <c r="DE79" s="255"/>
      <c r="DF79" s="255"/>
      <c r="DG79" s="255"/>
      <c r="DH79" s="255"/>
      <c r="DI79" s="255"/>
      <c r="DJ79" s="255"/>
      <c r="DK79" s="255"/>
      <c r="DL79" s="255"/>
      <c r="DM79" s="220"/>
      <c r="DN79" s="220"/>
      <c r="DO79" s="220"/>
    </row>
    <row r="80" spans="1:119" s="219" customFormat="1" x14ac:dyDescent="0.2">
      <c r="Q80" s="221"/>
      <c r="R80" s="55"/>
      <c r="S80" s="232"/>
      <c r="AC80" s="229"/>
      <c r="AD80" s="229"/>
      <c r="AE80" s="229"/>
      <c r="AF80" s="229"/>
      <c r="AG80" s="229"/>
      <c r="AH80" s="229"/>
      <c r="AI80" s="229"/>
      <c r="AJ80" s="229"/>
      <c r="AK80" s="229"/>
      <c r="CV80" s="223"/>
      <c r="CW80" s="223"/>
      <c r="CX80" s="355"/>
      <c r="CY80" s="255"/>
      <c r="CZ80" s="255"/>
      <c r="DA80" s="255"/>
      <c r="DB80" s="255"/>
      <c r="DC80" s="255"/>
      <c r="DD80" s="255"/>
      <c r="DE80" s="255"/>
      <c r="DF80" s="255"/>
      <c r="DG80" s="255"/>
      <c r="DH80" s="255"/>
      <c r="DI80" s="255"/>
      <c r="DJ80" s="255"/>
      <c r="DK80" s="255"/>
      <c r="DL80" s="255"/>
      <c r="DM80" s="220"/>
      <c r="DN80" s="220"/>
      <c r="DO80" s="220"/>
    </row>
    <row r="81" spans="17:119" s="219" customFormat="1" x14ac:dyDescent="0.2">
      <c r="Q81" s="221"/>
      <c r="R81" s="55"/>
      <c r="S81" s="232"/>
      <c r="AC81" s="229"/>
      <c r="AD81" s="229"/>
      <c r="AE81" s="229"/>
      <c r="AF81" s="229"/>
      <c r="AG81" s="229"/>
      <c r="AH81" s="229"/>
      <c r="AI81" s="229"/>
      <c r="AJ81" s="229"/>
      <c r="AK81" s="229"/>
      <c r="CV81" s="223"/>
      <c r="CW81" s="223"/>
      <c r="CX81" s="355"/>
      <c r="CY81" s="255"/>
      <c r="CZ81" s="255"/>
      <c r="DA81" s="255"/>
      <c r="DB81" s="255"/>
      <c r="DC81" s="255"/>
      <c r="DD81" s="255"/>
      <c r="DE81" s="255"/>
      <c r="DF81" s="255"/>
      <c r="DG81" s="255"/>
      <c r="DH81" s="255"/>
      <c r="DI81" s="255"/>
      <c r="DJ81" s="255"/>
      <c r="DK81" s="255"/>
      <c r="DL81" s="255"/>
      <c r="DM81" s="220"/>
      <c r="DN81" s="220"/>
      <c r="DO81" s="220"/>
    </row>
    <row r="82" spans="17:119" s="219" customFormat="1" x14ac:dyDescent="0.2">
      <c r="Q82" s="221"/>
      <c r="R82" s="55"/>
      <c r="S82" s="232"/>
      <c r="AC82" s="229"/>
      <c r="AD82" s="229"/>
      <c r="AE82" s="229"/>
      <c r="AF82" s="229"/>
      <c r="AG82" s="229"/>
      <c r="AH82" s="229"/>
      <c r="AI82" s="229"/>
      <c r="AJ82" s="229"/>
      <c r="AK82" s="229"/>
      <c r="CV82" s="223"/>
      <c r="CW82" s="223"/>
      <c r="CX82" s="355"/>
      <c r="CY82" s="255"/>
      <c r="CZ82" s="255"/>
      <c r="DA82" s="255"/>
      <c r="DB82" s="255"/>
      <c r="DC82" s="255"/>
      <c r="DD82" s="255"/>
      <c r="DE82" s="255"/>
      <c r="DF82" s="255"/>
      <c r="DG82" s="255"/>
      <c r="DH82" s="255"/>
      <c r="DI82" s="255"/>
      <c r="DJ82" s="255"/>
      <c r="DK82" s="255"/>
      <c r="DL82" s="255"/>
      <c r="DM82" s="220"/>
      <c r="DN82" s="220"/>
      <c r="DO82" s="220"/>
    </row>
    <row r="83" spans="17:119" s="219" customFormat="1" x14ac:dyDescent="0.2">
      <c r="Q83" s="221"/>
      <c r="R83" s="55"/>
      <c r="S83" s="232"/>
      <c r="AC83" s="229"/>
      <c r="AD83" s="229"/>
      <c r="AE83" s="229"/>
      <c r="AF83" s="229"/>
      <c r="AG83" s="229"/>
      <c r="AH83" s="229"/>
      <c r="AI83" s="229"/>
      <c r="AJ83" s="229"/>
      <c r="AK83" s="229"/>
      <c r="CV83" s="223"/>
      <c r="CW83" s="223"/>
      <c r="CX83" s="355"/>
      <c r="CY83" s="255"/>
      <c r="CZ83" s="255"/>
      <c r="DA83" s="255"/>
      <c r="DB83" s="255"/>
      <c r="DC83" s="255"/>
      <c r="DD83" s="255"/>
      <c r="DE83" s="255"/>
      <c r="DF83" s="255"/>
      <c r="DG83" s="255"/>
      <c r="DH83" s="255"/>
      <c r="DI83" s="255"/>
      <c r="DJ83" s="255"/>
      <c r="DK83" s="255"/>
      <c r="DL83" s="255"/>
      <c r="DM83" s="220"/>
      <c r="DN83" s="220"/>
      <c r="DO83" s="220"/>
    </row>
    <row r="84" spans="17:119" s="219" customFormat="1" x14ac:dyDescent="0.2">
      <c r="Q84" s="221"/>
      <c r="R84" s="55"/>
      <c r="S84" s="232"/>
      <c r="AC84" s="229"/>
      <c r="AD84" s="229"/>
      <c r="AE84" s="229"/>
      <c r="AF84" s="229"/>
      <c r="AG84" s="229"/>
      <c r="AH84" s="229"/>
      <c r="AI84" s="229"/>
      <c r="AJ84" s="229"/>
      <c r="AK84" s="229"/>
      <c r="CV84" s="223"/>
      <c r="CW84" s="223"/>
      <c r="CX84" s="355"/>
      <c r="CY84" s="255"/>
      <c r="CZ84" s="255"/>
      <c r="DA84" s="255"/>
      <c r="DB84" s="255"/>
      <c r="DC84" s="255"/>
      <c r="DD84" s="255"/>
      <c r="DE84" s="255"/>
      <c r="DF84" s="255"/>
      <c r="DG84" s="255"/>
      <c r="DH84" s="255"/>
      <c r="DI84" s="255"/>
      <c r="DJ84" s="255"/>
      <c r="DK84" s="255"/>
      <c r="DL84" s="255"/>
      <c r="DM84" s="220"/>
      <c r="DN84" s="220"/>
      <c r="DO84" s="220"/>
    </row>
    <row r="85" spans="17:119" s="219" customFormat="1" x14ac:dyDescent="0.2">
      <c r="Q85" s="221"/>
      <c r="R85" s="55"/>
      <c r="S85" s="232"/>
      <c r="AC85" s="229"/>
      <c r="AD85" s="229"/>
      <c r="AE85" s="229"/>
      <c r="AF85" s="229"/>
      <c r="AG85" s="229"/>
      <c r="AH85" s="229"/>
      <c r="AI85" s="229"/>
      <c r="AJ85" s="229"/>
      <c r="CV85" s="223"/>
      <c r="CW85" s="223"/>
      <c r="CX85" s="355"/>
      <c r="CY85" s="255"/>
      <c r="CZ85" s="255"/>
      <c r="DA85" s="255"/>
      <c r="DB85" s="255"/>
      <c r="DC85" s="255"/>
      <c r="DD85" s="255"/>
      <c r="DE85" s="255"/>
      <c r="DF85" s="255"/>
      <c r="DG85" s="255"/>
      <c r="DH85" s="255"/>
      <c r="DI85" s="255"/>
      <c r="DJ85" s="255"/>
      <c r="DK85" s="255"/>
      <c r="DL85" s="255"/>
      <c r="DM85" s="220"/>
      <c r="DN85" s="220"/>
      <c r="DO85" s="220"/>
    </row>
    <row r="86" spans="17:119" s="219" customFormat="1" x14ac:dyDescent="0.2">
      <c r="Q86" s="221"/>
      <c r="R86" s="55"/>
      <c r="AC86" s="229"/>
      <c r="AD86" s="229"/>
      <c r="AE86" s="229"/>
      <c r="AF86" s="229"/>
      <c r="AG86" s="229"/>
      <c r="AH86" s="229"/>
      <c r="AI86" s="229"/>
      <c r="AJ86" s="229"/>
      <c r="CV86" s="223"/>
      <c r="CW86" s="223"/>
      <c r="CX86" s="355"/>
      <c r="CY86" s="255"/>
      <c r="CZ86" s="255"/>
      <c r="DA86" s="255"/>
      <c r="DB86" s="255"/>
      <c r="DC86" s="255"/>
      <c r="DD86" s="255"/>
      <c r="DE86" s="255"/>
      <c r="DF86" s="255"/>
      <c r="DG86" s="255"/>
      <c r="DH86" s="255"/>
      <c r="DI86" s="255"/>
      <c r="DJ86" s="255"/>
      <c r="DK86" s="255"/>
      <c r="DL86" s="255"/>
      <c r="DM86" s="220"/>
      <c r="DN86" s="220"/>
      <c r="DO86" s="220"/>
    </row>
    <row r="87" spans="17:119" s="219" customFormat="1" x14ac:dyDescent="0.2">
      <c r="R87" s="55"/>
      <c r="S87" s="256"/>
      <c r="AC87" s="229"/>
      <c r="AD87" s="229"/>
      <c r="AE87" s="229"/>
      <c r="AF87" s="229"/>
      <c r="AG87" s="229"/>
      <c r="AH87" s="229"/>
      <c r="AI87" s="229"/>
      <c r="AJ87" s="229"/>
      <c r="CV87" s="223"/>
      <c r="CW87" s="223"/>
      <c r="CX87" s="355"/>
      <c r="CY87" s="255"/>
      <c r="CZ87" s="255"/>
      <c r="DA87" s="255"/>
      <c r="DB87" s="255"/>
      <c r="DC87" s="255"/>
      <c r="DD87" s="255"/>
      <c r="DE87" s="255"/>
      <c r="DF87" s="255"/>
      <c r="DG87" s="255"/>
      <c r="DH87" s="255"/>
      <c r="DI87" s="255"/>
      <c r="DJ87" s="255"/>
      <c r="DK87" s="255"/>
      <c r="DL87" s="255"/>
      <c r="DM87" s="220"/>
      <c r="DN87" s="220"/>
      <c r="DO87" s="220"/>
    </row>
    <row r="88" spans="17:119" s="219" customFormat="1" x14ac:dyDescent="0.2">
      <c r="Q88" s="221"/>
      <c r="R88" s="55"/>
      <c r="S88" s="256"/>
      <c r="AC88" s="229"/>
      <c r="AD88" s="229"/>
      <c r="AE88" s="229"/>
      <c r="AF88" s="229"/>
      <c r="AG88" s="229"/>
      <c r="AH88" s="229"/>
      <c r="AI88" s="229"/>
      <c r="AJ88" s="229"/>
      <c r="CV88" s="223"/>
      <c r="CW88" s="223"/>
      <c r="CX88" s="355"/>
      <c r="CY88" s="255"/>
      <c r="CZ88" s="255"/>
      <c r="DA88" s="255"/>
      <c r="DB88" s="255"/>
      <c r="DC88" s="255"/>
      <c r="DD88" s="255"/>
      <c r="DE88" s="255"/>
      <c r="DF88" s="255"/>
      <c r="DG88" s="255"/>
      <c r="DH88" s="255"/>
      <c r="DI88" s="255"/>
      <c r="DJ88" s="255"/>
      <c r="DK88" s="255"/>
      <c r="DL88" s="255"/>
      <c r="DM88" s="220"/>
      <c r="DN88" s="220"/>
      <c r="DO88" s="220"/>
    </row>
    <row r="89" spans="17:119" s="219" customFormat="1" x14ac:dyDescent="0.2">
      <c r="Q89" s="221"/>
      <c r="R89" s="55"/>
      <c r="S89" s="232"/>
      <c r="AK89" s="229"/>
      <c r="CV89" s="223"/>
      <c r="CW89" s="223"/>
      <c r="CX89" s="355"/>
      <c r="CY89" s="255"/>
      <c r="CZ89" s="255"/>
      <c r="DA89" s="255"/>
      <c r="DB89" s="255"/>
      <c r="DC89" s="255"/>
      <c r="DD89" s="255"/>
      <c r="DE89" s="255"/>
      <c r="DF89" s="255"/>
      <c r="DG89" s="255"/>
      <c r="DH89" s="255"/>
      <c r="DI89" s="255"/>
      <c r="DJ89" s="255"/>
      <c r="DK89" s="255"/>
      <c r="DL89" s="255"/>
      <c r="DM89" s="220"/>
      <c r="DN89" s="220"/>
      <c r="DO89" s="220"/>
    </row>
    <row r="90" spans="17:119" s="219" customFormat="1" x14ac:dyDescent="0.2">
      <c r="Q90" s="221"/>
      <c r="R90" s="55"/>
      <c r="S90" s="232"/>
      <c r="AC90" s="55"/>
      <c r="AD90" s="55"/>
      <c r="AE90" s="55"/>
      <c r="AF90" s="55"/>
      <c r="AG90" s="55"/>
      <c r="AH90" s="55"/>
      <c r="AI90" s="55"/>
      <c r="AJ90" s="55"/>
      <c r="AK90" s="229"/>
      <c r="CV90" s="223"/>
      <c r="CW90" s="223"/>
      <c r="CX90" s="355"/>
      <c r="CY90" s="255"/>
      <c r="CZ90" s="255"/>
      <c r="DA90" s="255"/>
      <c r="DB90" s="255"/>
      <c r="DC90" s="255"/>
      <c r="DD90" s="255"/>
      <c r="DE90" s="255"/>
      <c r="DF90" s="255"/>
      <c r="DG90" s="255"/>
      <c r="DH90" s="255"/>
      <c r="DI90" s="255"/>
      <c r="DJ90" s="255"/>
      <c r="DK90" s="255"/>
      <c r="DL90" s="255"/>
      <c r="DM90" s="220"/>
      <c r="DN90" s="220"/>
      <c r="DO90" s="220"/>
    </row>
    <row r="91" spans="17:119" s="219" customFormat="1" x14ac:dyDescent="0.2">
      <c r="Q91" s="221"/>
      <c r="R91" s="55"/>
      <c r="S91" s="256"/>
      <c r="AC91" s="346"/>
      <c r="AD91" s="346"/>
      <c r="AE91" s="346"/>
      <c r="AF91" s="346"/>
      <c r="AG91" s="346"/>
      <c r="AH91" s="346"/>
      <c r="AI91" s="346"/>
      <c r="AJ91" s="346"/>
      <c r="CV91" s="223"/>
      <c r="CW91" s="223"/>
      <c r="CX91" s="355"/>
      <c r="CY91" s="255"/>
      <c r="CZ91" s="255"/>
      <c r="DA91" s="255"/>
      <c r="DB91" s="255"/>
      <c r="DC91" s="255"/>
      <c r="DD91" s="255"/>
      <c r="DE91" s="255"/>
      <c r="DF91" s="255"/>
      <c r="DG91" s="255"/>
      <c r="DH91" s="255"/>
      <c r="DI91" s="255"/>
      <c r="DJ91" s="255"/>
      <c r="DK91" s="255"/>
      <c r="DL91" s="255"/>
      <c r="DM91" s="220"/>
      <c r="DN91" s="220"/>
      <c r="DO91" s="220"/>
    </row>
    <row r="92" spans="17:119" s="219" customFormat="1" x14ac:dyDescent="0.2">
      <c r="Q92" s="221"/>
      <c r="R92" s="55"/>
      <c r="S92" s="256"/>
      <c r="CV92" s="223"/>
      <c r="CW92" s="223"/>
      <c r="CX92" s="355"/>
      <c r="CY92" s="255"/>
      <c r="CZ92" s="255"/>
      <c r="DA92" s="255"/>
      <c r="DB92" s="255"/>
      <c r="DC92" s="255"/>
      <c r="DD92" s="255"/>
      <c r="DE92" s="255"/>
      <c r="DF92" s="255"/>
      <c r="DG92" s="255"/>
      <c r="DH92" s="255"/>
      <c r="DI92" s="255"/>
      <c r="DJ92" s="255"/>
      <c r="DK92" s="255"/>
      <c r="DL92" s="255"/>
      <c r="DM92" s="220"/>
      <c r="DN92" s="220"/>
      <c r="DO92" s="220"/>
    </row>
    <row r="93" spans="17:119" s="219" customFormat="1" x14ac:dyDescent="0.2">
      <c r="Q93" s="221"/>
      <c r="R93" s="55"/>
      <c r="S93" s="256"/>
      <c r="U93" s="346"/>
      <c r="V93" s="346"/>
      <c r="W93" s="346"/>
      <c r="X93" s="346"/>
      <c r="Y93" s="346"/>
      <c r="Z93" s="346"/>
      <c r="AA93" s="346"/>
      <c r="AB93" s="346"/>
      <c r="AC93" s="346"/>
      <c r="AD93" s="346"/>
      <c r="AE93" s="346"/>
      <c r="AF93" s="346"/>
      <c r="AG93" s="346"/>
      <c r="AH93" s="346"/>
      <c r="AI93" s="346"/>
      <c r="AJ93" s="346"/>
      <c r="CV93" s="223"/>
      <c r="CW93" s="223"/>
      <c r="CX93" s="355"/>
      <c r="CY93" s="255"/>
      <c r="CZ93" s="255"/>
      <c r="DA93" s="255"/>
      <c r="DB93" s="255"/>
      <c r="DC93" s="255"/>
      <c r="DD93" s="255"/>
      <c r="DE93" s="255"/>
      <c r="DF93" s="255"/>
      <c r="DG93" s="255"/>
      <c r="DH93" s="255"/>
      <c r="DI93" s="255"/>
      <c r="DJ93" s="255"/>
      <c r="DK93" s="255"/>
      <c r="DL93" s="255"/>
      <c r="DM93" s="220"/>
      <c r="DN93" s="220"/>
      <c r="DO93" s="220"/>
    </row>
    <row r="94" spans="17:119" s="219" customFormat="1" x14ac:dyDescent="0.2">
      <c r="Q94" s="221"/>
      <c r="R94" s="55"/>
      <c r="S94" s="256"/>
      <c r="CV94" s="223"/>
      <c r="CW94" s="223"/>
      <c r="CX94" s="355"/>
      <c r="CY94" s="255"/>
      <c r="CZ94" s="255"/>
      <c r="DA94" s="255"/>
      <c r="DB94" s="255"/>
      <c r="DC94" s="255"/>
      <c r="DD94" s="255"/>
      <c r="DE94" s="255"/>
      <c r="DF94" s="255"/>
      <c r="DG94" s="255"/>
      <c r="DH94" s="255"/>
      <c r="DI94" s="255"/>
      <c r="DJ94" s="255"/>
      <c r="DK94" s="255"/>
      <c r="DL94" s="255"/>
      <c r="DM94" s="220"/>
      <c r="DN94" s="220"/>
      <c r="DO94" s="220"/>
    </row>
    <row r="95" spans="17:119" s="219" customFormat="1" x14ac:dyDescent="0.2">
      <c r="Q95" s="221"/>
      <c r="R95" s="55"/>
      <c r="S95" s="256"/>
      <c r="U95" s="346"/>
      <c r="V95" s="346"/>
      <c r="W95" s="346"/>
      <c r="X95" s="346"/>
      <c r="Y95" s="346"/>
      <c r="Z95" s="346"/>
      <c r="AA95" s="346"/>
      <c r="AB95" s="346"/>
      <c r="AC95" s="346"/>
      <c r="AD95" s="346"/>
      <c r="AE95" s="346"/>
      <c r="AF95" s="346"/>
      <c r="AG95" s="346"/>
      <c r="AH95" s="346"/>
      <c r="AI95" s="346"/>
      <c r="AJ95" s="346"/>
      <c r="CV95" s="223"/>
      <c r="CW95" s="223"/>
      <c r="CX95" s="355"/>
      <c r="CY95" s="255"/>
      <c r="CZ95" s="255"/>
      <c r="DA95" s="255"/>
      <c r="DB95" s="255"/>
      <c r="DC95" s="255"/>
      <c r="DD95" s="255"/>
      <c r="DE95" s="255"/>
      <c r="DF95" s="255"/>
      <c r="DG95" s="255"/>
      <c r="DH95" s="255"/>
      <c r="DI95" s="255"/>
      <c r="DJ95" s="255"/>
      <c r="DK95" s="255"/>
      <c r="DL95" s="255"/>
      <c r="DM95" s="220"/>
      <c r="DN95" s="220"/>
      <c r="DO95" s="220"/>
    </row>
    <row r="96" spans="17:119" s="219" customFormat="1" x14ac:dyDescent="0.2">
      <c r="Q96" s="221"/>
      <c r="R96" s="55"/>
      <c r="S96" s="256"/>
      <c r="CV96" s="223"/>
      <c r="CW96" s="223"/>
      <c r="CX96" s="355"/>
      <c r="CY96" s="255"/>
      <c r="CZ96" s="255"/>
      <c r="DA96" s="255"/>
      <c r="DB96" s="255"/>
      <c r="DC96" s="255"/>
      <c r="DD96" s="255"/>
      <c r="DE96" s="255"/>
      <c r="DF96" s="255"/>
      <c r="DG96" s="255"/>
      <c r="DH96" s="255"/>
      <c r="DI96" s="255"/>
      <c r="DJ96" s="255"/>
      <c r="DK96" s="255"/>
      <c r="DL96" s="255"/>
      <c r="DM96" s="220"/>
      <c r="DN96" s="220"/>
      <c r="DO96" s="220"/>
    </row>
    <row r="97" spans="17:119" s="219" customFormat="1" x14ac:dyDescent="0.2">
      <c r="Q97" s="221"/>
      <c r="R97" s="55"/>
      <c r="S97" s="256"/>
      <c r="U97" s="346"/>
      <c r="V97" s="346"/>
      <c r="W97" s="346"/>
      <c r="X97" s="346"/>
      <c r="Y97" s="346"/>
      <c r="Z97" s="346"/>
      <c r="AA97" s="346"/>
      <c r="AB97" s="346"/>
      <c r="AC97" s="346"/>
      <c r="AD97" s="346"/>
      <c r="AE97" s="346"/>
      <c r="AF97" s="346"/>
      <c r="AG97" s="346"/>
      <c r="AH97" s="346"/>
      <c r="AI97" s="346"/>
      <c r="AJ97" s="346"/>
      <c r="CV97" s="223"/>
      <c r="CW97" s="223"/>
      <c r="CX97" s="355"/>
      <c r="CY97" s="255"/>
      <c r="CZ97" s="255"/>
      <c r="DA97" s="255"/>
      <c r="DB97" s="255"/>
      <c r="DC97" s="255"/>
      <c r="DD97" s="255"/>
      <c r="DE97" s="255"/>
      <c r="DF97" s="255"/>
      <c r="DG97" s="255"/>
      <c r="DH97" s="255"/>
      <c r="DI97" s="255"/>
      <c r="DJ97" s="255"/>
      <c r="DK97" s="255"/>
      <c r="DL97" s="255"/>
      <c r="DM97" s="220"/>
      <c r="DN97" s="220"/>
      <c r="DO97" s="220"/>
    </row>
    <row r="98" spans="17:119" s="219" customFormat="1" x14ac:dyDescent="0.2">
      <c r="Q98" s="221"/>
      <c r="R98" s="55"/>
      <c r="S98" s="256"/>
      <c r="CV98" s="223"/>
      <c r="CW98" s="223"/>
      <c r="CX98" s="355"/>
      <c r="CY98" s="255"/>
      <c r="CZ98" s="255"/>
      <c r="DA98" s="255"/>
      <c r="DB98" s="255"/>
      <c r="DC98" s="255"/>
      <c r="DD98" s="255"/>
      <c r="DE98" s="255"/>
      <c r="DF98" s="255"/>
      <c r="DG98" s="255"/>
      <c r="DH98" s="255"/>
      <c r="DI98" s="255"/>
      <c r="DJ98" s="255"/>
      <c r="DK98" s="255"/>
      <c r="DL98" s="255"/>
      <c r="DM98" s="220"/>
      <c r="DN98" s="220"/>
      <c r="DO98" s="220"/>
    </row>
    <row r="99" spans="17:119" s="219" customFormat="1" x14ac:dyDescent="0.2">
      <c r="Q99" s="221"/>
      <c r="R99" s="55"/>
      <c r="S99" s="256"/>
      <c r="CV99" s="223"/>
      <c r="CW99" s="223"/>
      <c r="CX99" s="355"/>
      <c r="CY99" s="255"/>
      <c r="CZ99" s="255"/>
      <c r="DA99" s="255"/>
      <c r="DB99" s="255"/>
      <c r="DC99" s="255"/>
      <c r="DD99" s="255"/>
      <c r="DE99" s="255"/>
      <c r="DF99" s="255"/>
      <c r="DG99" s="255"/>
      <c r="DH99" s="255"/>
      <c r="DI99" s="255"/>
      <c r="DJ99" s="255"/>
      <c r="DK99" s="255"/>
      <c r="DL99" s="255"/>
      <c r="DM99" s="220"/>
      <c r="DN99" s="220"/>
      <c r="DO99" s="220"/>
    </row>
    <row r="100" spans="17:119" s="219" customFormat="1" x14ac:dyDescent="0.2">
      <c r="Q100" s="221"/>
      <c r="R100" s="55"/>
      <c r="S100" s="256"/>
      <c r="CV100" s="223"/>
      <c r="CW100" s="223"/>
      <c r="CX100" s="355"/>
      <c r="CY100" s="255"/>
      <c r="CZ100" s="255"/>
      <c r="DA100" s="255"/>
      <c r="DB100" s="255"/>
      <c r="DC100" s="255"/>
      <c r="DD100" s="255"/>
      <c r="DE100" s="255"/>
      <c r="DF100" s="255"/>
      <c r="DG100" s="255"/>
      <c r="DH100" s="255"/>
      <c r="DI100" s="255"/>
      <c r="DJ100" s="255"/>
      <c r="DK100" s="255"/>
      <c r="DL100" s="255"/>
      <c r="DM100" s="220"/>
      <c r="DN100" s="220"/>
      <c r="DO100" s="220"/>
    </row>
    <row r="101" spans="17:119" s="219" customFormat="1" x14ac:dyDescent="0.2">
      <c r="Q101" s="221"/>
      <c r="R101" s="55"/>
      <c r="S101" s="256"/>
      <c r="CV101" s="223"/>
      <c r="CW101" s="223"/>
      <c r="CX101" s="355"/>
      <c r="CY101" s="255"/>
      <c r="CZ101" s="255"/>
      <c r="DA101" s="255"/>
      <c r="DB101" s="255"/>
      <c r="DC101" s="255"/>
      <c r="DD101" s="255"/>
      <c r="DE101" s="255"/>
      <c r="DF101" s="255"/>
      <c r="DG101" s="255"/>
      <c r="DH101" s="255"/>
      <c r="DI101" s="255"/>
      <c r="DJ101" s="255"/>
      <c r="DK101" s="255"/>
      <c r="DL101" s="255"/>
      <c r="DM101" s="220"/>
      <c r="DN101" s="220"/>
      <c r="DO101" s="220"/>
    </row>
    <row r="102" spans="17:119" s="219" customFormat="1" x14ac:dyDescent="0.2">
      <c r="Q102" s="221"/>
      <c r="R102" s="55"/>
      <c r="S102" s="256"/>
      <c r="CV102" s="223"/>
      <c r="CW102" s="223"/>
      <c r="CX102" s="355"/>
      <c r="CY102" s="255"/>
      <c r="CZ102" s="255"/>
      <c r="DA102" s="255"/>
      <c r="DB102" s="255"/>
      <c r="DC102" s="255"/>
      <c r="DD102" s="255"/>
      <c r="DE102" s="255"/>
      <c r="DF102" s="255"/>
      <c r="DG102" s="255"/>
      <c r="DH102" s="255"/>
      <c r="DI102" s="255"/>
      <c r="DJ102" s="255"/>
      <c r="DK102" s="255"/>
      <c r="DL102" s="255"/>
      <c r="DM102" s="220"/>
      <c r="DN102" s="220"/>
      <c r="DO102" s="220"/>
    </row>
    <row r="103" spans="17:119" s="219" customFormat="1" x14ac:dyDescent="0.2">
      <c r="Q103" s="221"/>
      <c r="R103" s="55"/>
      <c r="S103" s="256"/>
      <c r="CV103" s="223"/>
      <c r="CW103" s="223"/>
      <c r="CX103" s="355"/>
      <c r="CY103" s="255"/>
      <c r="CZ103" s="255"/>
      <c r="DA103" s="255"/>
      <c r="DB103" s="255"/>
      <c r="DC103" s="255"/>
      <c r="DD103" s="255"/>
      <c r="DE103" s="255"/>
      <c r="DF103" s="255"/>
      <c r="DG103" s="255"/>
      <c r="DH103" s="255"/>
      <c r="DI103" s="255"/>
      <c r="DJ103" s="255"/>
      <c r="DK103" s="255"/>
      <c r="DL103" s="255"/>
      <c r="DM103" s="220"/>
      <c r="DN103" s="220"/>
      <c r="DO103" s="220"/>
    </row>
    <row r="104" spans="17:119" s="219" customFormat="1" x14ac:dyDescent="0.2">
      <c r="Q104" s="221"/>
      <c r="R104" s="55"/>
      <c r="S104" s="256"/>
      <c r="CV104" s="223"/>
      <c r="CW104" s="223"/>
      <c r="CX104" s="355"/>
      <c r="CY104" s="255"/>
      <c r="CZ104" s="255"/>
      <c r="DA104" s="255"/>
      <c r="DB104" s="255"/>
      <c r="DC104" s="255"/>
      <c r="DD104" s="255"/>
      <c r="DE104" s="255"/>
      <c r="DF104" s="255"/>
      <c r="DG104" s="255"/>
      <c r="DH104" s="255"/>
      <c r="DI104" s="255"/>
      <c r="DJ104" s="255"/>
      <c r="DK104" s="255"/>
      <c r="DL104" s="255"/>
      <c r="DM104" s="220"/>
      <c r="DN104" s="220"/>
      <c r="DO104" s="220"/>
    </row>
    <row r="105" spans="17:119" s="219" customFormat="1" x14ac:dyDescent="0.2">
      <c r="Q105" s="221"/>
      <c r="R105" s="55"/>
      <c r="S105" s="256"/>
      <c r="CV105" s="223"/>
      <c r="CW105" s="223"/>
      <c r="CX105" s="355"/>
      <c r="CY105" s="255"/>
      <c r="CZ105" s="255"/>
      <c r="DA105" s="255"/>
      <c r="DB105" s="255"/>
      <c r="DC105" s="255"/>
      <c r="DD105" s="255"/>
      <c r="DE105" s="255"/>
      <c r="DF105" s="255"/>
      <c r="DG105" s="255"/>
      <c r="DH105" s="255"/>
      <c r="DI105" s="255"/>
      <c r="DJ105" s="255"/>
      <c r="DK105" s="255"/>
      <c r="DL105" s="255"/>
      <c r="DM105" s="220"/>
      <c r="DN105" s="220"/>
      <c r="DO105" s="220"/>
    </row>
    <row r="106" spans="17:119" s="219" customFormat="1" x14ac:dyDescent="0.2">
      <c r="Q106" s="221"/>
      <c r="R106" s="55"/>
      <c r="S106" s="256"/>
      <c r="CV106" s="223"/>
      <c r="CW106" s="223"/>
      <c r="CX106" s="355"/>
      <c r="CY106" s="255"/>
      <c r="CZ106" s="255"/>
      <c r="DA106" s="255"/>
      <c r="DB106" s="255"/>
      <c r="DC106" s="255"/>
      <c r="DD106" s="255"/>
      <c r="DE106" s="255"/>
      <c r="DF106" s="255"/>
      <c r="DG106" s="255"/>
      <c r="DH106" s="255"/>
      <c r="DI106" s="255"/>
      <c r="DJ106" s="255"/>
      <c r="DK106" s="255"/>
      <c r="DL106" s="255"/>
      <c r="DM106" s="220"/>
      <c r="DN106" s="220"/>
      <c r="DO106" s="220"/>
    </row>
    <row r="107" spans="17:119" s="219" customFormat="1" x14ac:dyDescent="0.2">
      <c r="Q107" s="221"/>
      <c r="R107" s="55"/>
      <c r="S107" s="256"/>
      <c r="CV107" s="223"/>
      <c r="CW107" s="223"/>
      <c r="CX107" s="355"/>
      <c r="CY107" s="255"/>
      <c r="CZ107" s="255"/>
      <c r="DA107" s="255"/>
      <c r="DB107" s="255"/>
      <c r="DC107" s="255"/>
      <c r="DD107" s="255"/>
      <c r="DE107" s="255"/>
      <c r="DF107" s="255"/>
      <c r="DG107" s="255"/>
      <c r="DH107" s="255"/>
      <c r="DI107" s="255"/>
      <c r="DJ107" s="255"/>
      <c r="DK107" s="255"/>
      <c r="DL107" s="255"/>
      <c r="DM107" s="220"/>
      <c r="DN107" s="220"/>
      <c r="DO107" s="220"/>
    </row>
    <row r="108" spans="17:119" s="219" customFormat="1" x14ac:dyDescent="0.2">
      <c r="Q108" s="221"/>
      <c r="R108" s="55"/>
      <c r="S108" s="256"/>
      <c r="CV108" s="223"/>
      <c r="CW108" s="223"/>
      <c r="CX108" s="355"/>
      <c r="CY108" s="255"/>
      <c r="CZ108" s="255"/>
      <c r="DA108" s="255"/>
      <c r="DB108" s="255"/>
      <c r="DC108" s="255"/>
      <c r="DD108" s="255"/>
      <c r="DE108" s="255"/>
      <c r="DF108" s="255"/>
      <c r="DG108" s="255"/>
      <c r="DH108" s="255"/>
      <c r="DI108" s="255"/>
      <c r="DJ108" s="255"/>
      <c r="DK108" s="255"/>
      <c r="DL108" s="255"/>
      <c r="DM108" s="220"/>
      <c r="DN108" s="220"/>
      <c r="DO108" s="220"/>
    </row>
    <row r="109" spans="17:119" s="219" customFormat="1" x14ac:dyDescent="0.2">
      <c r="Q109" s="221"/>
      <c r="R109" s="55"/>
      <c r="S109" s="256"/>
      <c r="CV109" s="223"/>
      <c r="CW109" s="223"/>
      <c r="CX109" s="355"/>
      <c r="CY109" s="255"/>
      <c r="CZ109" s="255"/>
      <c r="DA109" s="255"/>
      <c r="DB109" s="255"/>
      <c r="DC109" s="255"/>
      <c r="DD109" s="255"/>
      <c r="DE109" s="255"/>
      <c r="DF109" s="255"/>
      <c r="DG109" s="255"/>
      <c r="DH109" s="255"/>
      <c r="DI109" s="255"/>
      <c r="DJ109" s="255"/>
      <c r="DK109" s="255"/>
      <c r="DL109" s="255"/>
      <c r="DM109" s="220"/>
      <c r="DN109" s="220"/>
      <c r="DO109" s="220"/>
    </row>
    <row r="110" spans="17:119" s="219" customFormat="1" x14ac:dyDescent="0.2">
      <c r="Q110" s="221"/>
      <c r="R110" s="55"/>
      <c r="S110" s="256"/>
      <c r="CV110" s="223"/>
      <c r="CW110" s="223"/>
      <c r="CX110" s="355"/>
      <c r="CY110" s="255"/>
      <c r="CZ110" s="255"/>
      <c r="DA110" s="255"/>
      <c r="DB110" s="255"/>
      <c r="DC110" s="255"/>
      <c r="DD110" s="255"/>
      <c r="DE110" s="255"/>
      <c r="DF110" s="255"/>
      <c r="DG110" s="255"/>
      <c r="DH110" s="255"/>
      <c r="DI110" s="255"/>
      <c r="DJ110" s="255"/>
      <c r="DK110" s="255"/>
      <c r="DL110" s="255"/>
      <c r="DM110" s="220"/>
      <c r="DN110" s="220"/>
      <c r="DO110" s="220"/>
    </row>
    <row r="111" spans="17:119" s="219" customFormat="1" x14ac:dyDescent="0.2">
      <c r="Q111" s="221"/>
      <c r="R111" s="55"/>
      <c r="S111" s="256"/>
      <c r="CV111" s="223"/>
      <c r="CW111" s="223"/>
      <c r="CX111" s="355"/>
      <c r="CY111" s="255"/>
      <c r="CZ111" s="255"/>
      <c r="DA111" s="255"/>
      <c r="DB111" s="255"/>
      <c r="DC111" s="255"/>
      <c r="DD111" s="255"/>
      <c r="DE111" s="255"/>
      <c r="DF111" s="255"/>
      <c r="DG111" s="255"/>
      <c r="DH111" s="255"/>
      <c r="DI111" s="255"/>
      <c r="DJ111" s="255"/>
      <c r="DK111" s="255"/>
      <c r="DL111" s="255"/>
      <c r="DM111" s="220"/>
      <c r="DN111" s="220"/>
      <c r="DO111" s="220"/>
    </row>
    <row r="112" spans="17:119" s="219" customFormat="1" x14ac:dyDescent="0.2">
      <c r="Q112" s="221"/>
      <c r="R112" s="55"/>
      <c r="S112" s="256"/>
      <c r="CV112" s="223"/>
      <c r="CW112" s="223"/>
      <c r="CX112" s="355"/>
      <c r="CY112" s="255"/>
      <c r="CZ112" s="255"/>
      <c r="DA112" s="255"/>
      <c r="DB112" s="255"/>
      <c r="DC112" s="255"/>
      <c r="DD112" s="255"/>
      <c r="DE112" s="255"/>
      <c r="DF112" s="255"/>
      <c r="DG112" s="255"/>
      <c r="DH112" s="255"/>
      <c r="DI112" s="255"/>
      <c r="DJ112" s="255"/>
      <c r="DK112" s="255"/>
      <c r="DL112" s="255"/>
      <c r="DM112" s="220"/>
      <c r="DN112" s="220"/>
      <c r="DO112" s="220"/>
    </row>
    <row r="113" spans="17:119" s="219" customFormat="1" x14ac:dyDescent="0.2">
      <c r="Q113" s="221"/>
      <c r="R113" s="55"/>
      <c r="S113" s="256"/>
      <c r="CV113" s="223"/>
      <c r="CW113" s="223"/>
      <c r="CX113" s="355"/>
      <c r="CY113" s="255"/>
      <c r="CZ113" s="255"/>
      <c r="DA113" s="255"/>
      <c r="DB113" s="255"/>
      <c r="DC113" s="255"/>
      <c r="DD113" s="255"/>
      <c r="DE113" s="255"/>
      <c r="DF113" s="255"/>
      <c r="DG113" s="255"/>
      <c r="DH113" s="255"/>
      <c r="DI113" s="255"/>
      <c r="DJ113" s="255"/>
      <c r="DK113" s="255"/>
      <c r="DL113" s="255"/>
      <c r="DM113" s="220"/>
      <c r="DN113" s="220"/>
      <c r="DO113" s="220"/>
    </row>
    <row r="114" spans="17:119" s="219" customFormat="1" x14ac:dyDescent="0.2">
      <c r="Q114" s="221"/>
      <c r="R114" s="55"/>
      <c r="S114" s="256"/>
      <c r="CV114" s="223"/>
      <c r="CW114" s="223"/>
      <c r="CX114" s="355"/>
      <c r="CY114" s="255"/>
      <c r="CZ114" s="255"/>
      <c r="DA114" s="255"/>
      <c r="DB114" s="255"/>
      <c r="DC114" s="255"/>
      <c r="DD114" s="255"/>
      <c r="DE114" s="255"/>
      <c r="DF114" s="255"/>
      <c r="DG114" s="255"/>
      <c r="DH114" s="255"/>
      <c r="DI114" s="255"/>
      <c r="DJ114" s="255"/>
      <c r="DK114" s="255"/>
      <c r="DL114" s="255"/>
      <c r="DM114" s="220"/>
      <c r="DN114" s="220"/>
      <c r="DO114" s="220"/>
    </row>
    <row r="115" spans="17:119" s="219" customFormat="1" x14ac:dyDescent="0.2">
      <c r="Q115" s="221"/>
      <c r="R115" s="55"/>
      <c r="S115" s="256"/>
      <c r="CV115" s="223"/>
      <c r="CW115" s="223"/>
      <c r="CX115" s="355"/>
      <c r="CY115" s="255"/>
      <c r="CZ115" s="255"/>
      <c r="DA115" s="255"/>
      <c r="DB115" s="255"/>
      <c r="DC115" s="255"/>
      <c r="DD115" s="255"/>
      <c r="DE115" s="255"/>
      <c r="DF115" s="255"/>
      <c r="DG115" s="255"/>
      <c r="DH115" s="255"/>
      <c r="DI115" s="255"/>
      <c r="DJ115" s="255"/>
      <c r="DK115" s="255"/>
      <c r="DL115" s="255"/>
      <c r="DM115" s="220"/>
      <c r="DN115" s="220"/>
      <c r="DO115" s="220"/>
    </row>
    <row r="116" spans="17:119" s="219" customFormat="1" x14ac:dyDescent="0.2">
      <c r="Q116" s="221"/>
      <c r="R116" s="55"/>
      <c r="S116" s="256"/>
      <c r="CV116" s="223"/>
      <c r="CW116" s="223"/>
      <c r="CX116" s="355"/>
      <c r="CY116" s="255"/>
      <c r="CZ116" s="255"/>
      <c r="DA116" s="255"/>
      <c r="DB116" s="255"/>
      <c r="DC116" s="255"/>
      <c r="DD116" s="255"/>
      <c r="DE116" s="255"/>
      <c r="DF116" s="255"/>
      <c r="DG116" s="255"/>
      <c r="DH116" s="255"/>
      <c r="DI116" s="255"/>
      <c r="DJ116" s="255"/>
      <c r="DK116" s="255"/>
      <c r="DL116" s="255"/>
      <c r="DM116" s="220"/>
      <c r="DN116" s="220"/>
      <c r="DO116" s="220"/>
    </row>
    <row r="117" spans="17:119" s="219" customFormat="1" x14ac:dyDescent="0.2">
      <c r="Q117" s="221"/>
      <c r="R117" s="55"/>
      <c r="S117" s="256"/>
      <c r="CV117" s="223"/>
      <c r="CW117" s="223"/>
      <c r="CX117" s="355"/>
      <c r="CY117" s="255"/>
      <c r="CZ117" s="255"/>
      <c r="DA117" s="255"/>
      <c r="DB117" s="255"/>
      <c r="DC117" s="255"/>
      <c r="DD117" s="255"/>
      <c r="DE117" s="255"/>
      <c r="DF117" s="255"/>
      <c r="DG117" s="255"/>
      <c r="DH117" s="255"/>
      <c r="DI117" s="255"/>
      <c r="DJ117" s="255"/>
      <c r="DK117" s="255"/>
      <c r="DL117" s="255"/>
      <c r="DM117" s="220"/>
      <c r="DN117" s="220"/>
      <c r="DO117" s="220"/>
    </row>
    <row r="118" spans="17:119" s="219" customFormat="1" x14ac:dyDescent="0.2">
      <c r="Q118" s="221"/>
      <c r="R118" s="55"/>
      <c r="S118" s="256"/>
      <c r="CV118" s="223"/>
      <c r="CW118" s="223"/>
      <c r="CX118" s="355"/>
      <c r="CY118" s="255"/>
      <c r="CZ118" s="255"/>
      <c r="DA118" s="255"/>
      <c r="DB118" s="255"/>
      <c r="DC118" s="255"/>
      <c r="DD118" s="255"/>
      <c r="DE118" s="255"/>
      <c r="DF118" s="255"/>
      <c r="DG118" s="255"/>
      <c r="DH118" s="255"/>
      <c r="DI118" s="255"/>
      <c r="DJ118" s="255"/>
      <c r="DK118" s="255"/>
      <c r="DL118" s="255"/>
      <c r="DM118" s="220"/>
      <c r="DN118" s="220"/>
      <c r="DO118" s="220"/>
    </row>
    <row r="119" spans="17:119" s="219" customFormat="1" x14ac:dyDescent="0.2">
      <c r="Q119" s="221"/>
      <c r="R119" s="55"/>
      <c r="S119" s="256"/>
      <c r="CV119" s="223"/>
      <c r="CW119" s="223"/>
      <c r="CX119" s="355"/>
      <c r="CY119" s="255"/>
      <c r="CZ119" s="255"/>
      <c r="DA119" s="255"/>
      <c r="DB119" s="255"/>
      <c r="DC119" s="255"/>
      <c r="DD119" s="255"/>
      <c r="DE119" s="255"/>
      <c r="DF119" s="255"/>
      <c r="DG119" s="255"/>
      <c r="DH119" s="255"/>
      <c r="DI119" s="255"/>
      <c r="DJ119" s="255"/>
      <c r="DK119" s="255"/>
      <c r="DL119" s="255"/>
      <c r="DM119" s="220"/>
      <c r="DN119" s="220"/>
      <c r="DO119" s="220"/>
    </row>
    <row r="120" spans="17:119" s="219" customFormat="1" x14ac:dyDescent="0.2">
      <c r="Q120" s="221"/>
      <c r="R120" s="55"/>
      <c r="S120" s="256"/>
      <c r="CV120" s="223"/>
      <c r="CW120" s="223"/>
      <c r="CX120" s="355"/>
      <c r="CY120" s="255"/>
      <c r="CZ120" s="255"/>
      <c r="DA120" s="255"/>
      <c r="DB120" s="255"/>
      <c r="DC120" s="255"/>
      <c r="DD120" s="255"/>
      <c r="DE120" s="255"/>
      <c r="DF120" s="255"/>
      <c r="DG120" s="255"/>
      <c r="DH120" s="255"/>
      <c r="DI120" s="255"/>
      <c r="DJ120" s="255"/>
      <c r="DK120" s="255"/>
      <c r="DL120" s="255"/>
      <c r="DM120" s="220"/>
      <c r="DN120" s="220"/>
      <c r="DO120" s="220"/>
    </row>
    <row r="121" spans="17:119" s="219" customFormat="1" x14ac:dyDescent="0.2">
      <c r="Q121" s="221"/>
      <c r="R121" s="55"/>
      <c r="S121" s="256"/>
      <c r="CV121" s="223"/>
      <c r="CW121" s="223"/>
      <c r="CX121" s="355"/>
      <c r="CY121" s="255"/>
      <c r="CZ121" s="255"/>
      <c r="DA121" s="255"/>
      <c r="DB121" s="255"/>
      <c r="DC121" s="255"/>
      <c r="DD121" s="255"/>
      <c r="DE121" s="255"/>
      <c r="DF121" s="255"/>
      <c r="DG121" s="255"/>
      <c r="DH121" s="255"/>
      <c r="DI121" s="255"/>
      <c r="DJ121" s="255"/>
      <c r="DK121" s="255"/>
      <c r="DL121" s="255"/>
      <c r="DM121" s="220"/>
      <c r="DN121" s="220"/>
      <c r="DO121" s="220"/>
    </row>
    <row r="122" spans="17:119" s="219" customFormat="1" x14ac:dyDescent="0.2">
      <c r="Q122" s="221"/>
      <c r="R122" s="55"/>
      <c r="S122" s="256"/>
      <c r="CV122" s="223"/>
      <c r="CW122" s="223"/>
      <c r="CX122" s="355"/>
      <c r="CY122" s="255"/>
      <c r="CZ122" s="255"/>
      <c r="DA122" s="255"/>
      <c r="DB122" s="255"/>
      <c r="DC122" s="255"/>
      <c r="DD122" s="255"/>
      <c r="DE122" s="255"/>
      <c r="DF122" s="255"/>
      <c r="DG122" s="255"/>
      <c r="DH122" s="255"/>
      <c r="DI122" s="255"/>
      <c r="DJ122" s="255"/>
      <c r="DK122" s="255"/>
      <c r="DL122" s="255"/>
      <c r="DM122" s="220"/>
      <c r="DN122" s="220"/>
      <c r="DO122" s="220"/>
    </row>
    <row r="123" spans="17:119" s="219" customFormat="1" x14ac:dyDescent="0.2">
      <c r="Q123" s="221"/>
      <c r="R123" s="55"/>
      <c r="S123" s="256"/>
      <c r="CV123" s="223"/>
      <c r="CW123" s="223"/>
      <c r="CX123" s="355"/>
      <c r="CY123" s="255"/>
      <c r="CZ123" s="255"/>
      <c r="DA123" s="255"/>
      <c r="DB123" s="255"/>
      <c r="DC123" s="255"/>
      <c r="DD123" s="255"/>
      <c r="DE123" s="255"/>
      <c r="DF123" s="255"/>
      <c r="DG123" s="255"/>
      <c r="DH123" s="255"/>
      <c r="DI123" s="255"/>
      <c r="DJ123" s="255"/>
      <c r="DK123" s="255"/>
      <c r="DL123" s="255"/>
      <c r="DM123" s="220"/>
      <c r="DN123" s="220"/>
      <c r="DO123" s="220"/>
    </row>
    <row r="124" spans="17:119" s="219" customFormat="1" x14ac:dyDescent="0.2">
      <c r="Q124" s="221"/>
      <c r="R124" s="55"/>
      <c r="S124" s="256"/>
      <c r="CV124" s="223"/>
      <c r="CW124" s="223"/>
      <c r="CX124" s="355"/>
      <c r="CY124" s="255"/>
      <c r="CZ124" s="255"/>
      <c r="DA124" s="255"/>
      <c r="DB124" s="255"/>
      <c r="DC124" s="255"/>
      <c r="DD124" s="255"/>
      <c r="DE124" s="255"/>
      <c r="DF124" s="255"/>
      <c r="DG124" s="255"/>
      <c r="DH124" s="255"/>
      <c r="DI124" s="255"/>
      <c r="DJ124" s="255"/>
      <c r="DK124" s="255"/>
      <c r="DL124" s="255"/>
      <c r="DM124" s="220"/>
      <c r="DN124" s="220"/>
      <c r="DO124" s="220"/>
    </row>
    <row r="125" spans="17:119" s="219" customFormat="1" x14ac:dyDescent="0.2">
      <c r="Q125" s="221"/>
      <c r="R125" s="55"/>
      <c r="S125" s="256"/>
      <c r="CV125" s="223"/>
      <c r="CW125" s="223"/>
      <c r="CX125" s="355"/>
      <c r="CY125" s="255"/>
      <c r="CZ125" s="255"/>
      <c r="DA125" s="255"/>
      <c r="DB125" s="255"/>
      <c r="DC125" s="255"/>
      <c r="DD125" s="255"/>
      <c r="DE125" s="255"/>
      <c r="DF125" s="255"/>
      <c r="DG125" s="255"/>
      <c r="DH125" s="255"/>
      <c r="DI125" s="255"/>
      <c r="DJ125" s="255"/>
      <c r="DK125" s="255"/>
      <c r="DL125" s="255"/>
      <c r="DM125" s="220"/>
      <c r="DN125" s="220"/>
      <c r="DO125" s="220"/>
    </row>
    <row r="126" spans="17:119" s="219" customFormat="1" x14ac:dyDescent="0.2">
      <c r="Q126" s="221"/>
      <c r="R126" s="55"/>
      <c r="S126" s="256"/>
      <c r="CV126" s="223"/>
      <c r="CW126" s="223"/>
      <c r="CX126" s="355"/>
      <c r="CY126" s="255"/>
      <c r="CZ126" s="255"/>
      <c r="DA126" s="255"/>
      <c r="DB126" s="255"/>
      <c r="DC126" s="255"/>
      <c r="DD126" s="255"/>
      <c r="DE126" s="255"/>
      <c r="DF126" s="255"/>
      <c r="DG126" s="255"/>
      <c r="DH126" s="255"/>
      <c r="DI126" s="255"/>
      <c r="DJ126" s="255"/>
      <c r="DK126" s="255"/>
      <c r="DL126" s="255"/>
      <c r="DM126" s="220"/>
      <c r="DN126" s="220"/>
      <c r="DO126" s="220"/>
    </row>
    <row r="127" spans="17:119" s="219" customFormat="1" x14ac:dyDescent="0.2">
      <c r="Q127" s="221"/>
      <c r="R127" s="55"/>
      <c r="S127" s="232"/>
      <c r="CV127" s="223"/>
      <c r="CW127" s="223"/>
      <c r="CX127" s="355"/>
      <c r="CY127" s="255"/>
      <c r="CZ127" s="255"/>
      <c r="DA127" s="255"/>
      <c r="DB127" s="255"/>
      <c r="DC127" s="255"/>
      <c r="DD127" s="255"/>
      <c r="DE127" s="255"/>
      <c r="DF127" s="255"/>
      <c r="DG127" s="255"/>
      <c r="DH127" s="255"/>
      <c r="DI127" s="255"/>
      <c r="DJ127" s="255"/>
      <c r="DK127" s="255"/>
      <c r="DL127" s="255"/>
      <c r="DM127" s="220"/>
      <c r="DN127" s="220"/>
      <c r="DO127" s="220"/>
    </row>
    <row r="128" spans="17:119" s="219" customFormat="1" x14ac:dyDescent="0.2">
      <c r="Q128" s="221"/>
      <c r="R128" s="55"/>
      <c r="S128" s="232"/>
      <c r="CV128" s="223"/>
      <c r="CW128" s="223"/>
      <c r="CX128" s="355"/>
      <c r="CY128" s="255"/>
      <c r="CZ128" s="255"/>
      <c r="DA128" s="255"/>
      <c r="DB128" s="255"/>
      <c r="DC128" s="255"/>
      <c r="DD128" s="255"/>
      <c r="DE128" s="255"/>
      <c r="DF128" s="255"/>
      <c r="DG128" s="255"/>
      <c r="DH128" s="255"/>
      <c r="DI128" s="255"/>
      <c r="DJ128" s="255"/>
      <c r="DK128" s="255"/>
      <c r="DL128" s="255"/>
      <c r="DM128" s="220"/>
      <c r="DN128" s="220"/>
      <c r="DO128" s="220"/>
    </row>
    <row r="129" spans="2:17" x14ac:dyDescent="0.2">
      <c r="B129" s="219"/>
      <c r="C129" s="219"/>
      <c r="D129" s="219"/>
      <c r="E129" s="219"/>
      <c r="F129" s="219"/>
      <c r="G129" s="219"/>
      <c r="H129" s="219"/>
      <c r="I129" s="219"/>
      <c r="J129" s="219"/>
      <c r="K129" s="219"/>
      <c r="L129" s="219"/>
      <c r="M129" s="219"/>
      <c r="N129" s="219"/>
      <c r="O129" s="219"/>
      <c r="P129" s="219"/>
      <c r="Q129" s="221"/>
    </row>
    <row r="130" spans="2:17" x14ac:dyDescent="0.2">
      <c r="B130" s="219"/>
      <c r="C130" s="219"/>
      <c r="D130" s="219"/>
      <c r="E130" s="219"/>
      <c r="F130" s="219"/>
      <c r="G130" s="219"/>
      <c r="H130" s="219"/>
      <c r="I130" s="219"/>
      <c r="J130" s="219"/>
      <c r="K130" s="219"/>
      <c r="L130" s="219"/>
      <c r="M130" s="219"/>
      <c r="N130" s="219"/>
      <c r="O130" s="219"/>
      <c r="P130" s="219"/>
      <c r="Q130" s="221"/>
    </row>
    <row r="131" spans="2:17" x14ac:dyDescent="0.2">
      <c r="B131" s="219"/>
      <c r="C131" s="219"/>
      <c r="D131" s="219"/>
      <c r="E131" s="219"/>
      <c r="F131" s="219"/>
      <c r="G131" s="219"/>
      <c r="H131" s="219"/>
      <c r="I131" s="219"/>
      <c r="J131" s="219"/>
      <c r="K131" s="219"/>
      <c r="L131" s="219"/>
      <c r="M131" s="219"/>
      <c r="N131" s="219"/>
      <c r="O131" s="219"/>
      <c r="P131" s="219"/>
      <c r="Q131" s="221"/>
    </row>
    <row r="132" spans="2:17" x14ac:dyDescent="0.2">
      <c r="B132" s="219"/>
      <c r="C132" s="219"/>
      <c r="D132" s="219"/>
      <c r="E132" s="219"/>
      <c r="F132" s="219"/>
      <c r="G132" s="219"/>
      <c r="H132" s="219"/>
      <c r="I132" s="219"/>
      <c r="J132" s="219"/>
      <c r="K132" s="219"/>
      <c r="L132" s="219"/>
      <c r="M132" s="219"/>
      <c r="N132" s="219"/>
      <c r="O132" s="219"/>
      <c r="P132" s="219"/>
      <c r="Q132" s="221"/>
    </row>
    <row r="133" spans="2:17" x14ac:dyDescent="0.2">
      <c r="B133" s="219"/>
      <c r="C133" s="219"/>
      <c r="D133" s="219"/>
      <c r="E133" s="219"/>
      <c r="F133" s="219"/>
      <c r="G133" s="219"/>
      <c r="H133" s="219"/>
      <c r="I133" s="219"/>
      <c r="J133" s="219"/>
      <c r="K133" s="219"/>
      <c r="L133" s="219"/>
      <c r="M133" s="219"/>
      <c r="N133" s="219"/>
      <c r="O133" s="219"/>
      <c r="P133" s="219"/>
      <c r="Q133" s="221"/>
    </row>
    <row r="134" spans="2:17" x14ac:dyDescent="0.2">
      <c r="B134" s="219"/>
      <c r="C134" s="219"/>
      <c r="D134" s="219"/>
      <c r="E134" s="219"/>
      <c r="F134" s="219"/>
      <c r="G134" s="219"/>
      <c r="H134" s="219"/>
      <c r="I134" s="219"/>
      <c r="J134" s="219"/>
      <c r="K134" s="219"/>
      <c r="L134" s="219"/>
      <c r="M134" s="219"/>
      <c r="N134" s="219"/>
      <c r="O134" s="219"/>
      <c r="P134" s="219"/>
      <c r="Q134" s="221"/>
    </row>
    <row r="135" spans="2:17" x14ac:dyDescent="0.2">
      <c r="B135" s="219"/>
      <c r="C135" s="219"/>
      <c r="D135" s="219"/>
      <c r="E135" s="219"/>
      <c r="F135" s="219"/>
      <c r="G135" s="219"/>
      <c r="H135" s="219"/>
      <c r="I135" s="219"/>
      <c r="J135" s="219"/>
      <c r="K135" s="219"/>
      <c r="L135" s="219"/>
      <c r="M135" s="219"/>
      <c r="N135" s="219"/>
      <c r="O135" s="219"/>
      <c r="P135" s="219"/>
      <c r="Q135" s="221"/>
    </row>
    <row r="136" spans="2:17" x14ac:dyDescent="0.2">
      <c r="B136" s="219"/>
      <c r="C136" s="219"/>
      <c r="D136" s="219"/>
      <c r="E136" s="219"/>
      <c r="F136" s="219"/>
      <c r="G136" s="219"/>
      <c r="H136" s="219"/>
      <c r="I136" s="219"/>
      <c r="J136" s="219"/>
      <c r="K136" s="219"/>
      <c r="L136" s="219"/>
      <c r="M136" s="219"/>
      <c r="N136" s="219"/>
      <c r="O136" s="219"/>
      <c r="P136" s="219"/>
      <c r="Q136" s="221"/>
    </row>
    <row r="137" spans="2:17" x14ac:dyDescent="0.2">
      <c r="B137" s="219"/>
      <c r="C137" s="219"/>
      <c r="D137" s="219"/>
      <c r="E137" s="219"/>
      <c r="F137" s="219"/>
      <c r="G137" s="219"/>
      <c r="H137" s="219"/>
      <c r="I137" s="219"/>
      <c r="J137" s="219"/>
      <c r="K137" s="219"/>
      <c r="L137" s="219"/>
      <c r="M137" s="219"/>
      <c r="N137" s="219"/>
      <c r="O137" s="219"/>
      <c r="P137" s="219"/>
      <c r="Q137" s="221"/>
    </row>
    <row r="138" spans="2:17" x14ac:dyDescent="0.2">
      <c r="B138" s="219"/>
      <c r="C138" s="219"/>
      <c r="D138" s="219"/>
      <c r="E138" s="219"/>
      <c r="F138" s="219"/>
      <c r="G138" s="219"/>
      <c r="H138" s="219"/>
      <c r="I138" s="219"/>
      <c r="J138" s="219"/>
      <c r="K138" s="219"/>
      <c r="L138" s="219"/>
      <c r="M138" s="219"/>
      <c r="N138" s="219"/>
      <c r="O138" s="219"/>
      <c r="P138" s="219"/>
      <c r="Q138" s="221"/>
    </row>
    <row r="139" spans="2:17" x14ac:dyDescent="0.2">
      <c r="B139" s="219"/>
      <c r="C139" s="219"/>
      <c r="D139" s="219"/>
      <c r="E139" s="219"/>
      <c r="F139" s="219"/>
      <c r="G139" s="219"/>
      <c r="H139" s="219"/>
      <c r="I139" s="219"/>
      <c r="J139" s="219"/>
      <c r="K139" s="219"/>
      <c r="L139" s="219"/>
      <c r="M139" s="219"/>
      <c r="N139" s="219"/>
      <c r="O139" s="219"/>
      <c r="P139" s="219"/>
      <c r="Q139" s="221"/>
    </row>
    <row r="140" spans="2:17" x14ac:dyDescent="0.2">
      <c r="B140" s="219"/>
      <c r="C140" s="219"/>
      <c r="D140" s="219"/>
      <c r="E140" s="219"/>
      <c r="F140" s="219"/>
      <c r="G140" s="219"/>
      <c r="H140" s="219"/>
      <c r="I140" s="219"/>
      <c r="J140" s="219"/>
      <c r="K140" s="219"/>
      <c r="L140" s="219"/>
      <c r="M140" s="219"/>
      <c r="N140" s="219"/>
      <c r="O140" s="219"/>
      <c r="P140" s="219"/>
      <c r="Q140" s="221"/>
    </row>
    <row r="141" spans="2:17" x14ac:dyDescent="0.2">
      <c r="B141" s="219"/>
      <c r="C141" s="219"/>
      <c r="D141" s="219"/>
      <c r="E141" s="219"/>
      <c r="F141" s="219"/>
      <c r="G141" s="219"/>
      <c r="H141" s="219"/>
      <c r="I141" s="219"/>
      <c r="J141" s="219"/>
      <c r="K141" s="219"/>
      <c r="L141" s="219"/>
      <c r="M141" s="219"/>
      <c r="N141" s="219"/>
      <c r="O141" s="219"/>
      <c r="P141" s="219"/>
      <c r="Q141" s="221"/>
    </row>
    <row r="142" spans="2:17" x14ac:dyDescent="0.2">
      <c r="B142" s="219"/>
      <c r="C142" s="219"/>
      <c r="D142" s="219"/>
      <c r="E142" s="219"/>
      <c r="F142" s="219"/>
      <c r="G142" s="219"/>
      <c r="H142" s="219"/>
      <c r="I142" s="219"/>
      <c r="J142" s="219"/>
      <c r="K142" s="219"/>
      <c r="L142" s="219"/>
      <c r="M142" s="219"/>
      <c r="N142" s="219"/>
      <c r="O142" s="219"/>
      <c r="P142" s="219"/>
      <c r="Q142" s="221"/>
    </row>
    <row r="143" spans="2:17" x14ac:dyDescent="0.2">
      <c r="B143" s="219"/>
      <c r="C143" s="219"/>
      <c r="D143" s="219"/>
      <c r="E143" s="219"/>
      <c r="F143" s="219"/>
      <c r="G143" s="219"/>
      <c r="H143" s="219"/>
      <c r="I143" s="219"/>
      <c r="J143" s="219"/>
      <c r="K143" s="219"/>
      <c r="L143" s="219"/>
      <c r="M143" s="219"/>
      <c r="N143" s="219"/>
      <c r="O143" s="219"/>
      <c r="P143" s="219"/>
      <c r="Q143" s="221"/>
    </row>
    <row r="144" spans="2:17" x14ac:dyDescent="0.2">
      <c r="B144" s="219"/>
      <c r="C144" s="219"/>
      <c r="D144" s="219"/>
      <c r="E144" s="219"/>
      <c r="F144" s="219"/>
      <c r="G144" s="219"/>
      <c r="H144" s="219"/>
      <c r="I144" s="219"/>
      <c r="J144" s="219"/>
      <c r="K144" s="219"/>
      <c r="L144" s="219"/>
      <c r="M144" s="219"/>
      <c r="N144" s="219"/>
      <c r="O144" s="219"/>
      <c r="P144" s="219"/>
      <c r="Q144" s="221"/>
    </row>
    <row r="145" spans="2:17" x14ac:dyDescent="0.2">
      <c r="B145" s="219"/>
      <c r="C145" s="219"/>
      <c r="D145" s="219"/>
      <c r="E145" s="219"/>
      <c r="F145" s="219"/>
      <c r="G145" s="219"/>
      <c r="H145" s="219"/>
      <c r="I145" s="219"/>
      <c r="J145" s="219"/>
      <c r="K145" s="219"/>
      <c r="L145" s="219"/>
      <c r="M145" s="219"/>
      <c r="N145" s="219"/>
      <c r="O145" s="219"/>
      <c r="P145" s="219"/>
      <c r="Q145" s="221"/>
    </row>
    <row r="146" spans="2:17" x14ac:dyDescent="0.2">
      <c r="B146" s="219"/>
      <c r="C146" s="219"/>
      <c r="D146" s="219"/>
      <c r="E146" s="219"/>
      <c r="F146" s="219"/>
      <c r="G146" s="219"/>
      <c r="H146" s="219"/>
      <c r="I146" s="219"/>
      <c r="J146" s="219"/>
      <c r="K146" s="219"/>
      <c r="L146" s="219"/>
      <c r="M146" s="219"/>
      <c r="N146" s="219"/>
      <c r="O146" s="219"/>
      <c r="P146" s="219"/>
      <c r="Q146" s="221"/>
    </row>
    <row r="147" spans="2:17" x14ac:dyDescent="0.2">
      <c r="B147" s="219"/>
      <c r="C147" s="219"/>
      <c r="D147" s="219"/>
      <c r="E147" s="219"/>
      <c r="F147" s="219"/>
      <c r="G147" s="219"/>
      <c r="H147" s="219"/>
      <c r="I147" s="219"/>
      <c r="J147" s="219"/>
      <c r="K147" s="219"/>
      <c r="L147" s="219"/>
      <c r="M147" s="219"/>
      <c r="N147" s="219"/>
      <c r="O147" s="219"/>
      <c r="P147" s="219"/>
      <c r="Q147" s="221"/>
    </row>
    <row r="148" spans="2:17" x14ac:dyDescent="0.2">
      <c r="B148" s="219"/>
      <c r="C148" s="219"/>
      <c r="D148" s="219"/>
      <c r="E148" s="219"/>
      <c r="F148" s="219"/>
      <c r="G148" s="219"/>
      <c r="H148" s="219"/>
      <c r="I148" s="219"/>
      <c r="J148" s="219"/>
      <c r="K148" s="219"/>
      <c r="L148" s="219"/>
      <c r="M148" s="219"/>
      <c r="N148" s="219"/>
      <c r="O148" s="219"/>
      <c r="P148" s="219"/>
      <c r="Q148" s="221"/>
    </row>
    <row r="149" spans="2:17" x14ac:dyDescent="0.2">
      <c r="B149" s="219"/>
      <c r="C149" s="219"/>
      <c r="D149" s="219"/>
      <c r="E149" s="219"/>
      <c r="F149" s="219"/>
      <c r="G149" s="219"/>
      <c r="H149" s="219"/>
      <c r="I149" s="219"/>
      <c r="J149" s="219"/>
      <c r="K149" s="219"/>
      <c r="L149" s="219"/>
      <c r="M149" s="219"/>
      <c r="N149" s="219"/>
      <c r="O149" s="219"/>
      <c r="P149" s="219"/>
      <c r="Q149" s="221"/>
    </row>
    <row r="150" spans="2:17" x14ac:dyDescent="0.2">
      <c r="B150" s="219"/>
      <c r="C150" s="219"/>
      <c r="D150" s="219"/>
      <c r="E150" s="219"/>
      <c r="F150" s="219"/>
      <c r="G150" s="219"/>
      <c r="H150" s="219"/>
      <c r="I150" s="219"/>
      <c r="J150" s="219"/>
      <c r="K150" s="219"/>
      <c r="L150" s="219"/>
      <c r="M150" s="219"/>
      <c r="N150" s="219"/>
      <c r="O150" s="219"/>
      <c r="P150" s="219"/>
      <c r="Q150" s="221"/>
    </row>
    <row r="151" spans="2:17" x14ac:dyDescent="0.2">
      <c r="B151" s="219"/>
      <c r="C151" s="219"/>
      <c r="D151" s="219"/>
      <c r="E151" s="219"/>
      <c r="F151" s="219"/>
      <c r="G151" s="219"/>
      <c r="H151" s="219"/>
      <c r="I151" s="219"/>
      <c r="J151" s="219"/>
      <c r="K151" s="219"/>
      <c r="L151" s="219"/>
      <c r="M151" s="219"/>
      <c r="N151" s="219"/>
      <c r="O151" s="219"/>
      <c r="P151" s="219"/>
      <c r="Q151" s="221"/>
    </row>
    <row r="152" spans="2:17" x14ac:dyDescent="0.2">
      <c r="B152" s="219"/>
      <c r="C152" s="219"/>
      <c r="D152" s="219"/>
      <c r="E152" s="219"/>
      <c r="F152" s="219"/>
      <c r="G152" s="219"/>
      <c r="H152" s="219"/>
      <c r="I152" s="219"/>
      <c r="J152" s="219"/>
      <c r="K152" s="219"/>
      <c r="L152" s="219"/>
      <c r="M152" s="219"/>
      <c r="N152" s="219"/>
      <c r="O152" s="219"/>
      <c r="P152" s="219"/>
      <c r="Q152" s="221"/>
    </row>
    <row r="153" spans="2:17" x14ac:dyDescent="0.2">
      <c r="B153" s="219"/>
      <c r="C153" s="219"/>
      <c r="D153" s="219"/>
      <c r="E153" s="219"/>
      <c r="F153" s="219"/>
      <c r="G153" s="219"/>
      <c r="H153" s="219"/>
      <c r="I153" s="219"/>
      <c r="J153" s="219"/>
      <c r="K153" s="219"/>
      <c r="L153" s="219"/>
      <c r="M153" s="219"/>
      <c r="N153" s="219"/>
      <c r="O153" s="219"/>
      <c r="P153" s="219"/>
      <c r="Q153" s="221"/>
    </row>
    <row r="154" spans="2:17" x14ac:dyDescent="0.2">
      <c r="B154" s="219"/>
      <c r="C154" s="219"/>
      <c r="D154" s="219"/>
      <c r="E154" s="219"/>
      <c r="F154" s="219"/>
      <c r="G154" s="219"/>
      <c r="H154" s="219"/>
      <c r="I154" s="219"/>
      <c r="J154" s="219"/>
      <c r="K154" s="219"/>
      <c r="L154" s="219"/>
      <c r="M154" s="219"/>
      <c r="N154" s="219"/>
      <c r="O154" s="219"/>
      <c r="P154" s="219"/>
      <c r="Q154" s="221"/>
    </row>
    <row r="155" spans="2:17" x14ac:dyDescent="0.2">
      <c r="B155" s="219"/>
      <c r="C155" s="219"/>
      <c r="D155" s="219"/>
      <c r="E155" s="219"/>
      <c r="F155" s="219"/>
      <c r="G155" s="219"/>
      <c r="H155" s="219"/>
      <c r="I155" s="219"/>
      <c r="J155" s="219"/>
      <c r="K155" s="219"/>
      <c r="L155" s="219"/>
      <c r="M155" s="219"/>
      <c r="N155" s="219"/>
      <c r="O155" s="219"/>
      <c r="P155" s="219"/>
      <c r="Q155" s="221"/>
    </row>
    <row r="156" spans="2:17" x14ac:dyDescent="0.2">
      <c r="B156" s="219"/>
      <c r="C156" s="219"/>
      <c r="D156" s="219"/>
      <c r="E156" s="219"/>
      <c r="F156" s="219"/>
      <c r="G156" s="219"/>
      <c r="H156" s="219"/>
      <c r="I156" s="219"/>
      <c r="J156" s="219"/>
      <c r="K156" s="219"/>
      <c r="L156" s="219"/>
      <c r="M156" s="219"/>
      <c r="N156" s="219"/>
      <c r="O156" s="219"/>
      <c r="P156" s="219"/>
      <c r="Q156" s="221"/>
    </row>
    <row r="157" spans="2:17" x14ac:dyDescent="0.2">
      <c r="B157" s="219"/>
      <c r="C157" s="219"/>
      <c r="D157" s="219"/>
      <c r="E157" s="219"/>
      <c r="F157" s="219"/>
      <c r="G157" s="219"/>
      <c r="H157" s="219"/>
      <c r="I157" s="219"/>
      <c r="J157" s="219"/>
      <c r="K157" s="219"/>
      <c r="L157" s="219"/>
      <c r="M157" s="219"/>
      <c r="N157" s="219"/>
      <c r="O157" s="219"/>
      <c r="P157" s="219"/>
      <c r="Q157" s="221"/>
    </row>
    <row r="158" spans="2:17" x14ac:dyDescent="0.2">
      <c r="B158" s="219"/>
      <c r="C158" s="219"/>
      <c r="D158" s="219"/>
      <c r="E158" s="219"/>
      <c r="F158" s="219"/>
      <c r="G158" s="219"/>
      <c r="H158" s="219"/>
      <c r="I158" s="219"/>
      <c r="J158" s="219"/>
      <c r="K158" s="219"/>
      <c r="L158" s="219"/>
      <c r="M158" s="219"/>
      <c r="N158" s="219"/>
      <c r="O158" s="219"/>
      <c r="P158" s="219"/>
      <c r="Q158" s="221"/>
    </row>
    <row r="159" spans="2:17" x14ac:dyDescent="0.2">
      <c r="B159" s="219"/>
      <c r="C159" s="219"/>
      <c r="D159" s="219"/>
      <c r="E159" s="219"/>
      <c r="F159" s="219"/>
      <c r="G159" s="219"/>
      <c r="H159" s="219"/>
      <c r="I159" s="219"/>
      <c r="J159" s="219"/>
      <c r="K159" s="219"/>
      <c r="L159" s="219"/>
      <c r="M159" s="219"/>
      <c r="N159" s="219"/>
      <c r="O159" s="219"/>
      <c r="P159" s="219"/>
      <c r="Q159" s="221"/>
    </row>
    <row r="160" spans="2:17" x14ac:dyDescent="0.2">
      <c r="B160" s="219"/>
      <c r="C160" s="219"/>
      <c r="D160" s="219"/>
      <c r="E160" s="219"/>
      <c r="F160" s="219"/>
      <c r="G160" s="219"/>
      <c r="H160" s="219"/>
      <c r="I160" s="219"/>
      <c r="J160" s="219"/>
      <c r="K160" s="219"/>
      <c r="L160" s="219"/>
      <c r="M160" s="219"/>
      <c r="N160" s="219"/>
      <c r="O160" s="219"/>
      <c r="P160" s="219"/>
      <c r="Q160" s="221"/>
    </row>
    <row r="161" spans="2:36" x14ac:dyDescent="0.2">
      <c r="B161" s="219"/>
      <c r="C161" s="219"/>
      <c r="D161" s="219"/>
      <c r="E161" s="219"/>
      <c r="F161" s="219"/>
      <c r="G161" s="219"/>
      <c r="H161" s="219"/>
      <c r="I161" s="219"/>
      <c r="J161" s="219"/>
      <c r="K161" s="219"/>
      <c r="L161" s="219"/>
      <c r="M161" s="219"/>
      <c r="N161" s="219"/>
      <c r="O161" s="219"/>
      <c r="P161" s="219"/>
      <c r="Q161" s="221"/>
    </row>
    <row r="162" spans="2:36" x14ac:dyDescent="0.2">
      <c r="B162" s="219"/>
      <c r="C162" s="219"/>
      <c r="D162" s="219"/>
      <c r="E162" s="219"/>
      <c r="F162" s="219"/>
      <c r="G162" s="219"/>
      <c r="H162" s="219"/>
      <c r="I162" s="219"/>
      <c r="J162" s="219"/>
      <c r="K162" s="219"/>
      <c r="L162" s="219"/>
      <c r="M162" s="219"/>
      <c r="N162" s="219"/>
      <c r="O162" s="219"/>
      <c r="P162" s="219"/>
      <c r="Q162" s="221"/>
    </row>
    <row r="163" spans="2:36" x14ac:dyDescent="0.2">
      <c r="B163" s="219"/>
      <c r="C163" s="219"/>
      <c r="D163" s="219"/>
      <c r="E163" s="219"/>
      <c r="F163" s="219"/>
      <c r="G163" s="219"/>
      <c r="H163" s="219"/>
      <c r="I163" s="219"/>
      <c r="J163" s="219"/>
      <c r="K163" s="219"/>
      <c r="L163" s="219"/>
      <c r="M163" s="219"/>
      <c r="N163" s="219"/>
      <c r="O163" s="219"/>
      <c r="P163" s="219"/>
      <c r="Q163" s="221"/>
    </row>
    <row r="164" spans="2:36" x14ac:dyDescent="0.2">
      <c r="B164" s="219"/>
      <c r="C164" s="219"/>
      <c r="D164" s="219"/>
      <c r="E164" s="219"/>
      <c r="F164" s="219"/>
      <c r="G164" s="219"/>
      <c r="H164" s="219"/>
      <c r="I164" s="219"/>
      <c r="J164" s="219"/>
      <c r="K164" s="219"/>
      <c r="L164" s="219"/>
      <c r="M164" s="219"/>
      <c r="N164" s="219"/>
      <c r="O164" s="219"/>
      <c r="P164" s="219"/>
      <c r="Q164" s="221"/>
    </row>
    <row r="165" spans="2:36" x14ac:dyDescent="0.2">
      <c r="B165" s="219"/>
      <c r="C165" s="219"/>
      <c r="D165" s="219"/>
      <c r="E165" s="219"/>
      <c r="F165" s="219"/>
      <c r="G165" s="219"/>
      <c r="H165" s="219"/>
      <c r="I165" s="219"/>
      <c r="J165" s="219"/>
      <c r="K165" s="219"/>
      <c r="L165" s="219"/>
      <c r="M165" s="219"/>
      <c r="N165" s="219"/>
      <c r="O165" s="219"/>
      <c r="P165" s="219"/>
      <c r="Q165" s="221"/>
    </row>
    <row r="166" spans="2:36" x14ac:dyDescent="0.2">
      <c r="B166" s="219"/>
      <c r="C166" s="219"/>
      <c r="D166" s="219"/>
      <c r="E166" s="219"/>
      <c r="F166" s="219"/>
      <c r="G166" s="219"/>
      <c r="H166" s="219"/>
      <c r="I166" s="219"/>
      <c r="J166" s="219"/>
      <c r="K166" s="219"/>
      <c r="L166" s="219"/>
      <c r="M166" s="219"/>
      <c r="N166" s="219"/>
      <c r="O166" s="219"/>
      <c r="P166" s="219"/>
      <c r="Q166" s="221"/>
    </row>
    <row r="167" spans="2:36" x14ac:dyDescent="0.2">
      <c r="B167" s="219"/>
      <c r="C167" s="219"/>
      <c r="D167" s="219"/>
      <c r="E167" s="219"/>
      <c r="F167" s="219"/>
      <c r="G167" s="219"/>
      <c r="H167" s="219"/>
      <c r="I167" s="219"/>
      <c r="J167" s="219"/>
      <c r="K167" s="219"/>
      <c r="L167" s="219"/>
      <c r="M167" s="219"/>
      <c r="N167" s="219"/>
      <c r="O167" s="219"/>
      <c r="P167" s="219"/>
      <c r="Q167" s="221"/>
    </row>
    <row r="168" spans="2:36" x14ac:dyDescent="0.2">
      <c r="B168" s="219"/>
      <c r="C168" s="219"/>
      <c r="D168" s="219"/>
      <c r="E168" s="219"/>
      <c r="F168" s="219"/>
      <c r="G168" s="219"/>
      <c r="H168" s="219"/>
      <c r="I168" s="219"/>
      <c r="J168" s="219"/>
      <c r="K168" s="219"/>
      <c r="L168" s="219"/>
      <c r="M168" s="219"/>
      <c r="N168" s="219"/>
      <c r="O168" s="219"/>
      <c r="P168" s="219"/>
      <c r="Q168" s="221"/>
    </row>
    <row r="169" spans="2:36" x14ac:dyDescent="0.2">
      <c r="B169" s="219"/>
      <c r="C169" s="219"/>
      <c r="D169" s="219"/>
      <c r="E169" s="219"/>
      <c r="F169" s="219"/>
      <c r="G169" s="219"/>
      <c r="H169" s="219"/>
      <c r="I169" s="219"/>
      <c r="J169" s="219"/>
      <c r="K169" s="219"/>
      <c r="L169" s="219"/>
      <c r="M169" s="219"/>
      <c r="N169" s="219"/>
      <c r="O169" s="219"/>
      <c r="P169" s="219"/>
      <c r="Q169" s="221"/>
      <c r="U169" s="220"/>
      <c r="V169" s="220"/>
      <c r="W169" s="220"/>
      <c r="X169" s="220"/>
      <c r="Y169" s="220"/>
      <c r="Z169" s="220"/>
      <c r="AA169" s="220"/>
      <c r="AB169" s="220"/>
      <c r="AC169" s="220"/>
      <c r="AD169" s="220"/>
      <c r="AE169" s="220"/>
      <c r="AF169" s="220"/>
      <c r="AG169" s="220"/>
      <c r="AH169" s="220"/>
      <c r="AI169" s="220"/>
      <c r="AJ169" s="220"/>
    </row>
    <row r="170" spans="2:36" x14ac:dyDescent="0.2">
      <c r="B170" s="219"/>
      <c r="C170" s="219"/>
      <c r="D170" s="219"/>
      <c r="E170" s="219"/>
      <c r="F170" s="219"/>
      <c r="G170" s="219"/>
      <c r="H170" s="219"/>
      <c r="I170" s="219"/>
      <c r="J170" s="219"/>
      <c r="K170" s="219"/>
      <c r="L170" s="219"/>
      <c r="M170" s="219"/>
      <c r="N170" s="219"/>
      <c r="O170" s="219"/>
      <c r="P170" s="219"/>
      <c r="Q170" s="221"/>
      <c r="U170" s="1098" t="str">
        <f ca="1">"Mai "&amp;'1 Pers.Ausgaben|Pers Expenses'!$C$4+1</f>
        <v>Mai 2018</v>
      </c>
      <c r="V170" s="1098" t="str">
        <f ca="1">"Juni "&amp;'1 Pers.Ausgaben|Pers Expenses'!$C$4+1</f>
        <v>Juni 2018</v>
      </c>
      <c r="W170" s="1098" t="str">
        <f ca="1">"Juli "&amp;'1 Pers.Ausgaben|Pers Expenses'!$C$4+1</f>
        <v>Juli 2018</v>
      </c>
      <c r="X170" s="1098" t="str">
        <f ca="1">"Aug. "&amp;'1 Pers.Ausgaben|Pers Expenses'!$C$4+1</f>
        <v>Aug. 2018</v>
      </c>
      <c r="Y170" s="1098" t="str">
        <f ca="1">"Sept. "&amp;'1 Pers.Ausgaben|Pers Expenses'!$C$4+1</f>
        <v>Sept. 2018</v>
      </c>
      <c r="Z170" s="1098" t="str">
        <f ca="1">"Okt. "&amp;'1 Pers.Ausgaben|Pers Expenses'!$C$4+1</f>
        <v>Okt. 2018</v>
      </c>
      <c r="AA170" s="1098" t="str">
        <f ca="1">"Nov. "&amp;'1 Pers.Ausgaben|Pers Expenses'!$C$4+1</f>
        <v>Nov. 2018</v>
      </c>
      <c r="AB170" s="1098" t="str">
        <f ca="1">"Dez. "&amp;'1 Pers.Ausgaben|Pers Expenses'!$C$4+1</f>
        <v>Dez. 2018</v>
      </c>
      <c r="AC170" s="459"/>
      <c r="AD170" s="459"/>
      <c r="AE170" s="459"/>
      <c r="AF170" s="459"/>
      <c r="AG170" s="459"/>
      <c r="AH170" s="459"/>
      <c r="AI170" s="459"/>
      <c r="AJ170" s="459"/>
    </row>
    <row r="171" spans="2:36" x14ac:dyDescent="0.2">
      <c r="B171" s="219"/>
      <c r="C171" s="219"/>
      <c r="D171" s="219"/>
      <c r="E171" s="219"/>
      <c r="F171" s="219"/>
      <c r="G171" s="219"/>
      <c r="H171" s="219"/>
      <c r="I171" s="219"/>
      <c r="J171" s="219"/>
      <c r="K171" s="219"/>
      <c r="L171" s="219"/>
      <c r="M171" s="219"/>
      <c r="N171" s="219"/>
      <c r="O171" s="219"/>
      <c r="P171" s="219"/>
      <c r="Q171" s="221"/>
      <c r="U171" s="1071">
        <f t="shared" ref="U171:AB171" si="19">I47</f>
        <v>0</v>
      </c>
      <c r="V171" s="1071">
        <f t="shared" si="19"/>
        <v>0</v>
      </c>
      <c r="W171" s="1071">
        <f t="shared" si="19"/>
        <v>0</v>
      </c>
      <c r="X171" s="1071">
        <f t="shared" si="19"/>
        <v>0</v>
      </c>
      <c r="Y171" s="1071">
        <f t="shared" si="19"/>
        <v>0</v>
      </c>
      <c r="Z171" s="1071">
        <f t="shared" si="19"/>
        <v>0</v>
      </c>
      <c r="AA171" s="1071">
        <f t="shared" si="19"/>
        <v>0</v>
      </c>
      <c r="AB171" s="1071">
        <f t="shared" si="19"/>
        <v>0</v>
      </c>
      <c r="AC171" s="459"/>
      <c r="AD171" s="459"/>
      <c r="AE171" s="459"/>
      <c r="AF171" s="459"/>
      <c r="AG171" s="459"/>
      <c r="AH171" s="459"/>
      <c r="AI171" s="459"/>
      <c r="AJ171" s="459"/>
    </row>
    <row r="172" spans="2:36" x14ac:dyDescent="0.2">
      <c r="B172" s="219"/>
      <c r="C172" s="219"/>
      <c r="D172" s="219"/>
      <c r="E172" s="219"/>
      <c r="F172" s="219"/>
      <c r="G172" s="219"/>
      <c r="H172" s="219"/>
      <c r="I172" s="219"/>
      <c r="J172" s="219"/>
      <c r="K172" s="219"/>
      <c r="L172" s="219"/>
      <c r="M172" s="219"/>
      <c r="N172" s="219"/>
      <c r="O172" s="219"/>
      <c r="P172" s="219"/>
      <c r="Q172" s="221"/>
      <c r="U172" s="1071">
        <f t="shared" ref="U172:AB172" si="20">I55</f>
        <v>0</v>
      </c>
      <c r="V172" s="1071">
        <f t="shared" si="20"/>
        <v>0</v>
      </c>
      <c r="W172" s="1071">
        <f t="shared" si="20"/>
        <v>0</v>
      </c>
      <c r="X172" s="1071">
        <f t="shared" si="20"/>
        <v>0</v>
      </c>
      <c r="Y172" s="1071">
        <f t="shared" si="20"/>
        <v>0</v>
      </c>
      <c r="Z172" s="1071">
        <f t="shared" si="20"/>
        <v>0</v>
      </c>
      <c r="AA172" s="1071">
        <f t="shared" si="20"/>
        <v>0</v>
      </c>
      <c r="AB172" s="1071">
        <f t="shared" si="20"/>
        <v>0</v>
      </c>
      <c r="AC172" s="459"/>
      <c r="AD172" s="459"/>
      <c r="AE172" s="459"/>
      <c r="AF172" s="459"/>
      <c r="AG172" s="459"/>
      <c r="AH172" s="459"/>
      <c r="AI172" s="459"/>
      <c r="AJ172" s="459"/>
    </row>
    <row r="173" spans="2:36" x14ac:dyDescent="0.2">
      <c r="B173" s="219"/>
      <c r="C173" s="219"/>
      <c r="D173" s="219"/>
      <c r="E173" s="219"/>
      <c r="F173" s="219"/>
      <c r="G173" s="219"/>
      <c r="H173" s="219"/>
      <c r="I173" s="219"/>
      <c r="J173" s="219"/>
      <c r="K173" s="219"/>
      <c r="L173" s="219"/>
      <c r="M173" s="219"/>
      <c r="N173" s="219"/>
      <c r="O173" s="219"/>
      <c r="P173" s="219"/>
      <c r="Q173" s="221"/>
      <c r="U173" s="1071">
        <f t="shared" ref="U173:AB173" si="21">I60</f>
        <v>0</v>
      </c>
      <c r="V173" s="1071">
        <f t="shared" si="21"/>
        <v>0</v>
      </c>
      <c r="W173" s="1071">
        <f t="shared" si="21"/>
        <v>0</v>
      </c>
      <c r="X173" s="1071">
        <f t="shared" si="21"/>
        <v>0</v>
      </c>
      <c r="Y173" s="1071">
        <f t="shared" si="21"/>
        <v>0</v>
      </c>
      <c r="Z173" s="1071">
        <f t="shared" si="21"/>
        <v>0</v>
      </c>
      <c r="AA173" s="1071">
        <f t="shared" si="21"/>
        <v>0</v>
      </c>
      <c r="AB173" s="1071">
        <f t="shared" si="21"/>
        <v>0</v>
      </c>
      <c r="AC173" s="459"/>
      <c r="AD173" s="459"/>
      <c r="AE173" s="459"/>
      <c r="AF173" s="459"/>
      <c r="AG173" s="459"/>
      <c r="AH173" s="459"/>
      <c r="AI173" s="459"/>
      <c r="AJ173" s="459"/>
    </row>
    <row r="174" spans="2:36" x14ac:dyDescent="0.2">
      <c r="B174" s="219"/>
      <c r="C174" s="219"/>
      <c r="D174" s="219"/>
      <c r="E174" s="219"/>
      <c r="F174" s="219"/>
      <c r="G174" s="219"/>
      <c r="H174" s="219"/>
      <c r="I174" s="219"/>
      <c r="J174" s="219"/>
      <c r="K174" s="219"/>
      <c r="L174" s="219"/>
      <c r="M174" s="219"/>
      <c r="N174" s="219"/>
      <c r="O174" s="219"/>
      <c r="P174" s="219"/>
      <c r="Q174" s="221"/>
      <c r="U174" s="1071">
        <f t="shared" ref="U174:AB174" si="22">I65</f>
        <v>0</v>
      </c>
      <c r="V174" s="1071">
        <f t="shared" si="22"/>
        <v>0</v>
      </c>
      <c r="W174" s="1071">
        <f t="shared" si="22"/>
        <v>0</v>
      </c>
      <c r="X174" s="1071">
        <f t="shared" si="22"/>
        <v>0</v>
      </c>
      <c r="Y174" s="1071">
        <f t="shared" si="22"/>
        <v>0</v>
      </c>
      <c r="Z174" s="1071">
        <f t="shared" si="22"/>
        <v>0</v>
      </c>
      <c r="AA174" s="1071">
        <f t="shared" si="22"/>
        <v>0</v>
      </c>
      <c r="AB174" s="1071">
        <f t="shared" si="22"/>
        <v>0</v>
      </c>
      <c r="AC174" s="220"/>
      <c r="AD174" s="220"/>
      <c r="AE174" s="220"/>
      <c r="AF174" s="220"/>
      <c r="AG174" s="220"/>
      <c r="AH174" s="220"/>
      <c r="AI174" s="220"/>
      <c r="AJ174" s="220"/>
    </row>
    <row r="175" spans="2:36" x14ac:dyDescent="0.2">
      <c r="B175" s="219"/>
      <c r="C175" s="219"/>
      <c r="D175" s="219"/>
      <c r="E175" s="219"/>
      <c r="F175" s="219"/>
      <c r="G175" s="219"/>
      <c r="H175" s="219"/>
      <c r="I175" s="219"/>
      <c r="J175" s="219"/>
      <c r="K175" s="219"/>
      <c r="L175" s="219"/>
      <c r="M175" s="219"/>
      <c r="N175" s="219"/>
      <c r="O175" s="219"/>
      <c r="P175" s="219"/>
      <c r="Q175" s="221"/>
      <c r="U175" s="220"/>
      <c r="V175" s="220"/>
      <c r="W175" s="220"/>
      <c r="X175" s="220"/>
      <c r="Y175" s="220"/>
      <c r="Z175" s="220"/>
      <c r="AA175" s="220"/>
      <c r="AB175" s="220"/>
      <c r="AC175" s="220"/>
      <c r="AD175" s="220"/>
      <c r="AE175" s="220"/>
      <c r="AF175" s="220"/>
      <c r="AG175" s="220"/>
      <c r="AH175" s="220"/>
      <c r="AI175" s="220"/>
      <c r="AJ175" s="220"/>
    </row>
    <row r="176" spans="2:36" x14ac:dyDescent="0.2">
      <c r="B176" s="219"/>
      <c r="C176" s="219"/>
      <c r="D176" s="219"/>
      <c r="E176" s="219"/>
      <c r="F176" s="219"/>
      <c r="G176" s="219"/>
      <c r="H176" s="219"/>
      <c r="I176" s="219"/>
      <c r="J176" s="219"/>
      <c r="K176" s="219"/>
      <c r="L176" s="219"/>
      <c r="M176" s="219"/>
      <c r="N176" s="219"/>
      <c r="O176" s="219"/>
      <c r="P176" s="219"/>
      <c r="Q176" s="221"/>
      <c r="U176" s="255"/>
      <c r="V176" s="255"/>
      <c r="W176" s="255"/>
      <c r="X176" s="255"/>
      <c r="Y176" s="255"/>
      <c r="Z176" s="255"/>
      <c r="AA176" s="255"/>
      <c r="AB176" s="255"/>
      <c r="AC176" s="255"/>
      <c r="AD176" s="255"/>
      <c r="AE176" s="255"/>
      <c r="AF176" s="255"/>
      <c r="AG176" s="255"/>
      <c r="AH176" s="255"/>
      <c r="AI176" s="255"/>
      <c r="AJ176" s="255"/>
    </row>
    <row r="177" spans="2:36" x14ac:dyDescent="0.2">
      <c r="B177" s="219"/>
      <c r="C177" s="219"/>
      <c r="D177" s="219"/>
      <c r="E177" s="219"/>
      <c r="F177" s="219"/>
      <c r="G177" s="219"/>
      <c r="H177" s="219"/>
      <c r="I177" s="219"/>
      <c r="J177" s="219"/>
      <c r="K177" s="219"/>
      <c r="L177" s="219"/>
      <c r="M177" s="219"/>
      <c r="N177" s="219"/>
      <c r="O177" s="219"/>
      <c r="P177" s="219"/>
      <c r="Q177" s="221"/>
      <c r="U177" s="255"/>
      <c r="V177" s="255"/>
      <c r="W177" s="255"/>
      <c r="X177" s="255"/>
      <c r="Y177" s="255"/>
      <c r="Z177" s="255"/>
      <c r="AA177" s="255"/>
      <c r="AB177" s="255"/>
      <c r="AC177" s="255"/>
      <c r="AD177" s="255"/>
      <c r="AE177" s="255"/>
      <c r="AF177" s="255"/>
      <c r="AG177" s="255"/>
      <c r="AH177" s="255"/>
      <c r="AI177" s="255"/>
      <c r="AJ177" s="255"/>
    </row>
    <row r="178" spans="2:36" x14ac:dyDescent="0.2">
      <c r="B178" s="219"/>
      <c r="C178" s="219"/>
      <c r="D178" s="219"/>
      <c r="E178" s="219"/>
      <c r="F178" s="219"/>
      <c r="G178" s="219"/>
      <c r="H178" s="219"/>
      <c r="I178" s="219"/>
      <c r="J178" s="219"/>
      <c r="K178" s="219"/>
      <c r="L178" s="219"/>
      <c r="M178" s="219"/>
      <c r="N178" s="219"/>
      <c r="O178" s="219"/>
      <c r="P178" s="219"/>
      <c r="Q178" s="221"/>
      <c r="U178" s="255"/>
      <c r="V178" s="255"/>
      <c r="W178" s="255"/>
      <c r="X178" s="255"/>
      <c r="Y178" s="255"/>
      <c r="Z178" s="255"/>
      <c r="AA178" s="255"/>
      <c r="AB178" s="255"/>
      <c r="AC178" s="255"/>
      <c r="AD178" s="255"/>
      <c r="AE178" s="255"/>
      <c r="AF178" s="255"/>
      <c r="AG178" s="255"/>
      <c r="AH178" s="255"/>
      <c r="AI178" s="255"/>
      <c r="AJ178" s="255"/>
    </row>
    <row r="179" spans="2:36" x14ac:dyDescent="0.2">
      <c r="B179" s="219"/>
      <c r="C179" s="219"/>
      <c r="D179" s="219"/>
      <c r="E179" s="219"/>
      <c r="F179" s="219"/>
      <c r="G179" s="219"/>
      <c r="H179" s="219"/>
      <c r="I179" s="219"/>
      <c r="J179" s="219"/>
      <c r="K179" s="219"/>
      <c r="L179" s="219"/>
      <c r="M179" s="219"/>
      <c r="N179" s="219"/>
      <c r="O179" s="219"/>
      <c r="P179" s="219"/>
      <c r="Q179" s="221"/>
      <c r="U179" s="255"/>
      <c r="V179" s="255"/>
      <c r="W179" s="255"/>
      <c r="X179" s="255"/>
      <c r="Y179" s="255"/>
      <c r="Z179" s="255"/>
      <c r="AA179" s="255"/>
      <c r="AB179" s="255"/>
      <c r="AC179" s="255"/>
      <c r="AD179" s="255"/>
      <c r="AE179" s="255"/>
      <c r="AF179" s="255"/>
      <c r="AG179" s="255"/>
      <c r="AH179" s="255"/>
      <c r="AI179" s="255"/>
      <c r="AJ179" s="255"/>
    </row>
    <row r="180" spans="2:36" x14ac:dyDescent="0.2">
      <c r="B180" s="219"/>
      <c r="C180" s="219"/>
      <c r="D180" s="219"/>
      <c r="E180" s="219"/>
      <c r="F180" s="219"/>
      <c r="G180" s="219"/>
      <c r="H180" s="219"/>
      <c r="I180" s="219"/>
      <c r="J180" s="219"/>
      <c r="K180" s="219"/>
      <c r="L180" s="219"/>
      <c r="M180" s="219"/>
      <c r="N180" s="219"/>
      <c r="O180" s="219"/>
      <c r="P180" s="219"/>
      <c r="Q180" s="221"/>
    </row>
    <row r="181" spans="2:36" x14ac:dyDescent="0.2">
      <c r="B181" s="219"/>
      <c r="C181" s="219"/>
      <c r="D181" s="219"/>
      <c r="E181" s="219"/>
      <c r="F181" s="219"/>
      <c r="G181" s="219"/>
      <c r="H181" s="219"/>
      <c r="I181" s="219"/>
      <c r="J181" s="219"/>
      <c r="K181" s="219"/>
      <c r="L181" s="219"/>
      <c r="M181" s="219"/>
      <c r="N181" s="219"/>
      <c r="O181" s="219"/>
      <c r="P181" s="219"/>
      <c r="Q181" s="221"/>
    </row>
    <row r="182" spans="2:36" x14ac:dyDescent="0.2">
      <c r="B182" s="219"/>
      <c r="C182" s="219"/>
      <c r="D182" s="219"/>
      <c r="E182" s="219"/>
      <c r="F182" s="219"/>
      <c r="G182" s="219"/>
      <c r="H182" s="219"/>
      <c r="I182" s="219"/>
      <c r="J182" s="219"/>
      <c r="K182" s="219"/>
      <c r="L182" s="219"/>
      <c r="M182" s="219"/>
      <c r="N182" s="219"/>
      <c r="O182" s="219"/>
      <c r="P182" s="219"/>
      <c r="Q182" s="221"/>
    </row>
    <row r="183" spans="2:36" x14ac:dyDescent="0.2">
      <c r="B183" s="219"/>
      <c r="C183" s="219"/>
      <c r="D183" s="219"/>
      <c r="E183" s="219"/>
      <c r="F183" s="219"/>
      <c r="G183" s="219"/>
      <c r="H183" s="219"/>
      <c r="I183" s="219"/>
      <c r="J183" s="219"/>
      <c r="K183" s="219"/>
      <c r="L183" s="219"/>
      <c r="M183" s="219"/>
      <c r="N183" s="219"/>
      <c r="O183" s="219"/>
      <c r="P183" s="219"/>
      <c r="Q183" s="221"/>
    </row>
    <row r="184" spans="2:36" x14ac:dyDescent="0.2">
      <c r="B184" s="219"/>
      <c r="C184" s="219"/>
      <c r="D184" s="219"/>
      <c r="E184" s="219"/>
      <c r="F184" s="219"/>
      <c r="G184" s="219"/>
      <c r="H184" s="219"/>
      <c r="I184" s="219"/>
      <c r="J184" s="219"/>
      <c r="K184" s="219"/>
      <c r="L184" s="219"/>
      <c r="M184" s="219"/>
      <c r="N184" s="219"/>
      <c r="O184" s="219"/>
      <c r="P184" s="219"/>
      <c r="Q184" s="221"/>
    </row>
    <row r="185" spans="2:36" x14ac:dyDescent="0.2">
      <c r="B185" s="219"/>
      <c r="C185" s="219"/>
      <c r="D185" s="219"/>
      <c r="E185" s="219"/>
      <c r="F185" s="219"/>
      <c r="G185" s="219"/>
      <c r="H185" s="219"/>
      <c r="I185" s="219"/>
      <c r="J185" s="219"/>
      <c r="K185" s="219"/>
      <c r="L185" s="219"/>
      <c r="M185" s="219"/>
      <c r="N185" s="219"/>
      <c r="O185" s="219"/>
      <c r="P185" s="219"/>
      <c r="Q185" s="221"/>
    </row>
    <row r="186" spans="2:36" x14ac:dyDescent="0.2">
      <c r="B186" s="219"/>
      <c r="C186" s="219"/>
      <c r="D186" s="219"/>
      <c r="E186" s="219"/>
      <c r="F186" s="219"/>
      <c r="G186" s="219"/>
      <c r="H186" s="219"/>
      <c r="I186" s="219"/>
      <c r="J186" s="219"/>
      <c r="K186" s="219"/>
      <c r="L186" s="219"/>
      <c r="M186" s="219"/>
      <c r="N186" s="219"/>
      <c r="O186" s="219"/>
      <c r="P186" s="219"/>
      <c r="Q186" s="221"/>
    </row>
    <row r="187" spans="2:36" x14ac:dyDescent="0.2">
      <c r="B187" s="219"/>
      <c r="C187" s="219"/>
      <c r="D187" s="219"/>
      <c r="E187" s="219"/>
      <c r="F187" s="219"/>
      <c r="G187" s="219"/>
      <c r="H187" s="219"/>
      <c r="I187" s="219"/>
      <c r="J187" s="219"/>
      <c r="K187" s="219"/>
      <c r="L187" s="219"/>
      <c r="M187" s="219"/>
      <c r="N187" s="219"/>
      <c r="O187" s="219"/>
      <c r="P187" s="219"/>
      <c r="Q187" s="221"/>
    </row>
    <row r="188" spans="2:36" x14ac:dyDescent="0.2">
      <c r="B188" s="219"/>
      <c r="C188" s="219"/>
      <c r="D188" s="219"/>
      <c r="E188" s="219"/>
      <c r="F188" s="219"/>
      <c r="G188" s="219"/>
      <c r="H188" s="219"/>
      <c r="I188" s="219"/>
      <c r="J188" s="219"/>
      <c r="K188" s="219"/>
      <c r="L188" s="219"/>
      <c r="M188" s="219"/>
      <c r="N188" s="219"/>
      <c r="O188" s="219"/>
      <c r="P188" s="219"/>
      <c r="Q188" s="221"/>
    </row>
    <row r="189" spans="2:36" x14ac:dyDescent="0.2">
      <c r="B189" s="219"/>
      <c r="C189" s="219"/>
      <c r="D189" s="219"/>
      <c r="E189" s="219"/>
      <c r="F189" s="219"/>
      <c r="G189" s="219"/>
      <c r="H189" s="219"/>
      <c r="I189" s="219"/>
      <c r="J189" s="219"/>
      <c r="K189" s="219"/>
      <c r="L189" s="219"/>
      <c r="M189" s="219"/>
      <c r="N189" s="219"/>
      <c r="O189" s="219"/>
      <c r="P189" s="219"/>
      <c r="Q189" s="221"/>
    </row>
    <row r="190" spans="2:36" x14ac:dyDescent="0.2">
      <c r="B190" s="219"/>
      <c r="C190" s="219"/>
      <c r="D190" s="219"/>
      <c r="E190" s="219"/>
      <c r="F190" s="219"/>
      <c r="G190" s="219"/>
      <c r="H190" s="219"/>
      <c r="I190" s="219"/>
      <c r="J190" s="219"/>
      <c r="K190" s="219"/>
      <c r="L190" s="219"/>
      <c r="M190" s="219"/>
      <c r="N190" s="219"/>
      <c r="O190" s="219"/>
      <c r="P190" s="219"/>
      <c r="Q190" s="221"/>
    </row>
    <row r="191" spans="2:36" x14ac:dyDescent="0.2">
      <c r="B191" s="219"/>
      <c r="C191" s="219"/>
      <c r="D191" s="219"/>
      <c r="E191" s="219"/>
      <c r="F191" s="219"/>
      <c r="G191" s="219"/>
      <c r="H191" s="219"/>
      <c r="I191" s="219"/>
      <c r="J191" s="219"/>
      <c r="K191" s="219"/>
      <c r="L191" s="219"/>
      <c r="M191" s="219"/>
      <c r="N191" s="219"/>
      <c r="O191" s="219"/>
      <c r="P191" s="219"/>
      <c r="Q191" s="221"/>
    </row>
    <row r="192" spans="2:36" x14ac:dyDescent="0.2">
      <c r="B192" s="219"/>
      <c r="C192" s="219"/>
      <c r="D192" s="219"/>
      <c r="E192" s="219"/>
      <c r="F192" s="219"/>
      <c r="G192" s="219"/>
      <c r="H192" s="219"/>
      <c r="I192" s="219"/>
      <c r="J192" s="219"/>
      <c r="K192" s="219"/>
      <c r="L192" s="219"/>
      <c r="M192" s="219"/>
      <c r="N192" s="219"/>
      <c r="O192" s="219"/>
      <c r="P192" s="219"/>
      <c r="Q192" s="221"/>
    </row>
    <row r="193" spans="2:17" x14ac:dyDescent="0.2">
      <c r="B193" s="219"/>
      <c r="C193" s="219"/>
      <c r="D193" s="219"/>
      <c r="E193" s="219"/>
      <c r="F193" s="219"/>
      <c r="G193" s="219"/>
      <c r="H193" s="219"/>
      <c r="I193" s="219"/>
      <c r="J193" s="219"/>
      <c r="K193" s="219"/>
      <c r="L193" s="219"/>
      <c r="M193" s="219"/>
      <c r="N193" s="219"/>
      <c r="O193" s="219"/>
      <c r="P193" s="219"/>
      <c r="Q193" s="221"/>
    </row>
    <row r="194" spans="2:17" x14ac:dyDescent="0.2">
      <c r="B194" s="219"/>
      <c r="C194" s="219"/>
      <c r="D194" s="219"/>
      <c r="E194" s="219"/>
      <c r="F194" s="219"/>
      <c r="G194" s="219"/>
      <c r="H194" s="219"/>
      <c r="I194" s="219"/>
      <c r="J194" s="219"/>
      <c r="K194" s="219"/>
      <c r="L194" s="219"/>
      <c r="M194" s="219"/>
      <c r="N194" s="219"/>
      <c r="O194" s="219"/>
      <c r="P194" s="219"/>
      <c r="Q194" s="221"/>
    </row>
    <row r="195" spans="2:17" x14ac:dyDescent="0.2">
      <c r="B195" s="219"/>
      <c r="C195" s="219"/>
      <c r="D195" s="219"/>
      <c r="E195" s="219"/>
      <c r="F195" s="219"/>
      <c r="G195" s="219"/>
      <c r="H195" s="219"/>
      <c r="I195" s="219"/>
      <c r="J195" s="219"/>
      <c r="K195" s="219"/>
      <c r="L195" s="219"/>
      <c r="M195" s="219"/>
      <c r="N195" s="219"/>
      <c r="O195" s="219"/>
      <c r="P195" s="219"/>
      <c r="Q195" s="221"/>
    </row>
    <row r="196" spans="2:17" x14ac:dyDescent="0.2">
      <c r="B196" s="219"/>
      <c r="C196" s="219"/>
      <c r="D196" s="219"/>
      <c r="E196" s="219"/>
      <c r="F196" s="219"/>
      <c r="G196" s="219"/>
      <c r="H196" s="219"/>
      <c r="I196" s="219"/>
      <c r="J196" s="219"/>
      <c r="K196" s="219"/>
      <c r="L196" s="219"/>
      <c r="M196" s="219"/>
      <c r="N196" s="219"/>
      <c r="O196" s="219"/>
      <c r="P196" s="219"/>
      <c r="Q196" s="221"/>
    </row>
    <row r="197" spans="2:17" x14ac:dyDescent="0.2">
      <c r="B197" s="219"/>
      <c r="C197" s="219"/>
      <c r="D197" s="219"/>
      <c r="E197" s="219"/>
      <c r="F197" s="219"/>
      <c r="G197" s="219"/>
      <c r="H197" s="219"/>
      <c r="I197" s="219"/>
      <c r="J197" s="219"/>
      <c r="K197" s="219"/>
      <c r="L197" s="219"/>
      <c r="M197" s="219"/>
      <c r="N197" s="219"/>
      <c r="O197" s="219"/>
      <c r="P197" s="219"/>
      <c r="Q197" s="221"/>
    </row>
    <row r="198" spans="2:17" x14ac:dyDescent="0.2">
      <c r="B198" s="219"/>
      <c r="C198" s="219"/>
      <c r="D198" s="219"/>
      <c r="E198" s="219"/>
      <c r="F198" s="219"/>
      <c r="G198" s="219"/>
      <c r="H198" s="219"/>
      <c r="I198" s="219"/>
      <c r="J198" s="219"/>
      <c r="K198" s="219"/>
      <c r="L198" s="219"/>
      <c r="M198" s="219"/>
      <c r="N198" s="219"/>
      <c r="O198" s="219"/>
      <c r="P198" s="219"/>
      <c r="Q198" s="221"/>
    </row>
    <row r="199" spans="2:17" x14ac:dyDescent="0.2">
      <c r="B199" s="219"/>
      <c r="C199" s="219"/>
      <c r="D199" s="219"/>
      <c r="E199" s="219"/>
      <c r="F199" s="219"/>
      <c r="G199" s="219"/>
      <c r="H199" s="219"/>
      <c r="I199" s="219"/>
      <c r="J199" s="219"/>
      <c r="K199" s="219"/>
      <c r="L199" s="219"/>
      <c r="M199" s="219"/>
      <c r="N199" s="219"/>
      <c r="O199" s="219"/>
      <c r="P199" s="219"/>
      <c r="Q199" s="221"/>
    </row>
    <row r="200" spans="2:17" x14ac:dyDescent="0.2">
      <c r="B200" s="219"/>
      <c r="C200" s="219"/>
      <c r="D200" s="219"/>
      <c r="E200" s="219"/>
      <c r="F200" s="219"/>
      <c r="G200" s="219"/>
      <c r="H200" s="219"/>
      <c r="I200" s="219"/>
      <c r="J200" s="219"/>
      <c r="K200" s="219"/>
      <c r="L200" s="219"/>
      <c r="M200" s="219"/>
      <c r="N200" s="219"/>
      <c r="O200" s="219"/>
      <c r="P200" s="219"/>
      <c r="Q200" s="221"/>
    </row>
    <row r="201" spans="2:17" x14ac:dyDescent="0.2">
      <c r="B201" s="219"/>
      <c r="C201" s="219"/>
      <c r="D201" s="219"/>
      <c r="E201" s="219"/>
      <c r="F201" s="219"/>
      <c r="G201" s="219"/>
      <c r="H201" s="219"/>
      <c r="I201" s="219"/>
      <c r="J201" s="219"/>
      <c r="K201" s="219"/>
      <c r="L201" s="219"/>
      <c r="M201" s="219"/>
      <c r="N201" s="219"/>
      <c r="O201" s="219"/>
      <c r="P201" s="219"/>
      <c r="Q201" s="221"/>
    </row>
    <row r="202" spans="2:17" x14ac:dyDescent="0.2">
      <c r="B202" s="219"/>
      <c r="C202" s="219"/>
      <c r="D202" s="219"/>
      <c r="E202" s="219"/>
      <c r="F202" s="219"/>
      <c r="G202" s="219"/>
      <c r="H202" s="219"/>
      <c r="I202" s="219"/>
      <c r="J202" s="219"/>
      <c r="K202" s="219"/>
      <c r="L202" s="219"/>
      <c r="M202" s="219"/>
      <c r="N202" s="219"/>
      <c r="O202" s="219"/>
      <c r="P202" s="219"/>
      <c r="Q202" s="221"/>
    </row>
    <row r="203" spans="2:17" x14ac:dyDescent="0.2">
      <c r="B203" s="219"/>
      <c r="C203" s="219"/>
      <c r="D203" s="219"/>
      <c r="E203" s="219"/>
      <c r="F203" s="219"/>
      <c r="G203" s="219"/>
      <c r="H203" s="219"/>
      <c r="I203" s="219"/>
      <c r="J203" s="219"/>
      <c r="K203" s="219"/>
      <c r="L203" s="219"/>
      <c r="M203" s="219"/>
      <c r="N203" s="219"/>
      <c r="O203" s="219"/>
      <c r="P203" s="219"/>
      <c r="Q203" s="221"/>
    </row>
    <row r="204" spans="2:17" x14ac:dyDescent="0.2">
      <c r="B204" s="219"/>
      <c r="C204" s="219"/>
      <c r="D204" s="219"/>
      <c r="E204" s="219"/>
      <c r="F204" s="219"/>
      <c r="G204" s="219"/>
      <c r="H204" s="219"/>
      <c r="I204" s="219"/>
      <c r="J204" s="219"/>
      <c r="K204" s="219"/>
      <c r="L204" s="219"/>
      <c r="M204" s="219"/>
      <c r="N204" s="219"/>
      <c r="O204" s="219"/>
      <c r="P204" s="219"/>
      <c r="Q204" s="221"/>
    </row>
    <row r="205" spans="2:17" x14ac:dyDescent="0.2">
      <c r="B205" s="219"/>
      <c r="C205" s="219"/>
      <c r="D205" s="219"/>
      <c r="E205" s="219"/>
      <c r="F205" s="219"/>
      <c r="G205" s="219"/>
      <c r="H205" s="219"/>
      <c r="I205" s="219"/>
      <c r="J205" s="219"/>
      <c r="K205" s="219"/>
      <c r="L205" s="219"/>
      <c r="M205" s="219"/>
      <c r="N205" s="219"/>
      <c r="O205" s="219"/>
      <c r="P205" s="219"/>
      <c r="Q205" s="221"/>
    </row>
    <row r="206" spans="2:17" x14ac:dyDescent="0.2">
      <c r="B206" s="219"/>
      <c r="C206" s="219"/>
      <c r="D206" s="219"/>
      <c r="E206" s="219"/>
      <c r="F206" s="219"/>
      <c r="G206" s="219"/>
      <c r="H206" s="219"/>
      <c r="I206" s="219"/>
      <c r="J206" s="219"/>
      <c r="K206" s="219"/>
      <c r="L206" s="219"/>
      <c r="M206" s="219"/>
      <c r="N206" s="219"/>
      <c r="O206" s="219"/>
      <c r="P206" s="219"/>
      <c r="Q206" s="221"/>
    </row>
    <row r="207" spans="2:17" x14ac:dyDescent="0.2">
      <c r="B207" s="219"/>
      <c r="C207" s="219"/>
      <c r="D207" s="219"/>
      <c r="E207" s="219"/>
      <c r="F207" s="219"/>
      <c r="G207" s="219"/>
      <c r="H207" s="219"/>
      <c r="I207" s="219"/>
      <c r="J207" s="219"/>
      <c r="K207" s="219"/>
      <c r="L207" s="219"/>
      <c r="M207" s="219"/>
      <c r="N207" s="219"/>
      <c r="O207" s="219"/>
      <c r="P207" s="219"/>
      <c r="Q207" s="221"/>
    </row>
    <row r="208" spans="2:17" x14ac:dyDescent="0.2">
      <c r="B208" s="219"/>
      <c r="C208" s="219"/>
      <c r="D208" s="219"/>
      <c r="E208" s="219"/>
      <c r="F208" s="219"/>
      <c r="G208" s="219"/>
      <c r="H208" s="219"/>
      <c r="I208" s="219"/>
      <c r="J208" s="219"/>
      <c r="K208" s="219"/>
      <c r="L208" s="219"/>
      <c r="M208" s="219"/>
      <c r="N208" s="219"/>
      <c r="O208" s="219"/>
      <c r="P208" s="219"/>
      <c r="Q208" s="221"/>
    </row>
    <row r="209" spans="2:17" x14ac:dyDescent="0.2">
      <c r="B209" s="219"/>
      <c r="C209" s="219"/>
      <c r="D209" s="219"/>
      <c r="E209" s="219"/>
      <c r="F209" s="219"/>
      <c r="G209" s="219"/>
      <c r="H209" s="219"/>
      <c r="I209" s="219"/>
      <c r="J209" s="219"/>
      <c r="K209" s="219"/>
      <c r="L209" s="219"/>
      <c r="M209" s="219"/>
      <c r="N209" s="219"/>
      <c r="O209" s="219"/>
      <c r="P209" s="219"/>
      <c r="Q209" s="221"/>
    </row>
    <row r="210" spans="2:17" x14ac:dyDescent="0.2">
      <c r="B210" s="219"/>
      <c r="C210" s="219"/>
      <c r="D210" s="219"/>
      <c r="E210" s="219"/>
      <c r="F210" s="219"/>
      <c r="G210" s="219"/>
      <c r="H210" s="219"/>
      <c r="I210" s="219"/>
      <c r="J210" s="219"/>
      <c r="K210" s="219"/>
      <c r="L210" s="219"/>
      <c r="M210" s="219"/>
      <c r="N210" s="219"/>
      <c r="O210" s="219"/>
      <c r="P210" s="219"/>
      <c r="Q210" s="221"/>
    </row>
    <row r="211" spans="2:17" x14ac:dyDescent="0.2">
      <c r="B211" s="219"/>
      <c r="C211" s="219"/>
      <c r="D211" s="219"/>
      <c r="E211" s="219"/>
      <c r="F211" s="219"/>
      <c r="G211" s="219"/>
      <c r="H211" s="219"/>
      <c r="I211" s="219"/>
      <c r="J211" s="219"/>
      <c r="K211" s="219"/>
      <c r="L211" s="219"/>
      <c r="M211" s="219"/>
      <c r="N211" s="219"/>
      <c r="O211" s="219"/>
      <c r="P211" s="219"/>
      <c r="Q211" s="221"/>
    </row>
    <row r="212" spans="2:17" x14ac:dyDescent="0.2">
      <c r="B212" s="219"/>
      <c r="C212" s="219"/>
      <c r="D212" s="219"/>
      <c r="E212" s="219"/>
      <c r="F212" s="219"/>
      <c r="G212" s="219"/>
      <c r="H212" s="219"/>
      <c r="I212" s="219"/>
      <c r="J212" s="219"/>
      <c r="K212" s="219"/>
      <c r="L212" s="219"/>
      <c r="M212" s="219"/>
      <c r="N212" s="219"/>
      <c r="O212" s="219"/>
      <c r="P212" s="219"/>
      <c r="Q212" s="221"/>
    </row>
    <row r="213" spans="2:17" x14ac:dyDescent="0.2">
      <c r="B213" s="219"/>
      <c r="C213" s="219"/>
      <c r="D213" s="219"/>
      <c r="E213" s="219"/>
      <c r="F213" s="219"/>
      <c r="G213" s="219"/>
      <c r="H213" s="219"/>
      <c r="I213" s="219"/>
      <c r="J213" s="219"/>
      <c r="K213" s="219"/>
      <c r="L213" s="219"/>
      <c r="M213" s="219"/>
      <c r="N213" s="219"/>
      <c r="O213" s="219"/>
      <c r="P213" s="219"/>
      <c r="Q213" s="221"/>
    </row>
    <row r="214" spans="2:17" x14ac:dyDescent="0.2">
      <c r="B214" s="219"/>
      <c r="C214" s="219"/>
      <c r="D214" s="219"/>
      <c r="E214" s="219"/>
      <c r="F214" s="219"/>
      <c r="G214" s="219"/>
      <c r="H214" s="219"/>
      <c r="I214" s="219"/>
      <c r="J214" s="219"/>
      <c r="K214" s="219"/>
      <c r="L214" s="219"/>
      <c r="M214" s="219"/>
      <c r="N214" s="219"/>
      <c r="O214" s="219"/>
      <c r="P214" s="219"/>
      <c r="Q214" s="221"/>
    </row>
    <row r="215" spans="2:17" x14ac:dyDescent="0.2">
      <c r="B215" s="219"/>
      <c r="C215" s="219"/>
      <c r="D215" s="219"/>
      <c r="E215" s="219"/>
      <c r="F215" s="219"/>
      <c r="G215" s="219"/>
      <c r="H215" s="219"/>
      <c r="I215" s="219"/>
      <c r="J215" s="219"/>
      <c r="K215" s="219"/>
      <c r="L215" s="219"/>
      <c r="M215" s="219"/>
      <c r="N215" s="219"/>
      <c r="O215" s="219"/>
      <c r="P215" s="219"/>
      <c r="Q215" s="221"/>
    </row>
    <row r="216" spans="2:17" x14ac:dyDescent="0.2">
      <c r="B216" s="219"/>
      <c r="C216" s="219"/>
      <c r="D216" s="219"/>
      <c r="E216" s="219"/>
      <c r="F216" s="219"/>
      <c r="G216" s="219"/>
      <c r="H216" s="219"/>
      <c r="I216" s="219"/>
      <c r="J216" s="219"/>
      <c r="K216" s="219"/>
      <c r="L216" s="219"/>
      <c r="M216" s="219"/>
      <c r="N216" s="219"/>
      <c r="O216" s="219"/>
      <c r="P216" s="219"/>
      <c r="Q216" s="221"/>
    </row>
    <row r="217" spans="2:17" x14ac:dyDescent="0.2">
      <c r="B217" s="219"/>
      <c r="C217" s="219"/>
      <c r="D217" s="219"/>
      <c r="E217" s="219"/>
      <c r="F217" s="219"/>
      <c r="G217" s="219"/>
      <c r="H217" s="219"/>
      <c r="I217" s="219"/>
      <c r="J217" s="219"/>
      <c r="K217" s="219"/>
      <c r="L217" s="219"/>
      <c r="M217" s="219"/>
      <c r="N217" s="219"/>
      <c r="O217" s="219"/>
      <c r="P217" s="219"/>
      <c r="Q217" s="221"/>
    </row>
    <row r="218" spans="2:17" x14ac:dyDescent="0.2">
      <c r="B218" s="219"/>
      <c r="C218" s="219"/>
      <c r="D218" s="219"/>
      <c r="E218" s="219"/>
      <c r="F218" s="219"/>
      <c r="G218" s="219"/>
      <c r="H218" s="219"/>
      <c r="I218" s="219"/>
      <c r="J218" s="219"/>
      <c r="K218" s="219"/>
      <c r="L218" s="219"/>
      <c r="M218" s="219"/>
      <c r="N218" s="219"/>
      <c r="O218" s="219"/>
      <c r="P218" s="219"/>
      <c r="Q218" s="221"/>
    </row>
    <row r="219" spans="2:17" x14ac:dyDescent="0.2">
      <c r="B219" s="219"/>
      <c r="C219" s="219"/>
      <c r="D219" s="219"/>
      <c r="E219" s="219"/>
      <c r="F219" s="219"/>
      <c r="G219" s="219"/>
      <c r="H219" s="219"/>
      <c r="I219" s="219"/>
      <c r="J219" s="219"/>
      <c r="K219" s="219"/>
      <c r="L219" s="219"/>
      <c r="M219" s="219"/>
      <c r="N219" s="219"/>
      <c r="O219" s="219"/>
      <c r="P219" s="219"/>
      <c r="Q219" s="221"/>
    </row>
    <row r="220" spans="2:17" x14ac:dyDescent="0.2">
      <c r="B220" s="219"/>
      <c r="C220" s="219"/>
      <c r="D220" s="219"/>
      <c r="E220" s="219"/>
      <c r="F220" s="219"/>
      <c r="G220" s="219"/>
      <c r="H220" s="219"/>
      <c r="I220" s="219"/>
      <c r="J220" s="219"/>
      <c r="K220" s="219"/>
      <c r="L220" s="219"/>
      <c r="M220" s="219"/>
      <c r="N220" s="219"/>
      <c r="O220" s="219"/>
      <c r="P220" s="219"/>
      <c r="Q220" s="221"/>
    </row>
    <row r="221" spans="2:17" x14ac:dyDescent="0.2">
      <c r="B221" s="219"/>
      <c r="C221" s="219"/>
      <c r="D221" s="219"/>
      <c r="E221" s="219"/>
      <c r="F221" s="219"/>
      <c r="G221" s="219"/>
      <c r="H221" s="219"/>
      <c r="I221" s="219"/>
      <c r="J221" s="219"/>
      <c r="K221" s="219"/>
      <c r="L221" s="219"/>
      <c r="M221" s="219"/>
      <c r="N221" s="219"/>
      <c r="O221" s="219"/>
      <c r="P221" s="219"/>
      <c r="Q221" s="221"/>
    </row>
    <row r="222" spans="2:17" x14ac:dyDescent="0.2">
      <c r="B222" s="219"/>
      <c r="C222" s="219"/>
      <c r="D222" s="219"/>
      <c r="E222" s="219"/>
      <c r="F222" s="219"/>
      <c r="G222" s="219"/>
      <c r="H222" s="219"/>
      <c r="I222" s="219"/>
      <c r="J222" s="219"/>
      <c r="K222" s="219"/>
      <c r="L222" s="219"/>
      <c r="M222" s="219"/>
      <c r="N222" s="219"/>
      <c r="O222" s="219"/>
      <c r="P222" s="219"/>
      <c r="Q222" s="221"/>
    </row>
    <row r="223" spans="2:17" x14ac:dyDescent="0.2">
      <c r="B223" s="219"/>
      <c r="C223" s="219"/>
      <c r="D223" s="219"/>
      <c r="E223" s="219"/>
      <c r="F223" s="219"/>
      <c r="G223" s="219"/>
      <c r="H223" s="219"/>
      <c r="I223" s="219"/>
      <c r="J223" s="219"/>
      <c r="K223" s="219"/>
      <c r="L223" s="219"/>
      <c r="M223" s="219"/>
      <c r="N223" s="219"/>
      <c r="O223" s="219"/>
      <c r="P223" s="219"/>
      <c r="Q223" s="221"/>
    </row>
    <row r="224" spans="2:17" x14ac:dyDescent="0.2">
      <c r="B224" s="219"/>
      <c r="C224" s="219"/>
      <c r="D224" s="219"/>
      <c r="E224" s="219"/>
      <c r="F224" s="219"/>
      <c r="G224" s="219"/>
      <c r="H224" s="219"/>
      <c r="I224" s="219"/>
      <c r="J224" s="219"/>
      <c r="K224" s="219"/>
      <c r="L224" s="219"/>
      <c r="M224" s="219"/>
      <c r="N224" s="219"/>
      <c r="O224" s="219"/>
      <c r="P224" s="219"/>
      <c r="Q224" s="221"/>
    </row>
    <row r="225" spans="2:17" x14ac:dyDescent="0.2">
      <c r="B225" s="219"/>
      <c r="C225" s="219"/>
      <c r="D225" s="219"/>
      <c r="E225" s="219"/>
      <c r="F225" s="219"/>
      <c r="G225" s="219"/>
      <c r="H225" s="219"/>
      <c r="I225" s="219"/>
      <c r="J225" s="219"/>
      <c r="K225" s="219"/>
      <c r="L225" s="219"/>
      <c r="M225" s="219"/>
      <c r="N225" s="219"/>
      <c r="O225" s="219"/>
      <c r="P225" s="219"/>
      <c r="Q225" s="221"/>
    </row>
    <row r="226" spans="2:17" x14ac:dyDescent="0.2">
      <c r="B226" s="219"/>
      <c r="C226" s="219"/>
      <c r="D226" s="219"/>
      <c r="E226" s="219"/>
      <c r="F226" s="219"/>
      <c r="G226" s="219"/>
      <c r="H226" s="219"/>
      <c r="I226" s="219"/>
      <c r="J226" s="219"/>
      <c r="K226" s="219"/>
      <c r="L226" s="219"/>
      <c r="M226" s="219"/>
      <c r="N226" s="219"/>
      <c r="O226" s="219"/>
      <c r="P226" s="219"/>
      <c r="Q226" s="221"/>
    </row>
    <row r="227" spans="2:17" x14ac:dyDescent="0.2">
      <c r="B227" s="219"/>
      <c r="C227" s="219"/>
      <c r="D227" s="219"/>
      <c r="E227" s="219"/>
      <c r="F227" s="219"/>
      <c r="G227" s="219"/>
      <c r="H227" s="219"/>
      <c r="I227" s="219"/>
      <c r="J227" s="219"/>
      <c r="K227" s="219"/>
      <c r="L227" s="219"/>
      <c r="M227" s="219"/>
      <c r="N227" s="219"/>
      <c r="O227" s="219"/>
      <c r="P227" s="219"/>
      <c r="Q227" s="221"/>
    </row>
    <row r="228" spans="2:17" x14ac:dyDescent="0.2">
      <c r="B228" s="219"/>
      <c r="C228" s="219"/>
      <c r="D228" s="219"/>
      <c r="E228" s="219"/>
      <c r="F228" s="219"/>
      <c r="G228" s="219"/>
      <c r="H228" s="219"/>
      <c r="I228" s="219"/>
      <c r="J228" s="219"/>
      <c r="K228" s="219"/>
      <c r="L228" s="219"/>
      <c r="M228" s="219"/>
      <c r="N228" s="219"/>
      <c r="O228" s="219"/>
      <c r="P228" s="219"/>
      <c r="Q228" s="221"/>
    </row>
    <row r="229" spans="2:17" x14ac:dyDescent="0.2">
      <c r="B229" s="219"/>
      <c r="C229" s="219"/>
      <c r="D229" s="219"/>
      <c r="E229" s="219"/>
      <c r="F229" s="219"/>
      <c r="G229" s="219"/>
      <c r="H229" s="219"/>
      <c r="I229" s="219"/>
      <c r="J229" s="219"/>
      <c r="K229" s="219"/>
      <c r="L229" s="219"/>
      <c r="M229" s="219"/>
      <c r="N229" s="219"/>
      <c r="O229" s="219"/>
      <c r="P229" s="219"/>
      <c r="Q229" s="221"/>
    </row>
    <row r="230" spans="2:17" x14ac:dyDescent="0.2">
      <c r="B230" s="219"/>
      <c r="C230" s="219"/>
      <c r="D230" s="219"/>
      <c r="E230" s="219"/>
      <c r="F230" s="219"/>
      <c r="G230" s="219"/>
      <c r="H230" s="219"/>
      <c r="I230" s="219"/>
      <c r="J230" s="219"/>
      <c r="K230" s="219"/>
      <c r="L230" s="219"/>
      <c r="M230" s="219"/>
      <c r="N230" s="219"/>
      <c r="O230" s="219"/>
      <c r="P230" s="219"/>
      <c r="Q230" s="221"/>
    </row>
    <row r="231" spans="2:17" x14ac:dyDescent="0.2">
      <c r="B231" s="219"/>
      <c r="C231" s="219"/>
      <c r="D231" s="219"/>
      <c r="E231" s="219"/>
      <c r="F231" s="219"/>
      <c r="G231" s="219"/>
      <c r="H231" s="219"/>
      <c r="I231" s="219"/>
      <c r="J231" s="219"/>
      <c r="K231" s="219"/>
      <c r="L231" s="219"/>
      <c r="M231" s="219"/>
      <c r="N231" s="219"/>
      <c r="O231" s="219"/>
      <c r="P231" s="219"/>
      <c r="Q231" s="221"/>
    </row>
    <row r="232" spans="2:17" x14ac:dyDescent="0.2">
      <c r="B232" s="219"/>
      <c r="C232" s="219"/>
      <c r="D232" s="219"/>
      <c r="E232" s="219"/>
      <c r="F232" s="219"/>
      <c r="G232" s="219"/>
      <c r="H232" s="219"/>
      <c r="I232" s="219"/>
      <c r="J232" s="219"/>
      <c r="K232" s="219"/>
      <c r="L232" s="219"/>
      <c r="M232" s="219"/>
      <c r="N232" s="219"/>
      <c r="O232" s="219"/>
      <c r="P232" s="219"/>
      <c r="Q232" s="221"/>
    </row>
    <row r="233" spans="2:17" x14ac:dyDescent="0.2">
      <c r="B233" s="219"/>
      <c r="C233" s="219"/>
      <c r="D233" s="219"/>
      <c r="E233" s="219"/>
      <c r="F233" s="219"/>
      <c r="G233" s="219"/>
      <c r="H233" s="219"/>
      <c r="I233" s="219"/>
      <c r="J233" s="219"/>
      <c r="K233" s="219"/>
      <c r="L233" s="219"/>
      <c r="M233" s="219"/>
      <c r="N233" s="219"/>
      <c r="O233" s="219"/>
      <c r="P233" s="219"/>
      <c r="Q233" s="221"/>
    </row>
    <row r="234" spans="2:17" x14ac:dyDescent="0.2">
      <c r="B234" s="219"/>
      <c r="C234" s="219"/>
      <c r="D234" s="219"/>
      <c r="E234" s="219"/>
      <c r="F234" s="219"/>
      <c r="G234" s="219"/>
      <c r="H234" s="219"/>
      <c r="I234" s="219"/>
      <c r="J234" s="219"/>
      <c r="K234" s="219"/>
      <c r="L234" s="219"/>
      <c r="M234" s="219"/>
      <c r="N234" s="219"/>
      <c r="O234" s="219"/>
      <c r="P234" s="219"/>
      <c r="Q234" s="221"/>
    </row>
    <row r="235" spans="2:17" x14ac:dyDescent="0.2">
      <c r="B235" s="219"/>
      <c r="C235" s="219"/>
      <c r="D235" s="219"/>
      <c r="E235" s="219"/>
      <c r="F235" s="219"/>
      <c r="G235" s="219"/>
      <c r="H235" s="219"/>
      <c r="I235" s="219"/>
      <c r="J235" s="219"/>
      <c r="K235" s="219"/>
      <c r="L235" s="219"/>
      <c r="M235" s="219"/>
      <c r="N235" s="219"/>
      <c r="O235" s="219"/>
      <c r="P235" s="219"/>
      <c r="Q235" s="221"/>
    </row>
    <row r="236" spans="2:17" x14ac:dyDescent="0.2">
      <c r="B236" s="219"/>
      <c r="C236" s="219"/>
      <c r="D236" s="219"/>
      <c r="E236" s="219"/>
      <c r="F236" s="219"/>
      <c r="G236" s="219"/>
      <c r="H236" s="219"/>
      <c r="I236" s="219"/>
      <c r="J236" s="219"/>
      <c r="K236" s="219"/>
      <c r="L236" s="219"/>
      <c r="M236" s="219"/>
      <c r="N236" s="219"/>
      <c r="O236" s="219"/>
      <c r="P236" s="219"/>
      <c r="Q236" s="221"/>
    </row>
    <row r="237" spans="2:17" x14ac:dyDescent="0.2">
      <c r="B237" s="219"/>
      <c r="C237" s="219"/>
      <c r="D237" s="219"/>
      <c r="E237" s="219"/>
      <c r="F237" s="219"/>
      <c r="G237" s="219"/>
      <c r="H237" s="219"/>
      <c r="I237" s="219"/>
      <c r="J237" s="219"/>
      <c r="K237" s="219"/>
      <c r="L237" s="219"/>
      <c r="M237" s="219"/>
      <c r="N237" s="219"/>
      <c r="O237" s="219"/>
      <c r="P237" s="219"/>
      <c r="Q237" s="221"/>
    </row>
    <row r="238" spans="2:17" x14ac:dyDescent="0.2">
      <c r="B238" s="219"/>
      <c r="C238" s="219"/>
      <c r="D238" s="219"/>
      <c r="E238" s="219"/>
      <c r="F238" s="219"/>
      <c r="G238" s="219"/>
      <c r="H238" s="219"/>
      <c r="I238" s="219"/>
      <c r="J238" s="219"/>
      <c r="K238" s="219"/>
      <c r="L238" s="219"/>
      <c r="M238" s="219"/>
      <c r="N238" s="219"/>
      <c r="O238" s="219"/>
      <c r="P238" s="219"/>
      <c r="Q238" s="221"/>
    </row>
    <row r="239" spans="2:17" x14ac:dyDescent="0.2">
      <c r="B239" s="219"/>
      <c r="C239" s="219"/>
      <c r="D239" s="219"/>
      <c r="E239" s="219"/>
      <c r="F239" s="219"/>
      <c r="G239" s="219"/>
      <c r="H239" s="219"/>
      <c r="I239" s="219"/>
      <c r="J239" s="219"/>
      <c r="K239" s="219"/>
      <c r="L239" s="219"/>
      <c r="M239" s="219"/>
      <c r="N239" s="219"/>
      <c r="O239" s="219"/>
      <c r="P239" s="219"/>
      <c r="Q239" s="221"/>
    </row>
    <row r="240" spans="2:17" x14ac:dyDescent="0.2">
      <c r="B240" s="219"/>
      <c r="C240" s="219"/>
      <c r="D240" s="219"/>
      <c r="E240" s="219"/>
      <c r="F240" s="219"/>
      <c r="G240" s="219"/>
      <c r="H240" s="219"/>
      <c r="I240" s="219"/>
      <c r="J240" s="219"/>
      <c r="K240" s="219"/>
      <c r="L240" s="219"/>
      <c r="M240" s="219"/>
      <c r="N240" s="219"/>
      <c r="O240" s="219"/>
      <c r="P240" s="219"/>
      <c r="Q240" s="221"/>
    </row>
    <row r="241" spans="2:17" x14ac:dyDescent="0.2">
      <c r="B241" s="219"/>
      <c r="C241" s="219"/>
      <c r="D241" s="219"/>
      <c r="E241" s="219"/>
      <c r="F241" s="219"/>
      <c r="G241" s="219"/>
      <c r="H241" s="219"/>
      <c r="I241" s="219"/>
      <c r="J241" s="219"/>
      <c r="K241" s="219"/>
      <c r="L241" s="219"/>
      <c r="M241" s="219"/>
      <c r="N241" s="219"/>
      <c r="O241" s="219"/>
      <c r="P241" s="219"/>
      <c r="Q241" s="221"/>
    </row>
    <row r="242" spans="2:17" x14ac:dyDescent="0.2">
      <c r="B242" s="219"/>
      <c r="C242" s="219"/>
      <c r="D242" s="219"/>
      <c r="E242" s="219"/>
      <c r="F242" s="219"/>
      <c r="G242" s="219"/>
      <c r="H242" s="219"/>
      <c r="I242" s="219"/>
      <c r="J242" s="219"/>
      <c r="K242" s="219"/>
      <c r="L242" s="219"/>
      <c r="M242" s="219"/>
      <c r="N242" s="219"/>
      <c r="O242" s="219"/>
      <c r="P242" s="219"/>
      <c r="Q242" s="221"/>
    </row>
    <row r="243" spans="2:17" x14ac:dyDescent="0.2">
      <c r="B243" s="219"/>
      <c r="C243" s="219"/>
      <c r="D243" s="219"/>
      <c r="E243" s="219"/>
      <c r="F243" s="219"/>
      <c r="G243" s="219"/>
      <c r="H243" s="219"/>
      <c r="I243" s="219"/>
      <c r="J243" s="219"/>
      <c r="K243" s="219"/>
      <c r="L243" s="219"/>
      <c r="M243" s="219"/>
      <c r="N243" s="219"/>
      <c r="O243" s="219"/>
      <c r="P243" s="219"/>
      <c r="Q243" s="221"/>
    </row>
    <row r="244" spans="2:17" x14ac:dyDescent="0.2">
      <c r="B244" s="219"/>
      <c r="C244" s="219"/>
      <c r="D244" s="219"/>
      <c r="E244" s="219"/>
      <c r="F244" s="219"/>
      <c r="G244" s="219"/>
      <c r="H244" s="219"/>
      <c r="I244" s="219"/>
      <c r="J244" s="219"/>
      <c r="K244" s="219"/>
      <c r="L244" s="219"/>
      <c r="M244" s="219"/>
      <c r="N244" s="219"/>
      <c r="O244" s="219"/>
      <c r="P244" s="219"/>
      <c r="Q244" s="221"/>
    </row>
    <row r="245" spans="2:17" x14ac:dyDescent="0.2">
      <c r="B245" s="219"/>
      <c r="C245" s="219"/>
      <c r="D245" s="219"/>
      <c r="E245" s="219"/>
      <c r="F245" s="219"/>
      <c r="G245" s="219"/>
      <c r="H245" s="219"/>
      <c r="I245" s="219"/>
      <c r="J245" s="219"/>
      <c r="K245" s="219"/>
      <c r="L245" s="219"/>
      <c r="M245" s="219"/>
      <c r="N245" s="219"/>
      <c r="O245" s="219"/>
      <c r="P245" s="219"/>
      <c r="Q245" s="221"/>
    </row>
    <row r="246" spans="2:17" x14ac:dyDescent="0.2">
      <c r="B246" s="219"/>
      <c r="C246" s="219"/>
      <c r="D246" s="219"/>
      <c r="E246" s="219"/>
      <c r="F246" s="219"/>
      <c r="G246" s="219"/>
      <c r="H246" s="219"/>
      <c r="I246" s="219"/>
      <c r="J246" s="219"/>
      <c r="K246" s="219"/>
      <c r="L246" s="219"/>
      <c r="M246" s="219"/>
      <c r="N246" s="219"/>
      <c r="O246" s="219"/>
      <c r="P246" s="219"/>
      <c r="Q246" s="221"/>
    </row>
    <row r="247" spans="2:17" x14ac:dyDescent="0.2">
      <c r="B247" s="219"/>
      <c r="C247" s="219"/>
      <c r="D247" s="219"/>
      <c r="E247" s="219"/>
      <c r="F247" s="219"/>
      <c r="G247" s="219"/>
      <c r="H247" s="219"/>
      <c r="I247" s="219"/>
      <c r="J247" s="219"/>
      <c r="K247" s="219"/>
      <c r="L247" s="219"/>
      <c r="M247" s="219"/>
      <c r="N247" s="219"/>
      <c r="O247" s="219"/>
      <c r="P247" s="219"/>
      <c r="Q247" s="221"/>
    </row>
    <row r="248" spans="2:17" x14ac:dyDescent="0.2">
      <c r="B248" s="219"/>
      <c r="C248" s="219"/>
      <c r="D248" s="219"/>
      <c r="E248" s="219"/>
      <c r="F248" s="219"/>
      <c r="G248" s="219"/>
      <c r="H248" s="219"/>
      <c r="I248" s="219"/>
      <c r="J248" s="219"/>
      <c r="K248" s="219"/>
      <c r="L248" s="219"/>
      <c r="M248" s="219"/>
      <c r="N248" s="219"/>
      <c r="O248" s="219"/>
      <c r="P248" s="219"/>
      <c r="Q248" s="221"/>
    </row>
    <row r="249" spans="2:17" x14ac:dyDescent="0.2">
      <c r="B249" s="219"/>
      <c r="C249" s="219"/>
      <c r="D249" s="219"/>
      <c r="E249" s="219"/>
      <c r="F249" s="219"/>
      <c r="G249" s="219"/>
      <c r="H249" s="219"/>
      <c r="I249" s="219"/>
      <c r="J249" s="219"/>
      <c r="K249" s="219"/>
      <c r="L249" s="219"/>
      <c r="M249" s="219"/>
      <c r="N249" s="219"/>
      <c r="O249" s="219"/>
      <c r="P249" s="219"/>
      <c r="Q249" s="221"/>
    </row>
    <row r="250" spans="2:17" x14ac:dyDescent="0.2">
      <c r="B250" s="219"/>
      <c r="C250" s="219"/>
      <c r="D250" s="219"/>
      <c r="E250" s="219"/>
      <c r="F250" s="219"/>
      <c r="G250" s="219"/>
      <c r="H250" s="219"/>
      <c r="I250" s="219"/>
      <c r="J250" s="219"/>
      <c r="K250" s="219"/>
      <c r="L250" s="219"/>
      <c r="M250" s="219"/>
      <c r="N250" s="219"/>
      <c r="O250" s="219"/>
      <c r="P250" s="219"/>
      <c r="Q250" s="221"/>
    </row>
    <row r="251" spans="2:17" x14ac:dyDescent="0.2">
      <c r="B251" s="219"/>
      <c r="C251" s="219"/>
      <c r="D251" s="219"/>
      <c r="E251" s="219"/>
      <c r="F251" s="219"/>
      <c r="G251" s="219"/>
      <c r="H251" s="219"/>
      <c r="I251" s="219"/>
      <c r="J251" s="219"/>
      <c r="K251" s="219"/>
      <c r="L251" s="219"/>
      <c r="M251" s="219"/>
      <c r="N251" s="219"/>
      <c r="O251" s="219"/>
      <c r="P251" s="219"/>
      <c r="Q251" s="221"/>
    </row>
    <row r="252" spans="2:17" x14ac:dyDescent="0.2">
      <c r="B252" s="219"/>
      <c r="C252" s="219"/>
      <c r="D252" s="219"/>
      <c r="E252" s="219"/>
      <c r="F252" s="219"/>
      <c r="G252" s="219"/>
      <c r="H252" s="219"/>
      <c r="I252" s="219"/>
      <c r="J252" s="219"/>
      <c r="K252" s="219"/>
      <c r="L252" s="219"/>
      <c r="M252" s="219"/>
      <c r="N252" s="219"/>
      <c r="O252" s="219"/>
      <c r="P252" s="219"/>
      <c r="Q252" s="221"/>
    </row>
    <row r="253" spans="2:17" x14ac:dyDescent="0.2">
      <c r="B253" s="219"/>
      <c r="C253" s="219"/>
      <c r="D253" s="219"/>
      <c r="E253" s="219"/>
      <c r="F253" s="219"/>
      <c r="G253" s="219"/>
      <c r="H253" s="219"/>
      <c r="I253" s="219"/>
      <c r="J253" s="219"/>
      <c r="K253" s="219"/>
      <c r="L253" s="219"/>
      <c r="M253" s="219"/>
      <c r="N253" s="219"/>
      <c r="O253" s="219"/>
      <c r="P253" s="219"/>
      <c r="Q253" s="221"/>
    </row>
    <row r="254" spans="2:17" x14ac:dyDescent="0.2">
      <c r="B254" s="219"/>
      <c r="C254" s="219"/>
      <c r="D254" s="219"/>
      <c r="E254" s="219"/>
      <c r="F254" s="219"/>
      <c r="G254" s="219"/>
      <c r="H254" s="219"/>
      <c r="I254" s="219"/>
      <c r="J254" s="219"/>
      <c r="K254" s="219"/>
      <c r="L254" s="219"/>
      <c r="M254" s="219"/>
      <c r="N254" s="219"/>
      <c r="O254" s="219"/>
      <c r="P254" s="219"/>
      <c r="Q254" s="221"/>
    </row>
    <row r="255" spans="2:17" x14ac:dyDescent="0.2">
      <c r="B255" s="219"/>
      <c r="C255" s="219"/>
      <c r="D255" s="219"/>
      <c r="E255" s="219"/>
      <c r="F255" s="219"/>
      <c r="G255" s="219"/>
      <c r="H255" s="219"/>
      <c r="I255" s="219"/>
      <c r="J255" s="219"/>
      <c r="K255" s="219"/>
      <c r="L255" s="219"/>
      <c r="M255" s="219"/>
      <c r="N255" s="219"/>
      <c r="O255" s="219"/>
      <c r="P255" s="219"/>
      <c r="Q255" s="221"/>
    </row>
    <row r="256" spans="2:17" x14ac:dyDescent="0.2">
      <c r="B256" s="219"/>
      <c r="C256" s="219"/>
      <c r="D256" s="219"/>
      <c r="E256" s="219"/>
      <c r="F256" s="219"/>
      <c r="G256" s="219"/>
      <c r="H256" s="219"/>
      <c r="I256" s="219"/>
      <c r="J256" s="219"/>
      <c r="K256" s="219"/>
      <c r="L256" s="219"/>
      <c r="M256" s="219"/>
      <c r="N256" s="219"/>
      <c r="O256" s="219"/>
      <c r="P256" s="219"/>
      <c r="Q256" s="221"/>
    </row>
    <row r="257" spans="2:17" x14ac:dyDescent="0.2">
      <c r="B257" s="219"/>
      <c r="C257" s="219"/>
      <c r="D257" s="219"/>
      <c r="E257" s="219"/>
      <c r="F257" s="219"/>
      <c r="G257" s="219"/>
      <c r="H257" s="219"/>
      <c r="I257" s="219"/>
      <c r="J257" s="219"/>
      <c r="K257" s="219"/>
      <c r="L257" s="219"/>
      <c r="M257" s="219"/>
      <c r="N257" s="219"/>
      <c r="O257" s="219"/>
      <c r="P257" s="219"/>
      <c r="Q257" s="221"/>
    </row>
    <row r="258" spans="2:17" x14ac:dyDescent="0.2">
      <c r="B258" s="219"/>
      <c r="C258" s="219"/>
      <c r="D258" s="219"/>
      <c r="E258" s="219"/>
      <c r="F258" s="219"/>
      <c r="G258" s="219"/>
      <c r="H258" s="219"/>
      <c r="I258" s="219"/>
      <c r="J258" s="219"/>
      <c r="K258" s="219"/>
      <c r="L258" s="219"/>
      <c r="M258" s="219"/>
      <c r="N258" s="219"/>
      <c r="O258" s="219"/>
      <c r="P258" s="219"/>
      <c r="Q258" s="221"/>
    </row>
    <row r="259" spans="2:17" x14ac:dyDescent="0.2">
      <c r="B259" s="219"/>
      <c r="C259" s="219"/>
      <c r="D259" s="219"/>
      <c r="E259" s="219"/>
      <c r="F259" s="219"/>
      <c r="G259" s="219"/>
      <c r="H259" s="219"/>
      <c r="I259" s="219"/>
      <c r="J259" s="219"/>
      <c r="K259" s="219"/>
      <c r="L259" s="219"/>
      <c r="M259" s="219"/>
      <c r="N259" s="219"/>
      <c r="O259" s="219"/>
      <c r="P259" s="219"/>
      <c r="Q259" s="221"/>
    </row>
    <row r="260" spans="2:17" x14ac:dyDescent="0.2">
      <c r="B260" s="219"/>
      <c r="C260" s="219"/>
      <c r="D260" s="219"/>
      <c r="E260" s="219"/>
      <c r="F260" s="219"/>
      <c r="G260" s="219"/>
      <c r="H260" s="219"/>
      <c r="I260" s="219"/>
      <c r="J260" s="219"/>
      <c r="K260" s="219"/>
      <c r="L260" s="219"/>
      <c r="M260" s="219"/>
      <c r="N260" s="219"/>
      <c r="O260" s="219"/>
      <c r="P260" s="219"/>
      <c r="Q260" s="221"/>
    </row>
    <row r="261" spans="2:17" x14ac:dyDescent="0.2">
      <c r="B261" s="219"/>
      <c r="C261" s="219"/>
      <c r="D261" s="219"/>
      <c r="E261" s="219"/>
      <c r="F261" s="219"/>
      <c r="G261" s="219"/>
      <c r="H261" s="219"/>
      <c r="I261" s="219"/>
      <c r="J261" s="219"/>
      <c r="K261" s="219"/>
      <c r="L261" s="219"/>
      <c r="M261" s="219"/>
      <c r="N261" s="219"/>
      <c r="O261" s="219"/>
      <c r="P261" s="219"/>
      <c r="Q261" s="221"/>
    </row>
    <row r="262" spans="2:17" x14ac:dyDescent="0.2">
      <c r="B262" s="219"/>
      <c r="C262" s="219"/>
      <c r="D262" s="219"/>
      <c r="E262" s="219"/>
      <c r="F262" s="219"/>
      <c r="G262" s="219"/>
      <c r="H262" s="219"/>
      <c r="I262" s="219"/>
      <c r="J262" s="219"/>
      <c r="K262" s="219"/>
      <c r="L262" s="219"/>
      <c r="M262" s="219"/>
      <c r="N262" s="219"/>
      <c r="O262" s="219"/>
      <c r="P262" s="219"/>
      <c r="Q262" s="221"/>
    </row>
    <row r="263" spans="2:17" x14ac:dyDescent="0.2">
      <c r="B263" s="219"/>
      <c r="C263" s="219"/>
      <c r="D263" s="219"/>
      <c r="E263" s="219"/>
      <c r="F263" s="219"/>
      <c r="G263" s="219"/>
      <c r="H263" s="219"/>
      <c r="I263" s="219"/>
      <c r="J263" s="219"/>
      <c r="K263" s="219"/>
      <c r="L263" s="219"/>
      <c r="M263" s="219"/>
      <c r="N263" s="219"/>
      <c r="O263" s="219"/>
      <c r="P263" s="219"/>
      <c r="Q263" s="221"/>
    </row>
    <row r="264" spans="2:17" x14ac:dyDescent="0.2">
      <c r="B264" s="219"/>
      <c r="C264" s="219"/>
      <c r="D264" s="219"/>
      <c r="E264" s="219"/>
      <c r="F264" s="219"/>
      <c r="G264" s="219"/>
      <c r="H264" s="219"/>
      <c r="I264" s="219"/>
      <c r="J264" s="219"/>
      <c r="K264" s="219"/>
      <c r="L264" s="219"/>
      <c r="M264" s="219"/>
      <c r="N264" s="219"/>
      <c r="O264" s="219"/>
      <c r="P264" s="219"/>
      <c r="Q264" s="221"/>
    </row>
    <row r="265" spans="2:17" x14ac:dyDescent="0.2">
      <c r="B265" s="219"/>
      <c r="C265" s="219"/>
      <c r="D265" s="219"/>
      <c r="E265" s="219"/>
      <c r="F265" s="219"/>
      <c r="G265" s="219"/>
      <c r="H265" s="219"/>
      <c r="I265" s="219"/>
      <c r="J265" s="219"/>
      <c r="K265" s="219"/>
      <c r="L265" s="219"/>
      <c r="M265" s="219"/>
      <c r="N265" s="219"/>
      <c r="O265" s="219"/>
      <c r="P265" s="219"/>
      <c r="Q265" s="221"/>
    </row>
    <row r="266" spans="2:17" x14ac:dyDescent="0.2">
      <c r="B266" s="219"/>
      <c r="C266" s="219"/>
      <c r="D266" s="219"/>
      <c r="E266" s="219"/>
      <c r="F266" s="219"/>
      <c r="G266" s="219"/>
      <c r="H266" s="219"/>
      <c r="I266" s="219"/>
      <c r="J266" s="219"/>
      <c r="K266" s="219"/>
      <c r="L266" s="219"/>
      <c r="M266" s="219"/>
      <c r="N266" s="219"/>
      <c r="O266" s="219"/>
      <c r="P266" s="219"/>
      <c r="Q266" s="221"/>
    </row>
    <row r="267" spans="2:17" x14ac:dyDescent="0.2">
      <c r="B267" s="219"/>
      <c r="C267" s="219"/>
      <c r="D267" s="219"/>
      <c r="E267" s="219"/>
      <c r="F267" s="219"/>
      <c r="G267" s="219"/>
      <c r="H267" s="219"/>
      <c r="I267" s="219"/>
      <c r="J267" s="219"/>
      <c r="K267" s="219"/>
      <c r="L267" s="219"/>
      <c r="M267" s="219"/>
      <c r="N267" s="219"/>
      <c r="O267" s="219"/>
      <c r="P267" s="219"/>
      <c r="Q267" s="221"/>
    </row>
    <row r="268" spans="2:17" x14ac:dyDescent="0.2">
      <c r="B268" s="219"/>
      <c r="C268" s="219"/>
      <c r="D268" s="219"/>
      <c r="E268" s="219"/>
      <c r="F268" s="219"/>
      <c r="G268" s="219"/>
      <c r="H268" s="219"/>
      <c r="I268" s="219"/>
      <c r="J268" s="219"/>
      <c r="K268" s="219"/>
      <c r="L268" s="219"/>
      <c r="M268" s="219"/>
      <c r="N268" s="219"/>
      <c r="O268" s="219"/>
      <c r="P268" s="219"/>
      <c r="Q268" s="221"/>
    </row>
    <row r="269" spans="2:17" x14ac:dyDescent="0.2">
      <c r="B269" s="219"/>
      <c r="C269" s="219"/>
      <c r="D269" s="219"/>
      <c r="E269" s="219"/>
      <c r="F269" s="219"/>
      <c r="G269" s="219"/>
      <c r="H269" s="219"/>
      <c r="I269" s="219"/>
      <c r="J269" s="219"/>
      <c r="K269" s="219"/>
      <c r="L269" s="219"/>
      <c r="M269" s="219"/>
      <c r="N269" s="219"/>
      <c r="O269" s="219"/>
      <c r="P269" s="219"/>
      <c r="Q269" s="221"/>
    </row>
    <row r="270" spans="2:17" x14ac:dyDescent="0.2"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21"/>
    </row>
    <row r="271" spans="2:17" x14ac:dyDescent="0.2">
      <c r="B271" s="219"/>
      <c r="C271" s="219"/>
      <c r="D271" s="219"/>
      <c r="E271" s="219"/>
      <c r="F271" s="219"/>
      <c r="G271" s="219"/>
      <c r="H271" s="219"/>
      <c r="I271" s="219"/>
      <c r="J271" s="219"/>
      <c r="K271" s="219"/>
      <c r="L271" s="219"/>
      <c r="M271" s="219"/>
      <c r="N271" s="219"/>
      <c r="O271" s="219"/>
      <c r="P271" s="219"/>
      <c r="Q271" s="221"/>
    </row>
    <row r="272" spans="2:17" x14ac:dyDescent="0.2">
      <c r="B272" s="219"/>
      <c r="C272" s="219"/>
      <c r="D272" s="219"/>
      <c r="E272" s="219"/>
      <c r="F272" s="219"/>
      <c r="G272" s="219"/>
      <c r="H272" s="219"/>
      <c r="I272" s="219"/>
      <c r="J272" s="219"/>
      <c r="K272" s="219"/>
      <c r="L272" s="219"/>
      <c r="M272" s="219"/>
      <c r="N272" s="219"/>
      <c r="O272" s="219"/>
      <c r="P272" s="219"/>
      <c r="Q272" s="221"/>
    </row>
    <row r="273" spans="2:17" x14ac:dyDescent="0.2">
      <c r="B273" s="219"/>
      <c r="C273" s="219"/>
      <c r="D273" s="219"/>
      <c r="E273" s="219"/>
      <c r="F273" s="219"/>
      <c r="G273" s="219"/>
      <c r="H273" s="219"/>
      <c r="I273" s="219"/>
      <c r="J273" s="219"/>
      <c r="K273" s="219"/>
      <c r="L273" s="219"/>
      <c r="M273" s="219"/>
      <c r="N273" s="219"/>
      <c r="O273" s="219"/>
      <c r="P273" s="219"/>
      <c r="Q273" s="221"/>
    </row>
    <row r="274" spans="2:17" x14ac:dyDescent="0.2">
      <c r="B274" s="219"/>
      <c r="C274" s="219"/>
      <c r="D274" s="219"/>
      <c r="E274" s="219"/>
      <c r="F274" s="219"/>
      <c r="G274" s="219"/>
      <c r="H274" s="219"/>
      <c r="I274" s="219"/>
      <c r="J274" s="219"/>
      <c r="K274" s="219"/>
      <c r="L274" s="219"/>
      <c r="M274" s="219"/>
      <c r="N274" s="219"/>
      <c r="O274" s="219"/>
      <c r="P274" s="219"/>
      <c r="Q274" s="221"/>
    </row>
    <row r="275" spans="2:17" x14ac:dyDescent="0.2">
      <c r="B275" s="219"/>
      <c r="C275" s="219"/>
      <c r="D275" s="219"/>
      <c r="E275" s="219"/>
      <c r="F275" s="219"/>
      <c r="G275" s="219"/>
      <c r="H275" s="219"/>
      <c r="I275" s="219"/>
      <c r="J275" s="219"/>
      <c r="K275" s="219"/>
      <c r="L275" s="219"/>
      <c r="M275" s="219"/>
      <c r="N275" s="219"/>
      <c r="O275" s="219"/>
      <c r="P275" s="219"/>
      <c r="Q275" s="221"/>
    </row>
    <row r="276" spans="2:17" x14ac:dyDescent="0.2">
      <c r="B276" s="219"/>
      <c r="C276" s="219"/>
      <c r="D276" s="219"/>
      <c r="E276" s="219"/>
      <c r="F276" s="219"/>
      <c r="G276" s="219"/>
      <c r="H276" s="219"/>
      <c r="I276" s="219"/>
      <c r="J276" s="219"/>
      <c r="K276" s="219"/>
      <c r="L276" s="219"/>
      <c r="M276" s="219"/>
      <c r="N276" s="219"/>
      <c r="O276" s="219"/>
      <c r="P276" s="219"/>
      <c r="Q276" s="221"/>
    </row>
    <row r="277" spans="2:17" x14ac:dyDescent="0.2">
      <c r="B277" s="219"/>
      <c r="C277" s="219"/>
      <c r="D277" s="219"/>
      <c r="E277" s="219"/>
      <c r="F277" s="219"/>
      <c r="G277" s="219"/>
      <c r="H277" s="219"/>
      <c r="I277" s="219"/>
      <c r="J277" s="219"/>
      <c r="K277" s="219"/>
      <c r="L277" s="219"/>
      <c r="M277" s="219"/>
      <c r="N277" s="219"/>
      <c r="O277" s="219"/>
      <c r="P277" s="219"/>
      <c r="Q277" s="221"/>
    </row>
    <row r="278" spans="2:17" x14ac:dyDescent="0.2">
      <c r="B278" s="219"/>
      <c r="C278" s="219"/>
      <c r="D278" s="219"/>
      <c r="E278" s="219"/>
      <c r="F278" s="219"/>
      <c r="G278" s="219"/>
      <c r="H278" s="219"/>
      <c r="I278" s="219"/>
      <c r="J278" s="219"/>
      <c r="K278" s="219"/>
      <c r="L278" s="219"/>
      <c r="M278" s="219"/>
      <c r="N278" s="219"/>
      <c r="O278" s="219"/>
      <c r="P278" s="219"/>
      <c r="Q278" s="221"/>
    </row>
    <row r="279" spans="2:17" x14ac:dyDescent="0.2">
      <c r="B279" s="219"/>
      <c r="C279" s="219"/>
      <c r="D279" s="219"/>
      <c r="E279" s="219"/>
      <c r="F279" s="219"/>
      <c r="G279" s="219"/>
      <c r="H279" s="219"/>
      <c r="I279" s="219"/>
      <c r="J279" s="219"/>
      <c r="K279" s="219"/>
      <c r="L279" s="219"/>
      <c r="M279" s="219"/>
      <c r="N279" s="219"/>
      <c r="O279" s="219"/>
      <c r="P279" s="219"/>
      <c r="Q279" s="221"/>
    </row>
    <row r="280" spans="2:17" x14ac:dyDescent="0.2">
      <c r="B280" s="219"/>
      <c r="C280" s="219"/>
      <c r="D280" s="219"/>
      <c r="E280" s="219"/>
      <c r="F280" s="219"/>
      <c r="G280" s="219"/>
      <c r="H280" s="219"/>
      <c r="I280" s="219"/>
      <c r="J280" s="219"/>
      <c r="K280" s="219"/>
      <c r="L280" s="219"/>
      <c r="M280" s="219"/>
      <c r="N280" s="219"/>
      <c r="O280" s="219"/>
      <c r="P280" s="219"/>
      <c r="Q280" s="221"/>
    </row>
    <row r="281" spans="2:17" x14ac:dyDescent="0.2">
      <c r="B281" s="219"/>
      <c r="C281" s="219"/>
      <c r="D281" s="219"/>
      <c r="E281" s="219"/>
      <c r="F281" s="219"/>
      <c r="G281" s="219"/>
      <c r="H281" s="219"/>
      <c r="I281" s="219"/>
      <c r="J281" s="219"/>
      <c r="K281" s="219"/>
      <c r="L281" s="219"/>
      <c r="M281" s="219"/>
      <c r="N281" s="219"/>
      <c r="O281" s="219"/>
      <c r="P281" s="219"/>
      <c r="Q281" s="221"/>
    </row>
    <row r="282" spans="2:17" x14ac:dyDescent="0.2">
      <c r="B282" s="219"/>
      <c r="C282" s="219"/>
      <c r="D282" s="219"/>
      <c r="E282" s="219"/>
      <c r="F282" s="219"/>
      <c r="G282" s="219"/>
      <c r="H282" s="219"/>
      <c r="I282" s="219"/>
      <c r="J282" s="219"/>
      <c r="K282" s="219"/>
      <c r="L282" s="219"/>
      <c r="M282" s="219"/>
      <c r="N282" s="219"/>
      <c r="O282" s="219"/>
      <c r="P282" s="219"/>
      <c r="Q282" s="221"/>
    </row>
    <row r="283" spans="2:17" x14ac:dyDescent="0.2">
      <c r="B283" s="219"/>
      <c r="C283" s="219"/>
      <c r="D283" s="219"/>
      <c r="E283" s="219"/>
      <c r="F283" s="219"/>
      <c r="G283" s="219"/>
      <c r="H283" s="219"/>
      <c r="I283" s="219"/>
      <c r="J283" s="219"/>
      <c r="K283" s="219"/>
      <c r="L283" s="219"/>
      <c r="M283" s="219"/>
      <c r="N283" s="219"/>
      <c r="O283" s="219"/>
      <c r="P283" s="219"/>
      <c r="Q283" s="221"/>
    </row>
    <row r="284" spans="2:17" x14ac:dyDescent="0.2">
      <c r="B284" s="219"/>
      <c r="C284" s="219"/>
      <c r="D284" s="219"/>
      <c r="E284" s="219"/>
      <c r="F284" s="219"/>
      <c r="G284" s="219"/>
      <c r="H284" s="219"/>
      <c r="I284" s="219"/>
      <c r="J284" s="219"/>
      <c r="K284" s="219"/>
      <c r="L284" s="219"/>
      <c r="M284" s="219"/>
      <c r="N284" s="219"/>
      <c r="O284" s="219"/>
      <c r="P284" s="219"/>
      <c r="Q284" s="221"/>
    </row>
    <row r="285" spans="2:17" x14ac:dyDescent="0.2">
      <c r="B285" s="219"/>
      <c r="C285" s="219"/>
      <c r="D285" s="219"/>
      <c r="E285" s="219"/>
      <c r="F285" s="219"/>
      <c r="G285" s="219"/>
      <c r="H285" s="219"/>
      <c r="I285" s="219"/>
      <c r="J285" s="219"/>
      <c r="K285" s="219"/>
      <c r="L285" s="219"/>
      <c r="M285" s="219"/>
      <c r="N285" s="219"/>
      <c r="O285" s="219"/>
      <c r="P285" s="219"/>
      <c r="Q285" s="221"/>
    </row>
    <row r="286" spans="2:17" x14ac:dyDescent="0.2">
      <c r="B286" s="219"/>
      <c r="C286" s="219"/>
      <c r="D286" s="219"/>
      <c r="E286" s="219"/>
      <c r="F286" s="219"/>
      <c r="G286" s="219"/>
      <c r="H286" s="219"/>
      <c r="I286" s="219"/>
      <c r="J286" s="219"/>
      <c r="K286" s="219"/>
      <c r="L286" s="219"/>
      <c r="M286" s="219"/>
      <c r="N286" s="219"/>
      <c r="O286" s="219"/>
      <c r="P286" s="219"/>
      <c r="Q286" s="221"/>
    </row>
    <row r="287" spans="2:17" x14ac:dyDescent="0.2">
      <c r="B287" s="219"/>
      <c r="C287" s="219"/>
      <c r="D287" s="219"/>
      <c r="E287" s="219"/>
      <c r="F287" s="219"/>
      <c r="G287" s="219"/>
      <c r="H287" s="219"/>
      <c r="I287" s="219"/>
      <c r="J287" s="219"/>
      <c r="K287" s="219"/>
      <c r="L287" s="219"/>
      <c r="M287" s="219"/>
      <c r="N287" s="219"/>
      <c r="O287" s="219"/>
      <c r="P287" s="219"/>
      <c r="Q287" s="221"/>
    </row>
    <row r="288" spans="2:17" x14ac:dyDescent="0.2">
      <c r="B288" s="219"/>
      <c r="C288" s="219"/>
      <c r="D288" s="219"/>
      <c r="E288" s="219"/>
      <c r="F288" s="219"/>
      <c r="G288" s="219"/>
      <c r="H288" s="219"/>
      <c r="I288" s="219"/>
      <c r="J288" s="219"/>
      <c r="K288" s="219"/>
      <c r="L288" s="219"/>
      <c r="M288" s="219"/>
      <c r="N288" s="219"/>
      <c r="O288" s="219"/>
      <c r="P288" s="219"/>
      <c r="Q288" s="221"/>
    </row>
    <row r="289" spans="2:17" x14ac:dyDescent="0.2">
      <c r="B289" s="219"/>
      <c r="C289" s="219"/>
      <c r="D289" s="219"/>
      <c r="E289" s="219"/>
      <c r="F289" s="219"/>
      <c r="G289" s="219"/>
      <c r="H289" s="219"/>
      <c r="I289" s="219"/>
      <c r="J289" s="219"/>
      <c r="K289" s="219"/>
      <c r="L289" s="219"/>
      <c r="M289" s="219"/>
      <c r="N289" s="219"/>
      <c r="O289" s="219"/>
      <c r="P289" s="219"/>
      <c r="Q289" s="221"/>
    </row>
    <row r="290" spans="2:17" x14ac:dyDescent="0.2">
      <c r="B290" s="219"/>
      <c r="C290" s="219"/>
      <c r="D290" s="219"/>
      <c r="E290" s="219"/>
      <c r="F290" s="219"/>
      <c r="G290" s="219"/>
      <c r="H290" s="219"/>
      <c r="I290" s="219"/>
      <c r="J290" s="219"/>
      <c r="K290" s="219"/>
      <c r="L290" s="219"/>
      <c r="M290" s="219"/>
      <c r="N290" s="219"/>
      <c r="O290" s="219"/>
      <c r="P290" s="219"/>
      <c r="Q290" s="221"/>
    </row>
    <row r="291" spans="2:17" x14ac:dyDescent="0.2">
      <c r="B291" s="219"/>
      <c r="C291" s="219"/>
      <c r="D291" s="219"/>
      <c r="E291" s="219"/>
      <c r="F291" s="219"/>
      <c r="G291" s="219"/>
      <c r="H291" s="219"/>
      <c r="I291" s="219"/>
      <c r="J291" s="219"/>
      <c r="K291" s="219"/>
      <c r="L291" s="219"/>
      <c r="M291" s="219"/>
      <c r="N291" s="219"/>
      <c r="O291" s="219"/>
      <c r="P291" s="219"/>
      <c r="Q291" s="221"/>
    </row>
    <row r="292" spans="2:17" x14ac:dyDescent="0.2">
      <c r="B292" s="219"/>
      <c r="C292" s="219"/>
      <c r="D292" s="219"/>
      <c r="E292" s="219"/>
      <c r="F292" s="219"/>
      <c r="G292" s="219"/>
      <c r="H292" s="219"/>
      <c r="I292" s="219"/>
      <c r="J292" s="219"/>
      <c r="K292" s="219"/>
      <c r="L292" s="219"/>
      <c r="M292" s="219"/>
      <c r="N292" s="219"/>
      <c r="O292" s="219"/>
      <c r="P292" s="219"/>
      <c r="Q292" s="221"/>
    </row>
    <row r="293" spans="2:17" x14ac:dyDescent="0.2">
      <c r="B293" s="219"/>
      <c r="C293" s="219"/>
      <c r="D293" s="219"/>
      <c r="E293" s="219"/>
      <c r="F293" s="219"/>
      <c r="G293" s="219"/>
      <c r="H293" s="219"/>
      <c r="I293" s="219"/>
      <c r="J293" s="219"/>
      <c r="K293" s="219"/>
      <c r="L293" s="219"/>
      <c r="M293" s="219"/>
      <c r="N293" s="219"/>
      <c r="O293" s="219"/>
      <c r="P293" s="219"/>
      <c r="Q293" s="221"/>
    </row>
    <row r="294" spans="2:17" x14ac:dyDescent="0.2">
      <c r="B294" s="219"/>
      <c r="C294" s="219"/>
      <c r="D294" s="219"/>
      <c r="E294" s="219"/>
      <c r="F294" s="219"/>
      <c r="G294" s="219"/>
      <c r="H294" s="219"/>
      <c r="I294" s="219"/>
      <c r="J294" s="219"/>
      <c r="K294" s="219"/>
      <c r="L294" s="219"/>
      <c r="M294" s="219"/>
      <c r="N294" s="219"/>
      <c r="O294" s="219"/>
      <c r="P294" s="219"/>
      <c r="Q294" s="221"/>
    </row>
    <row r="295" spans="2:17" x14ac:dyDescent="0.2">
      <c r="B295" s="219"/>
      <c r="C295" s="219"/>
      <c r="D295" s="219"/>
      <c r="E295" s="219"/>
      <c r="F295" s="219"/>
      <c r="G295" s="219"/>
      <c r="H295" s="219"/>
      <c r="I295" s="219"/>
      <c r="J295" s="219"/>
      <c r="K295" s="219"/>
      <c r="L295" s="219"/>
      <c r="M295" s="219"/>
      <c r="N295" s="219"/>
      <c r="O295" s="219"/>
      <c r="P295" s="219"/>
      <c r="Q295" s="221"/>
    </row>
    <row r="296" spans="2:17" x14ac:dyDescent="0.2">
      <c r="B296" s="219"/>
      <c r="C296" s="219"/>
      <c r="D296" s="219"/>
      <c r="E296" s="219"/>
      <c r="F296" s="219"/>
      <c r="G296" s="219"/>
      <c r="H296" s="219"/>
      <c r="I296" s="219"/>
      <c r="J296" s="219"/>
      <c r="K296" s="219"/>
      <c r="L296" s="219"/>
      <c r="M296" s="219"/>
      <c r="N296" s="219"/>
      <c r="O296" s="219"/>
      <c r="P296" s="219"/>
      <c r="Q296" s="221"/>
    </row>
    <row r="297" spans="2:17" x14ac:dyDescent="0.2">
      <c r="B297" s="219"/>
      <c r="C297" s="219"/>
      <c r="D297" s="219"/>
      <c r="E297" s="219"/>
      <c r="F297" s="219"/>
      <c r="G297" s="219"/>
      <c r="H297" s="219"/>
      <c r="I297" s="219"/>
      <c r="J297" s="219"/>
      <c r="K297" s="219"/>
      <c r="L297" s="219"/>
      <c r="M297" s="219"/>
      <c r="N297" s="219"/>
      <c r="O297" s="219"/>
      <c r="P297" s="219"/>
      <c r="Q297" s="221"/>
    </row>
    <row r="298" spans="2:17" x14ac:dyDescent="0.2">
      <c r="B298" s="219"/>
      <c r="C298" s="219"/>
      <c r="D298" s="219"/>
      <c r="E298" s="219"/>
      <c r="F298" s="219"/>
      <c r="G298" s="219"/>
      <c r="H298" s="219"/>
      <c r="I298" s="219"/>
      <c r="J298" s="219"/>
      <c r="K298" s="219"/>
      <c r="L298" s="219"/>
      <c r="M298" s="219"/>
      <c r="N298" s="219"/>
      <c r="O298" s="219"/>
      <c r="P298" s="219"/>
      <c r="Q298" s="221"/>
    </row>
    <row r="299" spans="2:17" x14ac:dyDescent="0.2">
      <c r="B299" s="219"/>
      <c r="C299" s="219"/>
      <c r="D299" s="219"/>
      <c r="E299" s="219"/>
      <c r="F299" s="219"/>
      <c r="G299" s="219"/>
      <c r="H299" s="219"/>
      <c r="I299" s="219"/>
      <c r="J299" s="219"/>
      <c r="K299" s="219"/>
      <c r="L299" s="219"/>
      <c r="M299" s="219"/>
      <c r="N299" s="219"/>
      <c r="O299" s="219"/>
      <c r="P299" s="219"/>
      <c r="Q299" s="221"/>
    </row>
    <row r="300" spans="2:17" x14ac:dyDescent="0.2">
      <c r="B300" s="219"/>
      <c r="C300" s="219"/>
      <c r="D300" s="219"/>
      <c r="E300" s="219"/>
      <c r="F300" s="219"/>
      <c r="G300" s="219"/>
      <c r="H300" s="219"/>
      <c r="I300" s="219"/>
      <c r="J300" s="219"/>
      <c r="K300" s="219"/>
      <c r="L300" s="219"/>
      <c r="M300" s="219"/>
      <c r="N300" s="219"/>
      <c r="O300" s="219"/>
      <c r="P300" s="219"/>
      <c r="Q300" s="221"/>
    </row>
    <row r="301" spans="2:17" x14ac:dyDescent="0.2">
      <c r="B301" s="219"/>
      <c r="C301" s="219"/>
      <c r="D301" s="219"/>
      <c r="E301" s="219"/>
      <c r="F301" s="219"/>
      <c r="G301" s="219"/>
      <c r="H301" s="219"/>
      <c r="I301" s="219"/>
      <c r="J301" s="219"/>
      <c r="K301" s="219"/>
      <c r="L301" s="219"/>
      <c r="M301" s="219"/>
      <c r="N301" s="219"/>
      <c r="O301" s="219"/>
      <c r="P301" s="219"/>
      <c r="Q301" s="221"/>
    </row>
    <row r="302" spans="2:17" x14ac:dyDescent="0.2">
      <c r="B302" s="219"/>
      <c r="C302" s="219"/>
      <c r="D302" s="219"/>
      <c r="E302" s="219"/>
      <c r="F302" s="219"/>
      <c r="G302" s="219"/>
      <c r="H302" s="219"/>
      <c r="I302" s="219"/>
      <c r="J302" s="219"/>
      <c r="K302" s="219"/>
      <c r="L302" s="219"/>
      <c r="M302" s="219"/>
      <c r="N302" s="219"/>
      <c r="O302" s="219"/>
      <c r="P302" s="219"/>
      <c r="Q302" s="221"/>
    </row>
    <row r="303" spans="2:17" x14ac:dyDescent="0.2">
      <c r="B303" s="219"/>
      <c r="C303" s="219"/>
      <c r="D303" s="219"/>
      <c r="E303" s="219"/>
      <c r="F303" s="219"/>
      <c r="G303" s="219"/>
      <c r="H303" s="219"/>
      <c r="I303" s="219"/>
      <c r="J303" s="219"/>
      <c r="K303" s="219"/>
      <c r="L303" s="219"/>
      <c r="M303" s="219"/>
      <c r="N303" s="219"/>
      <c r="O303" s="219"/>
      <c r="P303" s="219"/>
      <c r="Q303" s="221"/>
    </row>
    <row r="304" spans="2:17" x14ac:dyDescent="0.2">
      <c r="B304" s="219"/>
      <c r="C304" s="219"/>
      <c r="D304" s="219"/>
      <c r="E304" s="219"/>
      <c r="F304" s="219"/>
      <c r="G304" s="219"/>
      <c r="H304" s="219"/>
      <c r="I304" s="219"/>
      <c r="J304" s="219"/>
      <c r="K304" s="219"/>
      <c r="L304" s="219"/>
      <c r="M304" s="219"/>
      <c r="N304" s="219"/>
      <c r="O304" s="219"/>
      <c r="P304" s="219"/>
      <c r="Q304" s="221"/>
    </row>
    <row r="305" spans="2:17" x14ac:dyDescent="0.2">
      <c r="B305" s="219"/>
      <c r="C305" s="219"/>
      <c r="D305" s="219"/>
      <c r="E305" s="219"/>
      <c r="F305" s="219"/>
      <c r="G305" s="219"/>
      <c r="H305" s="219"/>
      <c r="I305" s="219"/>
      <c r="J305" s="219"/>
      <c r="K305" s="219"/>
      <c r="L305" s="219"/>
      <c r="M305" s="219"/>
      <c r="N305" s="219"/>
      <c r="O305" s="219"/>
      <c r="P305" s="219"/>
      <c r="Q305" s="221"/>
    </row>
    <row r="306" spans="2:17" x14ac:dyDescent="0.2">
      <c r="B306" s="219"/>
      <c r="C306" s="219"/>
      <c r="D306" s="219"/>
      <c r="E306" s="219"/>
      <c r="F306" s="219"/>
      <c r="G306" s="219"/>
      <c r="H306" s="219"/>
      <c r="I306" s="219"/>
      <c r="J306" s="219"/>
      <c r="K306" s="219"/>
      <c r="L306" s="219"/>
      <c r="M306" s="219"/>
      <c r="N306" s="219"/>
      <c r="O306" s="219"/>
      <c r="P306" s="219"/>
      <c r="Q306" s="221"/>
    </row>
    <row r="307" spans="2:17" x14ac:dyDescent="0.2">
      <c r="B307" s="219"/>
      <c r="C307" s="219"/>
      <c r="D307" s="219"/>
      <c r="E307" s="219"/>
      <c r="F307" s="219"/>
      <c r="G307" s="219"/>
      <c r="H307" s="219"/>
      <c r="I307" s="219"/>
      <c r="J307" s="219"/>
      <c r="K307" s="219"/>
      <c r="L307" s="219"/>
      <c r="M307" s="219"/>
      <c r="N307" s="219"/>
      <c r="O307" s="219"/>
      <c r="P307" s="219"/>
      <c r="Q307" s="221"/>
    </row>
    <row r="308" spans="2:17" x14ac:dyDescent="0.2">
      <c r="B308" s="219"/>
      <c r="C308" s="219"/>
      <c r="D308" s="219"/>
      <c r="E308" s="219"/>
      <c r="F308" s="219"/>
      <c r="G308" s="219"/>
      <c r="H308" s="219"/>
      <c r="I308" s="219"/>
      <c r="J308" s="219"/>
      <c r="K308" s="219"/>
      <c r="L308" s="219"/>
      <c r="M308" s="219"/>
      <c r="N308" s="219"/>
      <c r="O308" s="219"/>
      <c r="P308" s="219"/>
      <c r="Q308" s="221"/>
    </row>
    <row r="309" spans="2:17" x14ac:dyDescent="0.2">
      <c r="B309" s="219"/>
      <c r="C309" s="219"/>
      <c r="D309" s="219"/>
      <c r="E309" s="219"/>
      <c r="F309" s="219"/>
      <c r="G309" s="219"/>
      <c r="H309" s="219"/>
      <c r="I309" s="219"/>
      <c r="J309" s="219"/>
      <c r="K309" s="219"/>
      <c r="L309" s="219"/>
      <c r="M309" s="219"/>
      <c r="N309" s="219"/>
      <c r="O309" s="219"/>
      <c r="P309" s="219"/>
      <c r="Q309" s="221"/>
    </row>
    <row r="310" spans="2:17" x14ac:dyDescent="0.2">
      <c r="B310" s="219"/>
      <c r="C310" s="219"/>
      <c r="D310" s="219"/>
      <c r="E310" s="219"/>
      <c r="F310" s="219"/>
      <c r="G310" s="219"/>
      <c r="H310" s="219"/>
      <c r="I310" s="219"/>
      <c r="J310" s="219"/>
      <c r="K310" s="219"/>
      <c r="L310" s="219"/>
      <c r="M310" s="219"/>
      <c r="N310" s="219"/>
      <c r="O310" s="219"/>
      <c r="P310" s="219"/>
      <c r="Q310" s="221"/>
    </row>
    <row r="311" spans="2:17" x14ac:dyDescent="0.2">
      <c r="B311" s="219"/>
      <c r="C311" s="219"/>
      <c r="D311" s="219"/>
      <c r="E311" s="219"/>
      <c r="F311" s="219"/>
      <c r="G311" s="219"/>
      <c r="H311" s="219"/>
      <c r="I311" s="219"/>
      <c r="J311" s="219"/>
      <c r="K311" s="219"/>
      <c r="L311" s="219"/>
      <c r="M311" s="219"/>
      <c r="N311" s="219"/>
      <c r="O311" s="219"/>
      <c r="P311" s="219"/>
      <c r="Q311" s="221"/>
    </row>
    <row r="312" spans="2:17" x14ac:dyDescent="0.2">
      <c r="B312" s="219"/>
      <c r="C312" s="219"/>
      <c r="D312" s="219"/>
      <c r="E312" s="219"/>
      <c r="F312" s="219"/>
      <c r="G312" s="219"/>
      <c r="H312" s="219"/>
      <c r="I312" s="219"/>
      <c r="J312" s="219"/>
      <c r="K312" s="219"/>
      <c r="L312" s="219"/>
      <c r="M312" s="219"/>
      <c r="N312" s="219"/>
      <c r="O312" s="219"/>
      <c r="P312" s="219"/>
      <c r="Q312" s="221"/>
    </row>
    <row r="313" spans="2:17" x14ac:dyDescent="0.2">
      <c r="B313" s="219"/>
      <c r="C313" s="219"/>
      <c r="D313" s="219"/>
      <c r="E313" s="219"/>
      <c r="F313" s="219"/>
      <c r="G313" s="219"/>
      <c r="H313" s="219"/>
      <c r="I313" s="219"/>
      <c r="J313" s="219"/>
      <c r="K313" s="219"/>
      <c r="L313" s="219"/>
      <c r="M313" s="219"/>
      <c r="N313" s="219"/>
      <c r="O313" s="219"/>
      <c r="P313" s="219"/>
      <c r="Q313" s="221"/>
    </row>
    <row r="314" spans="2:17" x14ac:dyDescent="0.2">
      <c r="B314" s="219"/>
      <c r="C314" s="219"/>
      <c r="D314" s="219"/>
      <c r="E314" s="219"/>
      <c r="F314" s="219"/>
      <c r="G314" s="219"/>
      <c r="H314" s="219"/>
      <c r="I314" s="219"/>
      <c r="J314" s="219"/>
      <c r="K314" s="219"/>
      <c r="L314" s="219"/>
      <c r="M314" s="219"/>
      <c r="N314" s="219"/>
      <c r="O314" s="219"/>
      <c r="P314" s="219"/>
      <c r="Q314" s="221"/>
    </row>
    <row r="315" spans="2:17" x14ac:dyDescent="0.2">
      <c r="B315" s="219"/>
      <c r="C315" s="219"/>
      <c r="D315" s="219"/>
      <c r="E315" s="219"/>
      <c r="F315" s="219"/>
      <c r="G315" s="219"/>
      <c r="H315" s="219"/>
      <c r="I315" s="219"/>
      <c r="J315" s="219"/>
      <c r="K315" s="219"/>
      <c r="L315" s="219"/>
      <c r="M315" s="219"/>
      <c r="N315" s="219"/>
      <c r="O315" s="219"/>
      <c r="P315" s="219"/>
      <c r="Q315" s="221"/>
    </row>
    <row r="316" spans="2:17" x14ac:dyDescent="0.2">
      <c r="B316" s="219"/>
      <c r="C316" s="219"/>
      <c r="D316" s="219"/>
      <c r="E316" s="219"/>
      <c r="F316" s="219"/>
      <c r="G316" s="219"/>
      <c r="H316" s="219"/>
      <c r="I316" s="219"/>
      <c r="J316" s="219"/>
      <c r="K316" s="219"/>
      <c r="L316" s="219"/>
      <c r="M316" s="219"/>
      <c r="N316" s="219"/>
      <c r="O316" s="219"/>
      <c r="P316" s="219"/>
      <c r="Q316" s="221"/>
    </row>
    <row r="317" spans="2:17" x14ac:dyDescent="0.2">
      <c r="B317" s="219"/>
      <c r="C317" s="219"/>
      <c r="D317" s="219"/>
      <c r="E317" s="219"/>
      <c r="F317" s="219"/>
      <c r="G317" s="219"/>
      <c r="H317" s="219"/>
      <c r="I317" s="219"/>
      <c r="J317" s="219"/>
      <c r="K317" s="219"/>
      <c r="L317" s="219"/>
      <c r="M317" s="219"/>
      <c r="N317" s="219"/>
      <c r="O317" s="219"/>
      <c r="P317" s="219"/>
      <c r="Q317" s="221"/>
    </row>
    <row r="318" spans="2:17" x14ac:dyDescent="0.2">
      <c r="B318" s="219"/>
      <c r="C318" s="219"/>
      <c r="D318" s="219"/>
      <c r="E318" s="219"/>
      <c r="F318" s="219"/>
      <c r="G318" s="219"/>
      <c r="H318" s="219"/>
      <c r="I318" s="219"/>
      <c r="J318" s="219"/>
      <c r="K318" s="219"/>
      <c r="L318" s="219"/>
      <c r="M318" s="219"/>
      <c r="N318" s="219"/>
      <c r="O318" s="219"/>
      <c r="P318" s="219"/>
      <c r="Q318" s="221"/>
    </row>
    <row r="319" spans="2:17" x14ac:dyDescent="0.2">
      <c r="B319" s="219"/>
      <c r="C319" s="219"/>
      <c r="D319" s="219"/>
      <c r="E319" s="219"/>
      <c r="F319" s="219"/>
      <c r="G319" s="219"/>
      <c r="H319" s="219"/>
      <c r="I319" s="219"/>
      <c r="J319" s="219"/>
      <c r="K319" s="219"/>
      <c r="L319" s="219"/>
      <c r="M319" s="219"/>
      <c r="N319" s="219"/>
      <c r="O319" s="219"/>
      <c r="P319" s="219"/>
      <c r="Q319" s="221"/>
    </row>
    <row r="320" spans="2:17" x14ac:dyDescent="0.2">
      <c r="B320" s="219"/>
      <c r="C320" s="219"/>
      <c r="D320" s="219"/>
      <c r="E320" s="219"/>
      <c r="F320" s="219"/>
      <c r="G320" s="219"/>
      <c r="H320" s="219"/>
      <c r="I320" s="219"/>
      <c r="J320" s="219"/>
      <c r="K320" s="219"/>
      <c r="L320" s="219"/>
      <c r="M320" s="219"/>
      <c r="N320" s="219"/>
      <c r="O320" s="219"/>
      <c r="P320" s="219"/>
      <c r="Q320" s="221"/>
    </row>
    <row r="321" spans="2:17" x14ac:dyDescent="0.2">
      <c r="B321" s="219"/>
      <c r="C321" s="219"/>
      <c r="D321" s="219"/>
      <c r="E321" s="219"/>
      <c r="F321" s="219"/>
      <c r="G321" s="219"/>
      <c r="H321" s="219"/>
      <c r="I321" s="219"/>
      <c r="J321" s="219"/>
      <c r="K321" s="219"/>
      <c r="L321" s="219"/>
      <c r="M321" s="219"/>
      <c r="N321" s="219"/>
      <c r="O321" s="219"/>
      <c r="P321" s="219"/>
      <c r="Q321" s="221"/>
    </row>
    <row r="322" spans="2:17" x14ac:dyDescent="0.2">
      <c r="B322" s="219"/>
      <c r="C322" s="219"/>
      <c r="D322" s="219"/>
      <c r="E322" s="219"/>
      <c r="F322" s="219"/>
      <c r="G322" s="219"/>
      <c r="H322" s="219"/>
      <c r="I322" s="219"/>
      <c r="J322" s="219"/>
      <c r="K322" s="219"/>
      <c r="L322" s="219"/>
      <c r="M322" s="219"/>
      <c r="N322" s="219"/>
      <c r="O322" s="219"/>
      <c r="P322" s="219"/>
      <c r="Q322" s="221"/>
    </row>
    <row r="323" spans="2:17" x14ac:dyDescent="0.2">
      <c r="B323" s="219"/>
      <c r="C323" s="219"/>
      <c r="D323" s="219"/>
      <c r="E323" s="219"/>
      <c r="F323" s="219"/>
      <c r="G323" s="219"/>
      <c r="H323" s="219"/>
      <c r="I323" s="219"/>
      <c r="J323" s="219"/>
      <c r="K323" s="219"/>
      <c r="L323" s="219"/>
      <c r="M323" s="219"/>
      <c r="N323" s="219"/>
      <c r="O323" s="219"/>
      <c r="P323" s="219"/>
      <c r="Q323" s="221"/>
    </row>
    <row r="324" spans="2:17" x14ac:dyDescent="0.2">
      <c r="B324" s="219"/>
      <c r="C324" s="219"/>
      <c r="D324" s="219"/>
      <c r="E324" s="219"/>
      <c r="F324" s="219"/>
      <c r="G324" s="219"/>
      <c r="H324" s="219"/>
      <c r="I324" s="219"/>
      <c r="J324" s="219"/>
      <c r="K324" s="219"/>
      <c r="L324" s="219"/>
      <c r="M324" s="219"/>
      <c r="N324" s="219"/>
      <c r="O324" s="219"/>
      <c r="P324" s="219"/>
      <c r="Q324" s="221"/>
    </row>
    <row r="325" spans="2:17" x14ac:dyDescent="0.2">
      <c r="B325" s="219"/>
      <c r="C325" s="219"/>
      <c r="D325" s="219"/>
      <c r="E325" s="219"/>
      <c r="F325" s="219"/>
      <c r="G325" s="219"/>
      <c r="H325" s="219"/>
      <c r="I325" s="219"/>
      <c r="J325" s="219"/>
      <c r="K325" s="219"/>
      <c r="L325" s="219"/>
      <c r="M325" s="219"/>
      <c r="N325" s="219"/>
      <c r="O325" s="219"/>
      <c r="P325" s="219"/>
      <c r="Q325" s="221"/>
    </row>
    <row r="326" spans="2:17" x14ac:dyDescent="0.2">
      <c r="B326" s="219"/>
      <c r="C326" s="219"/>
      <c r="D326" s="219"/>
      <c r="E326" s="219"/>
      <c r="F326" s="219"/>
      <c r="G326" s="219"/>
      <c r="H326" s="219"/>
      <c r="I326" s="219"/>
      <c r="J326" s="219"/>
      <c r="K326" s="219"/>
      <c r="L326" s="219"/>
      <c r="M326" s="219"/>
      <c r="N326" s="219"/>
      <c r="O326" s="219"/>
      <c r="P326" s="219"/>
      <c r="Q326" s="221"/>
    </row>
    <row r="327" spans="2:17" x14ac:dyDescent="0.2">
      <c r="B327" s="219"/>
      <c r="C327" s="219"/>
      <c r="D327" s="219"/>
      <c r="E327" s="219"/>
      <c r="F327" s="219"/>
      <c r="G327" s="219"/>
      <c r="H327" s="219"/>
      <c r="I327" s="219"/>
      <c r="J327" s="219"/>
      <c r="K327" s="219"/>
      <c r="L327" s="219"/>
      <c r="M327" s="219"/>
      <c r="N327" s="219"/>
      <c r="O327" s="219"/>
      <c r="P327" s="219"/>
      <c r="Q327" s="221"/>
    </row>
    <row r="328" spans="2:17" x14ac:dyDescent="0.2">
      <c r="B328" s="219"/>
      <c r="C328" s="219"/>
      <c r="D328" s="219"/>
      <c r="E328" s="219"/>
      <c r="F328" s="219"/>
      <c r="G328" s="219"/>
      <c r="H328" s="219"/>
      <c r="I328" s="219"/>
      <c r="J328" s="219"/>
      <c r="K328" s="219"/>
      <c r="L328" s="219"/>
      <c r="M328" s="219"/>
      <c r="N328" s="219"/>
      <c r="O328" s="219"/>
      <c r="P328" s="219"/>
      <c r="Q328" s="221"/>
    </row>
    <row r="329" spans="2:17" x14ac:dyDescent="0.2">
      <c r="B329" s="219"/>
      <c r="C329" s="219"/>
      <c r="D329" s="219"/>
      <c r="E329" s="219"/>
      <c r="F329" s="219"/>
      <c r="G329" s="219"/>
      <c r="H329" s="219"/>
      <c r="I329" s="219"/>
      <c r="J329" s="219"/>
      <c r="K329" s="219"/>
      <c r="L329" s="219"/>
      <c r="M329" s="219"/>
      <c r="N329" s="219"/>
      <c r="O329" s="219"/>
      <c r="P329" s="219"/>
      <c r="Q329" s="221"/>
    </row>
    <row r="330" spans="2:17" x14ac:dyDescent="0.2">
      <c r="B330" s="219"/>
      <c r="C330" s="219"/>
      <c r="D330" s="219"/>
      <c r="E330" s="219"/>
      <c r="F330" s="219"/>
      <c r="G330" s="219"/>
      <c r="H330" s="219"/>
      <c r="I330" s="219"/>
      <c r="J330" s="219"/>
      <c r="K330" s="219"/>
      <c r="L330" s="219"/>
      <c r="M330" s="219"/>
      <c r="N330" s="219"/>
      <c r="O330" s="219"/>
      <c r="P330" s="219"/>
      <c r="Q330" s="221"/>
    </row>
    <row r="331" spans="2:17" x14ac:dyDescent="0.2">
      <c r="B331" s="219"/>
      <c r="C331" s="219"/>
      <c r="D331" s="219"/>
      <c r="E331" s="219"/>
      <c r="F331" s="219"/>
      <c r="G331" s="219"/>
      <c r="H331" s="219"/>
      <c r="I331" s="219"/>
      <c r="J331" s="219"/>
      <c r="K331" s="219"/>
      <c r="L331" s="219"/>
      <c r="M331" s="219"/>
      <c r="N331" s="219"/>
      <c r="O331" s="219"/>
      <c r="P331" s="219"/>
      <c r="Q331" s="221"/>
    </row>
    <row r="332" spans="2:17" x14ac:dyDescent="0.2">
      <c r="B332" s="219"/>
      <c r="C332" s="219"/>
      <c r="D332" s="219"/>
      <c r="E332" s="219"/>
      <c r="F332" s="219"/>
      <c r="G332" s="219"/>
      <c r="H332" s="219"/>
      <c r="I332" s="219"/>
      <c r="J332" s="219"/>
      <c r="K332" s="219"/>
      <c r="L332" s="219"/>
      <c r="M332" s="219"/>
      <c r="N332" s="219"/>
      <c r="O332" s="219"/>
      <c r="P332" s="219"/>
      <c r="Q332" s="221"/>
    </row>
    <row r="333" spans="2:17" x14ac:dyDescent="0.2">
      <c r="B333" s="219"/>
      <c r="C333" s="219"/>
      <c r="D333" s="219"/>
      <c r="E333" s="219"/>
      <c r="F333" s="219"/>
      <c r="G333" s="219"/>
      <c r="H333" s="219"/>
      <c r="I333" s="219"/>
      <c r="J333" s="219"/>
      <c r="K333" s="219"/>
      <c r="L333" s="219"/>
      <c r="M333" s="219"/>
      <c r="N333" s="219"/>
      <c r="O333" s="219"/>
      <c r="P333" s="219"/>
      <c r="Q333" s="221"/>
    </row>
    <row r="334" spans="2:17" x14ac:dyDescent="0.2">
      <c r="B334" s="219"/>
      <c r="C334" s="219"/>
      <c r="D334" s="219"/>
      <c r="E334" s="219"/>
      <c r="F334" s="219"/>
      <c r="G334" s="219"/>
      <c r="H334" s="219"/>
      <c r="I334" s="219"/>
      <c r="J334" s="219"/>
      <c r="K334" s="219"/>
      <c r="L334" s="219"/>
      <c r="M334" s="219"/>
      <c r="N334" s="219"/>
      <c r="O334" s="219"/>
      <c r="P334" s="219"/>
      <c r="Q334" s="221"/>
    </row>
    <row r="335" spans="2:17" x14ac:dyDescent="0.2">
      <c r="B335" s="219"/>
      <c r="C335" s="219"/>
      <c r="D335" s="219"/>
      <c r="E335" s="219"/>
      <c r="F335" s="219"/>
      <c r="G335" s="219"/>
      <c r="H335" s="219"/>
      <c r="I335" s="219"/>
      <c r="J335" s="219"/>
      <c r="K335" s="219"/>
      <c r="L335" s="219"/>
      <c r="M335" s="219"/>
      <c r="N335" s="219"/>
      <c r="O335" s="219"/>
      <c r="P335" s="219"/>
      <c r="Q335" s="221"/>
    </row>
    <row r="336" spans="2:17" x14ac:dyDescent="0.2">
      <c r="B336" s="219"/>
      <c r="C336" s="219"/>
      <c r="D336" s="219"/>
      <c r="E336" s="219"/>
      <c r="F336" s="219"/>
      <c r="G336" s="219"/>
      <c r="H336" s="219"/>
      <c r="I336" s="219"/>
      <c r="J336" s="219"/>
      <c r="K336" s="219"/>
      <c r="L336" s="219"/>
      <c r="M336" s="219"/>
      <c r="N336" s="219"/>
      <c r="O336" s="219"/>
      <c r="P336" s="219"/>
      <c r="Q336" s="221"/>
    </row>
    <row r="337" spans="2:17" x14ac:dyDescent="0.2">
      <c r="B337" s="219"/>
      <c r="C337" s="219"/>
      <c r="D337" s="219"/>
      <c r="E337" s="219"/>
      <c r="F337" s="219"/>
      <c r="G337" s="219"/>
      <c r="H337" s="219"/>
      <c r="I337" s="219"/>
      <c r="J337" s="219"/>
      <c r="K337" s="219"/>
      <c r="L337" s="219"/>
      <c r="M337" s="219"/>
      <c r="N337" s="219"/>
      <c r="O337" s="219"/>
      <c r="P337" s="219"/>
      <c r="Q337" s="221"/>
    </row>
    <row r="338" spans="2:17" x14ac:dyDescent="0.2">
      <c r="B338" s="219"/>
      <c r="C338" s="219"/>
      <c r="D338" s="219"/>
      <c r="E338" s="219"/>
      <c r="F338" s="219"/>
      <c r="G338" s="219"/>
      <c r="H338" s="219"/>
      <c r="I338" s="219"/>
      <c r="J338" s="219"/>
      <c r="K338" s="219"/>
      <c r="L338" s="219"/>
      <c r="M338" s="219"/>
      <c r="N338" s="219"/>
      <c r="O338" s="219"/>
      <c r="P338" s="219"/>
      <c r="Q338" s="221"/>
    </row>
    <row r="339" spans="2:17" x14ac:dyDescent="0.2">
      <c r="B339" s="219"/>
      <c r="C339" s="219"/>
      <c r="D339" s="219"/>
      <c r="E339" s="219"/>
      <c r="F339" s="219"/>
      <c r="G339" s="219"/>
      <c r="H339" s="219"/>
      <c r="I339" s="219"/>
      <c r="J339" s="219"/>
      <c r="K339" s="219"/>
      <c r="L339" s="219"/>
      <c r="M339" s="219"/>
      <c r="N339" s="219"/>
      <c r="O339" s="219"/>
      <c r="P339" s="219"/>
      <c r="Q339" s="221"/>
    </row>
    <row r="340" spans="2:17" x14ac:dyDescent="0.2">
      <c r="B340" s="219"/>
      <c r="C340" s="219"/>
      <c r="D340" s="219"/>
      <c r="E340" s="219"/>
      <c r="F340" s="219"/>
      <c r="G340" s="219"/>
      <c r="H340" s="219"/>
      <c r="I340" s="219"/>
      <c r="J340" s="219"/>
      <c r="K340" s="219"/>
      <c r="L340" s="219"/>
      <c r="M340" s="219"/>
      <c r="N340" s="219"/>
      <c r="O340" s="219"/>
      <c r="P340" s="219"/>
      <c r="Q340" s="221"/>
    </row>
    <row r="341" spans="2:17" x14ac:dyDescent="0.2">
      <c r="B341" s="219"/>
      <c r="C341" s="219"/>
      <c r="D341" s="219"/>
      <c r="E341" s="219"/>
      <c r="F341" s="219"/>
      <c r="G341" s="219"/>
      <c r="H341" s="219"/>
      <c r="I341" s="219"/>
      <c r="J341" s="219"/>
      <c r="K341" s="219"/>
      <c r="L341" s="219"/>
      <c r="M341" s="219"/>
      <c r="N341" s="219"/>
      <c r="O341" s="219"/>
      <c r="P341" s="219"/>
      <c r="Q341" s="221"/>
    </row>
    <row r="342" spans="2:17" x14ac:dyDescent="0.2">
      <c r="B342" s="219"/>
      <c r="C342" s="219"/>
      <c r="D342" s="219"/>
      <c r="E342" s="219"/>
      <c r="F342" s="219"/>
      <c r="G342" s="219"/>
      <c r="H342" s="219"/>
      <c r="I342" s="219"/>
      <c r="J342" s="219"/>
      <c r="K342" s="219"/>
      <c r="L342" s="219"/>
      <c r="M342" s="219"/>
      <c r="N342" s="219"/>
      <c r="O342" s="219"/>
      <c r="P342" s="219"/>
      <c r="Q342" s="221"/>
    </row>
    <row r="343" spans="2:17" x14ac:dyDescent="0.2">
      <c r="B343" s="219"/>
      <c r="C343" s="219"/>
      <c r="D343" s="219"/>
      <c r="E343" s="219"/>
      <c r="F343" s="219"/>
      <c r="G343" s="219"/>
      <c r="H343" s="219"/>
      <c r="I343" s="219"/>
      <c r="J343" s="219"/>
      <c r="K343" s="219"/>
      <c r="L343" s="219"/>
      <c r="M343" s="219"/>
      <c r="N343" s="219"/>
      <c r="O343" s="219"/>
      <c r="P343" s="219"/>
      <c r="Q343" s="221"/>
    </row>
    <row r="344" spans="2:17" x14ac:dyDescent="0.2">
      <c r="B344" s="219"/>
      <c r="C344" s="219"/>
      <c r="D344" s="219"/>
      <c r="E344" s="219"/>
      <c r="F344" s="219"/>
      <c r="G344" s="219"/>
      <c r="H344" s="219"/>
      <c r="I344" s="219"/>
      <c r="J344" s="219"/>
      <c r="K344" s="219"/>
      <c r="L344" s="219"/>
      <c r="M344" s="219"/>
      <c r="N344" s="219"/>
      <c r="O344" s="219"/>
      <c r="P344" s="219"/>
      <c r="Q344" s="221"/>
    </row>
    <row r="345" spans="2:17" x14ac:dyDescent="0.2">
      <c r="B345" s="219"/>
      <c r="C345" s="219"/>
      <c r="D345" s="219"/>
      <c r="E345" s="219"/>
      <c r="F345" s="219"/>
      <c r="G345" s="219"/>
      <c r="H345" s="219"/>
      <c r="I345" s="219"/>
      <c r="J345" s="219"/>
      <c r="K345" s="219"/>
      <c r="L345" s="219"/>
      <c r="M345" s="219"/>
      <c r="N345" s="219"/>
      <c r="O345" s="219"/>
      <c r="P345" s="219"/>
      <c r="Q345" s="221"/>
    </row>
    <row r="346" spans="2:17" x14ac:dyDescent="0.2">
      <c r="B346" s="219"/>
      <c r="C346" s="219"/>
      <c r="D346" s="219"/>
      <c r="E346" s="219"/>
      <c r="F346" s="219"/>
      <c r="G346" s="219"/>
      <c r="H346" s="219"/>
      <c r="I346" s="219"/>
      <c r="J346" s="219"/>
      <c r="K346" s="219"/>
      <c r="L346" s="219"/>
      <c r="M346" s="219"/>
      <c r="N346" s="219"/>
      <c r="O346" s="219"/>
      <c r="P346" s="219"/>
      <c r="Q346" s="221"/>
    </row>
    <row r="347" spans="2:17" x14ac:dyDescent="0.2">
      <c r="B347" s="219"/>
      <c r="C347" s="219"/>
      <c r="D347" s="219"/>
      <c r="E347" s="219"/>
      <c r="F347" s="219"/>
      <c r="G347" s="219"/>
      <c r="H347" s="219"/>
      <c r="I347" s="219"/>
      <c r="J347" s="219"/>
      <c r="K347" s="219"/>
      <c r="L347" s="219"/>
      <c r="M347" s="219"/>
      <c r="N347" s="219"/>
      <c r="O347" s="219"/>
      <c r="P347" s="219"/>
      <c r="Q347" s="221"/>
    </row>
    <row r="348" spans="2:17" x14ac:dyDescent="0.2">
      <c r="B348" s="219"/>
      <c r="C348" s="219"/>
      <c r="D348" s="219"/>
      <c r="E348" s="219"/>
      <c r="F348" s="219"/>
      <c r="G348" s="219"/>
      <c r="H348" s="219"/>
      <c r="I348" s="219"/>
      <c r="J348" s="219"/>
      <c r="K348" s="219"/>
      <c r="L348" s="219"/>
      <c r="M348" s="219"/>
      <c r="N348" s="219"/>
      <c r="O348" s="219"/>
      <c r="P348" s="219"/>
      <c r="Q348" s="221"/>
    </row>
    <row r="349" spans="2:17" x14ac:dyDescent="0.2">
      <c r="B349" s="219"/>
      <c r="C349" s="219"/>
      <c r="D349" s="219"/>
      <c r="E349" s="219"/>
      <c r="F349" s="219"/>
      <c r="G349" s="219"/>
      <c r="H349" s="219"/>
      <c r="I349" s="219"/>
      <c r="J349" s="219"/>
      <c r="K349" s="219"/>
      <c r="L349" s="219"/>
      <c r="M349" s="219"/>
      <c r="N349" s="219"/>
      <c r="O349" s="219"/>
      <c r="P349" s="219"/>
      <c r="Q349" s="221"/>
    </row>
    <row r="350" spans="2:17" x14ac:dyDescent="0.2">
      <c r="B350" s="219"/>
      <c r="C350" s="219"/>
      <c r="D350" s="219"/>
      <c r="E350" s="219"/>
      <c r="F350" s="219"/>
      <c r="G350" s="219"/>
      <c r="H350" s="219"/>
      <c r="I350" s="219"/>
      <c r="J350" s="219"/>
      <c r="K350" s="219"/>
      <c r="L350" s="219"/>
      <c r="M350" s="219"/>
      <c r="N350" s="219"/>
      <c r="O350" s="219"/>
      <c r="P350" s="219"/>
      <c r="Q350" s="221"/>
    </row>
    <row r="351" spans="2:17" x14ac:dyDescent="0.2">
      <c r="B351" s="219"/>
      <c r="C351" s="219"/>
      <c r="D351" s="219"/>
      <c r="E351" s="219"/>
      <c r="F351" s="219"/>
      <c r="G351" s="219"/>
      <c r="H351" s="219"/>
      <c r="I351" s="219"/>
      <c r="J351" s="219"/>
      <c r="K351" s="219"/>
      <c r="L351" s="219"/>
      <c r="M351" s="219"/>
      <c r="N351" s="219"/>
      <c r="O351" s="219"/>
      <c r="P351" s="219"/>
      <c r="Q351" s="221"/>
    </row>
    <row r="352" spans="2:17" x14ac:dyDescent="0.2">
      <c r="B352" s="219"/>
      <c r="C352" s="219"/>
      <c r="D352" s="219"/>
      <c r="E352" s="219"/>
      <c r="F352" s="219"/>
      <c r="G352" s="219"/>
      <c r="H352" s="219"/>
      <c r="I352" s="219"/>
      <c r="J352" s="219"/>
      <c r="K352" s="219"/>
      <c r="L352" s="219"/>
      <c r="M352" s="219"/>
      <c r="N352" s="219"/>
      <c r="O352" s="219"/>
      <c r="P352" s="219"/>
      <c r="Q352" s="221"/>
    </row>
    <row r="353" spans="2:17" x14ac:dyDescent="0.2">
      <c r="B353" s="219"/>
      <c r="C353" s="219"/>
      <c r="D353" s="219"/>
      <c r="E353" s="219"/>
      <c r="F353" s="219"/>
      <c r="G353" s="219"/>
      <c r="H353" s="219"/>
      <c r="I353" s="219"/>
      <c r="J353" s="219"/>
      <c r="K353" s="219"/>
      <c r="L353" s="219"/>
      <c r="M353" s="219"/>
      <c r="N353" s="219"/>
      <c r="O353" s="219"/>
      <c r="P353" s="219"/>
      <c r="Q353" s="221"/>
    </row>
    <row r="354" spans="2:17" x14ac:dyDescent="0.2">
      <c r="B354" s="219"/>
      <c r="C354" s="219"/>
      <c r="D354" s="219"/>
      <c r="E354" s="219"/>
      <c r="F354" s="219"/>
      <c r="G354" s="219"/>
      <c r="H354" s="219"/>
      <c r="I354" s="219"/>
      <c r="J354" s="219"/>
      <c r="K354" s="219"/>
      <c r="L354" s="219"/>
      <c r="M354" s="219"/>
      <c r="N354" s="219"/>
      <c r="O354" s="219"/>
      <c r="P354" s="219"/>
      <c r="Q354" s="221"/>
    </row>
    <row r="355" spans="2:17" x14ac:dyDescent="0.2">
      <c r="B355" s="219"/>
      <c r="C355" s="219"/>
      <c r="D355" s="219"/>
      <c r="E355" s="219"/>
      <c r="F355" s="219"/>
      <c r="G355" s="219"/>
      <c r="H355" s="219"/>
      <c r="I355" s="219"/>
      <c r="J355" s="219"/>
      <c r="K355" s="219"/>
      <c r="L355" s="219"/>
      <c r="M355" s="219"/>
      <c r="N355" s="219"/>
      <c r="O355" s="219"/>
      <c r="P355" s="219"/>
      <c r="Q355" s="221"/>
    </row>
    <row r="356" spans="2:17" x14ac:dyDescent="0.2">
      <c r="B356" s="219"/>
      <c r="C356" s="219"/>
      <c r="D356" s="219"/>
      <c r="E356" s="219"/>
      <c r="F356" s="219"/>
      <c r="G356" s="219"/>
      <c r="H356" s="219"/>
      <c r="I356" s="219"/>
      <c r="J356" s="219"/>
      <c r="K356" s="219"/>
      <c r="L356" s="219"/>
      <c r="M356" s="219"/>
      <c r="N356" s="219"/>
      <c r="O356" s="219"/>
      <c r="P356" s="219"/>
      <c r="Q356" s="221"/>
    </row>
    <row r="357" spans="2:17" x14ac:dyDescent="0.2">
      <c r="B357" s="219"/>
      <c r="C357" s="219"/>
      <c r="D357" s="219"/>
      <c r="E357" s="219"/>
      <c r="F357" s="219"/>
      <c r="G357" s="219"/>
      <c r="H357" s="219"/>
      <c r="I357" s="219"/>
      <c r="J357" s="219"/>
      <c r="K357" s="219"/>
      <c r="L357" s="219"/>
      <c r="M357" s="219"/>
      <c r="N357" s="219"/>
      <c r="O357" s="219"/>
      <c r="P357" s="219"/>
      <c r="Q357" s="221"/>
    </row>
    <row r="358" spans="2:17" x14ac:dyDescent="0.2">
      <c r="B358" s="219"/>
      <c r="C358" s="219"/>
      <c r="D358" s="219"/>
      <c r="E358" s="219"/>
      <c r="F358" s="219"/>
      <c r="G358" s="219"/>
      <c r="H358" s="219"/>
      <c r="I358" s="219"/>
      <c r="J358" s="219"/>
      <c r="K358" s="219"/>
      <c r="L358" s="219"/>
      <c r="M358" s="219"/>
      <c r="N358" s="219"/>
      <c r="O358" s="219"/>
      <c r="P358" s="219"/>
      <c r="Q358" s="221"/>
    </row>
    <row r="359" spans="2:17" x14ac:dyDescent="0.2">
      <c r="B359" s="219"/>
      <c r="C359" s="219"/>
      <c r="D359" s="219"/>
      <c r="E359" s="219"/>
      <c r="F359" s="219"/>
      <c r="G359" s="219"/>
      <c r="H359" s="219"/>
      <c r="I359" s="219"/>
      <c r="J359" s="219"/>
      <c r="K359" s="219"/>
      <c r="L359" s="219"/>
      <c r="M359" s="219"/>
      <c r="N359" s="219"/>
      <c r="O359" s="219"/>
      <c r="P359" s="219"/>
      <c r="Q359" s="221"/>
    </row>
    <row r="360" spans="2:17" x14ac:dyDescent="0.2">
      <c r="B360" s="219"/>
      <c r="C360" s="219"/>
      <c r="D360" s="219"/>
      <c r="E360" s="219"/>
      <c r="F360" s="219"/>
      <c r="G360" s="219"/>
      <c r="H360" s="219"/>
      <c r="I360" s="219"/>
      <c r="J360" s="219"/>
      <c r="K360" s="219"/>
      <c r="L360" s="219"/>
      <c r="M360" s="219"/>
      <c r="N360" s="219"/>
      <c r="O360" s="219"/>
      <c r="P360" s="219"/>
      <c r="Q360" s="221"/>
    </row>
    <row r="361" spans="2:17" x14ac:dyDescent="0.2">
      <c r="B361" s="219"/>
      <c r="C361" s="219"/>
      <c r="D361" s="219"/>
      <c r="E361" s="219"/>
      <c r="F361" s="219"/>
      <c r="G361" s="219"/>
      <c r="H361" s="219"/>
      <c r="I361" s="219"/>
      <c r="J361" s="219"/>
      <c r="K361" s="219"/>
      <c r="L361" s="219"/>
      <c r="M361" s="219"/>
      <c r="N361" s="219"/>
      <c r="O361" s="219"/>
      <c r="P361" s="219"/>
      <c r="Q361" s="221"/>
    </row>
    <row r="362" spans="2:17" x14ac:dyDescent="0.2">
      <c r="B362" s="219"/>
      <c r="C362" s="219"/>
      <c r="D362" s="219"/>
      <c r="E362" s="219"/>
      <c r="F362" s="219"/>
      <c r="G362" s="219"/>
      <c r="H362" s="219"/>
      <c r="I362" s="219"/>
      <c r="J362" s="219"/>
      <c r="K362" s="219"/>
      <c r="L362" s="219"/>
      <c r="M362" s="219"/>
      <c r="N362" s="219"/>
      <c r="O362" s="219"/>
      <c r="P362" s="219"/>
      <c r="Q362" s="221"/>
    </row>
    <row r="363" spans="2:17" x14ac:dyDescent="0.2">
      <c r="B363" s="219"/>
      <c r="C363" s="219"/>
      <c r="D363" s="219"/>
      <c r="E363" s="219"/>
      <c r="F363" s="219"/>
      <c r="G363" s="219"/>
      <c r="H363" s="219"/>
      <c r="I363" s="219"/>
      <c r="J363" s="219"/>
      <c r="K363" s="219"/>
      <c r="L363" s="219"/>
      <c r="M363" s="219"/>
      <c r="N363" s="219"/>
      <c r="O363" s="219"/>
      <c r="P363" s="219"/>
      <c r="Q363" s="221"/>
    </row>
    <row r="364" spans="2:17" x14ac:dyDescent="0.2">
      <c r="B364" s="219"/>
      <c r="C364" s="219"/>
      <c r="D364" s="219"/>
      <c r="E364" s="219"/>
      <c r="F364" s="219"/>
      <c r="G364" s="219"/>
      <c r="H364" s="219"/>
      <c r="I364" s="219"/>
      <c r="J364" s="219"/>
      <c r="K364" s="219"/>
      <c r="L364" s="219"/>
      <c r="M364" s="219"/>
      <c r="N364" s="219"/>
      <c r="O364" s="219"/>
      <c r="P364" s="219"/>
      <c r="Q364" s="221"/>
    </row>
    <row r="365" spans="2:17" x14ac:dyDescent="0.2">
      <c r="B365" s="219"/>
      <c r="C365" s="219"/>
      <c r="D365" s="219"/>
      <c r="E365" s="219"/>
      <c r="F365" s="219"/>
      <c r="G365" s="219"/>
      <c r="H365" s="219"/>
      <c r="I365" s="219"/>
      <c r="J365" s="219"/>
      <c r="K365" s="219"/>
      <c r="L365" s="219"/>
      <c r="M365" s="219"/>
      <c r="N365" s="219"/>
      <c r="O365" s="219"/>
      <c r="P365" s="219"/>
      <c r="Q365" s="221"/>
    </row>
    <row r="366" spans="2:17" x14ac:dyDescent="0.2">
      <c r="B366" s="219"/>
      <c r="C366" s="219"/>
      <c r="D366" s="219"/>
      <c r="E366" s="219"/>
      <c r="F366" s="219"/>
      <c r="G366" s="219"/>
      <c r="H366" s="219"/>
      <c r="I366" s="219"/>
      <c r="J366" s="219"/>
      <c r="K366" s="219"/>
      <c r="L366" s="219"/>
      <c r="M366" s="219"/>
      <c r="N366" s="219"/>
      <c r="O366" s="219"/>
      <c r="P366" s="219"/>
      <c r="Q366" s="221"/>
    </row>
    <row r="367" spans="2:17" x14ac:dyDescent="0.2">
      <c r="B367" s="219"/>
      <c r="C367" s="219"/>
      <c r="D367" s="219"/>
      <c r="E367" s="219"/>
      <c r="F367" s="219"/>
      <c r="G367" s="219"/>
      <c r="H367" s="219"/>
      <c r="I367" s="219"/>
      <c r="J367" s="219"/>
      <c r="K367" s="219"/>
      <c r="L367" s="219"/>
      <c r="M367" s="219"/>
      <c r="N367" s="219"/>
      <c r="O367" s="219"/>
      <c r="P367" s="219"/>
      <c r="Q367" s="221"/>
    </row>
    <row r="368" spans="2:17" x14ac:dyDescent="0.2">
      <c r="B368" s="219"/>
      <c r="C368" s="219"/>
      <c r="D368" s="219"/>
      <c r="E368" s="219"/>
      <c r="F368" s="219"/>
      <c r="G368" s="219"/>
      <c r="H368" s="219"/>
      <c r="I368" s="219"/>
      <c r="J368" s="219"/>
      <c r="K368" s="219"/>
      <c r="L368" s="219"/>
      <c r="M368" s="219"/>
      <c r="N368" s="219"/>
      <c r="O368" s="219"/>
      <c r="P368" s="219"/>
      <c r="Q368" s="221"/>
    </row>
    <row r="369" spans="2:17" x14ac:dyDescent="0.2">
      <c r="B369" s="219"/>
      <c r="C369" s="219"/>
      <c r="D369" s="219"/>
      <c r="E369" s="219"/>
      <c r="F369" s="219"/>
      <c r="G369" s="219"/>
      <c r="H369" s="219"/>
      <c r="I369" s="219"/>
      <c r="J369" s="219"/>
      <c r="K369" s="219"/>
      <c r="L369" s="219"/>
      <c r="M369" s="219"/>
      <c r="N369" s="219"/>
      <c r="O369" s="219"/>
      <c r="P369" s="219"/>
      <c r="Q369" s="221"/>
    </row>
    <row r="370" spans="2:17" x14ac:dyDescent="0.2">
      <c r="B370" s="219"/>
      <c r="C370" s="219"/>
      <c r="D370" s="219"/>
      <c r="E370" s="219"/>
      <c r="F370" s="219"/>
      <c r="G370" s="219"/>
      <c r="H370" s="219"/>
      <c r="I370" s="219"/>
      <c r="J370" s="219"/>
      <c r="K370" s="219"/>
      <c r="L370" s="219"/>
      <c r="M370" s="219"/>
      <c r="N370" s="219"/>
      <c r="O370" s="219"/>
      <c r="P370" s="219"/>
      <c r="Q370" s="221"/>
    </row>
    <row r="371" spans="2:17" x14ac:dyDescent="0.2">
      <c r="B371" s="219"/>
      <c r="C371" s="219"/>
      <c r="D371" s="219"/>
      <c r="E371" s="219"/>
      <c r="F371" s="219"/>
      <c r="G371" s="219"/>
      <c r="H371" s="219"/>
      <c r="I371" s="219"/>
      <c r="J371" s="219"/>
      <c r="K371" s="219"/>
      <c r="L371" s="219"/>
      <c r="M371" s="219"/>
      <c r="N371" s="219"/>
      <c r="O371" s="219"/>
      <c r="P371" s="219"/>
      <c r="Q371" s="221"/>
    </row>
    <row r="372" spans="2:17" x14ac:dyDescent="0.2">
      <c r="B372" s="219"/>
      <c r="C372" s="219"/>
      <c r="D372" s="219"/>
      <c r="E372" s="219"/>
      <c r="F372" s="219"/>
      <c r="G372" s="219"/>
      <c r="H372" s="219"/>
      <c r="I372" s="219"/>
      <c r="J372" s="219"/>
      <c r="K372" s="219"/>
      <c r="L372" s="219"/>
      <c r="M372" s="219"/>
      <c r="N372" s="219"/>
      <c r="O372" s="219"/>
      <c r="P372" s="219"/>
      <c r="Q372" s="221"/>
    </row>
    <row r="373" spans="2:17" x14ac:dyDescent="0.2">
      <c r="B373" s="219"/>
      <c r="C373" s="219"/>
      <c r="D373" s="219"/>
      <c r="E373" s="219"/>
      <c r="F373" s="219"/>
      <c r="G373" s="219"/>
      <c r="H373" s="219"/>
      <c r="I373" s="219"/>
      <c r="J373" s="219"/>
      <c r="K373" s="219"/>
      <c r="L373" s="219"/>
      <c r="M373" s="219"/>
      <c r="N373" s="219"/>
      <c r="O373" s="219"/>
      <c r="P373" s="219"/>
      <c r="Q373" s="221"/>
    </row>
    <row r="374" spans="2:17" x14ac:dyDescent="0.2">
      <c r="B374" s="219"/>
      <c r="C374" s="219"/>
      <c r="D374" s="219"/>
      <c r="E374" s="219"/>
      <c r="F374" s="219"/>
      <c r="G374" s="219"/>
      <c r="H374" s="219"/>
      <c r="I374" s="219"/>
      <c r="J374" s="219"/>
      <c r="K374" s="219"/>
      <c r="L374" s="219"/>
      <c r="M374" s="219"/>
      <c r="N374" s="219"/>
      <c r="O374" s="219"/>
      <c r="P374" s="219"/>
      <c r="Q374" s="221"/>
    </row>
    <row r="375" spans="2:17" x14ac:dyDescent="0.2">
      <c r="B375" s="219"/>
      <c r="C375" s="219"/>
      <c r="D375" s="219"/>
      <c r="E375" s="219"/>
      <c r="F375" s="219"/>
      <c r="G375" s="219"/>
      <c r="H375" s="219"/>
      <c r="I375" s="219"/>
      <c r="J375" s="219"/>
      <c r="K375" s="219"/>
      <c r="L375" s="219"/>
      <c r="M375" s="219"/>
      <c r="N375" s="219"/>
      <c r="O375" s="219"/>
      <c r="P375" s="219"/>
      <c r="Q375" s="221"/>
    </row>
    <row r="376" spans="2:17" x14ac:dyDescent="0.2">
      <c r="B376" s="219"/>
      <c r="C376" s="219"/>
      <c r="D376" s="219"/>
      <c r="E376" s="219"/>
      <c r="F376" s="219"/>
      <c r="G376" s="219"/>
      <c r="H376" s="219"/>
      <c r="I376" s="219"/>
      <c r="J376" s="219"/>
      <c r="K376" s="219"/>
      <c r="L376" s="219"/>
      <c r="M376" s="219"/>
      <c r="N376" s="219"/>
      <c r="O376" s="219"/>
      <c r="P376" s="219"/>
      <c r="Q376" s="221"/>
    </row>
    <row r="377" spans="2:17" x14ac:dyDescent="0.2">
      <c r="B377" s="219"/>
      <c r="C377" s="219"/>
      <c r="D377" s="219"/>
      <c r="E377" s="219"/>
      <c r="F377" s="219"/>
      <c r="G377" s="219"/>
      <c r="H377" s="219"/>
      <c r="I377" s="219"/>
      <c r="J377" s="219"/>
      <c r="K377" s="219"/>
      <c r="L377" s="219"/>
      <c r="M377" s="219"/>
      <c r="N377" s="219"/>
      <c r="O377" s="219"/>
      <c r="P377" s="219"/>
      <c r="Q377" s="221"/>
    </row>
    <row r="378" spans="2:17" x14ac:dyDescent="0.2">
      <c r="B378" s="219"/>
      <c r="C378" s="219"/>
      <c r="D378" s="219"/>
      <c r="E378" s="219"/>
      <c r="F378" s="219"/>
      <c r="G378" s="219"/>
      <c r="H378" s="219"/>
      <c r="I378" s="219"/>
      <c r="J378" s="219"/>
      <c r="K378" s="219"/>
      <c r="L378" s="219"/>
      <c r="M378" s="219"/>
      <c r="N378" s="219"/>
      <c r="O378" s="219"/>
      <c r="P378" s="219"/>
      <c r="Q378" s="221"/>
    </row>
    <row r="379" spans="2:17" x14ac:dyDescent="0.2">
      <c r="B379" s="219"/>
      <c r="C379" s="219"/>
      <c r="D379" s="219"/>
      <c r="E379" s="219"/>
      <c r="F379" s="219"/>
      <c r="G379" s="219"/>
      <c r="H379" s="219"/>
      <c r="I379" s="219"/>
      <c r="J379" s="219"/>
      <c r="K379" s="219"/>
      <c r="L379" s="219"/>
      <c r="M379" s="219"/>
      <c r="N379" s="219"/>
      <c r="O379" s="219"/>
      <c r="P379" s="219"/>
      <c r="Q379" s="221"/>
    </row>
    <row r="380" spans="2:17" x14ac:dyDescent="0.2">
      <c r="B380" s="219"/>
      <c r="C380" s="219"/>
      <c r="D380" s="219"/>
      <c r="E380" s="219"/>
      <c r="F380" s="219"/>
      <c r="G380" s="219"/>
      <c r="H380" s="219"/>
      <c r="I380" s="219"/>
      <c r="J380" s="219"/>
      <c r="K380" s="219"/>
      <c r="L380" s="219"/>
      <c r="M380" s="219"/>
      <c r="N380" s="219"/>
      <c r="O380" s="219"/>
      <c r="P380" s="219"/>
      <c r="Q380" s="221"/>
    </row>
    <row r="381" spans="2:17" x14ac:dyDescent="0.2">
      <c r="B381" s="219"/>
      <c r="C381" s="219"/>
      <c r="D381" s="219"/>
      <c r="E381" s="219"/>
      <c r="F381" s="219"/>
      <c r="G381" s="219"/>
      <c r="H381" s="219"/>
      <c r="I381" s="219"/>
      <c r="J381" s="219"/>
      <c r="K381" s="219"/>
      <c r="L381" s="219"/>
      <c r="M381" s="219"/>
      <c r="N381" s="219"/>
      <c r="O381" s="219"/>
      <c r="P381" s="219"/>
      <c r="Q381" s="221"/>
    </row>
    <row r="382" spans="2:17" x14ac:dyDescent="0.2">
      <c r="B382" s="219"/>
      <c r="C382" s="219"/>
      <c r="D382" s="219"/>
      <c r="E382" s="219"/>
      <c r="F382" s="219"/>
      <c r="G382" s="219"/>
      <c r="H382" s="219"/>
      <c r="I382" s="219"/>
      <c r="J382" s="219"/>
      <c r="K382" s="219"/>
      <c r="L382" s="219"/>
      <c r="M382" s="219"/>
      <c r="N382" s="219"/>
      <c r="O382" s="219"/>
      <c r="P382" s="219"/>
      <c r="Q382" s="221"/>
    </row>
    <row r="383" spans="2:17" x14ac:dyDescent="0.2">
      <c r="B383" s="219"/>
      <c r="C383" s="219"/>
      <c r="D383" s="219"/>
      <c r="E383" s="219"/>
      <c r="F383" s="219"/>
      <c r="G383" s="219"/>
      <c r="H383" s="219"/>
      <c r="I383" s="219"/>
      <c r="J383" s="219"/>
      <c r="K383" s="219"/>
      <c r="L383" s="219"/>
      <c r="M383" s="219"/>
      <c r="N383" s="219"/>
      <c r="O383" s="219"/>
      <c r="P383" s="219"/>
      <c r="Q383" s="221"/>
    </row>
    <row r="384" spans="2:17" x14ac:dyDescent="0.2">
      <c r="B384" s="219"/>
      <c r="C384" s="219"/>
      <c r="D384" s="219"/>
      <c r="E384" s="219"/>
      <c r="F384" s="219"/>
      <c r="G384" s="219"/>
      <c r="H384" s="219"/>
      <c r="I384" s="219"/>
      <c r="J384" s="219"/>
      <c r="K384" s="219"/>
      <c r="L384" s="219"/>
      <c r="M384" s="219"/>
      <c r="N384" s="219"/>
      <c r="O384" s="219"/>
      <c r="P384" s="219"/>
      <c r="Q384" s="221"/>
    </row>
    <row r="385" spans="2:17" x14ac:dyDescent="0.2">
      <c r="B385" s="219"/>
      <c r="C385" s="219"/>
      <c r="D385" s="219"/>
      <c r="E385" s="219"/>
      <c r="F385" s="219"/>
      <c r="G385" s="219"/>
      <c r="H385" s="219"/>
      <c r="I385" s="219"/>
      <c r="J385" s="219"/>
      <c r="K385" s="219"/>
      <c r="L385" s="219"/>
      <c r="M385" s="219"/>
      <c r="N385" s="219"/>
      <c r="O385" s="219"/>
      <c r="P385" s="219"/>
      <c r="Q385" s="221"/>
    </row>
    <row r="386" spans="2:17" x14ac:dyDescent="0.2">
      <c r="B386" s="219"/>
      <c r="C386" s="219"/>
      <c r="D386" s="219"/>
      <c r="E386" s="219"/>
      <c r="F386" s="219"/>
      <c r="G386" s="219"/>
      <c r="H386" s="219"/>
      <c r="I386" s="219"/>
      <c r="J386" s="219"/>
      <c r="K386" s="219"/>
      <c r="L386" s="219"/>
      <c r="M386" s="219"/>
      <c r="N386" s="219"/>
      <c r="O386" s="219"/>
      <c r="P386" s="219"/>
      <c r="Q386" s="221"/>
    </row>
    <row r="387" spans="2:17" x14ac:dyDescent="0.2">
      <c r="B387" s="219"/>
      <c r="C387" s="219"/>
      <c r="D387" s="219"/>
      <c r="E387" s="219"/>
      <c r="F387" s="219"/>
      <c r="G387" s="219"/>
      <c r="H387" s="219"/>
      <c r="I387" s="219"/>
      <c r="J387" s="219"/>
      <c r="K387" s="219"/>
      <c r="L387" s="219"/>
      <c r="M387" s="219"/>
      <c r="N387" s="219"/>
      <c r="O387" s="219"/>
      <c r="P387" s="219"/>
      <c r="Q387" s="221"/>
    </row>
    <row r="388" spans="2:17" x14ac:dyDescent="0.2">
      <c r="B388" s="219"/>
      <c r="C388" s="219"/>
      <c r="D388" s="219"/>
      <c r="E388" s="219"/>
      <c r="F388" s="219"/>
      <c r="G388" s="219"/>
      <c r="H388" s="219"/>
      <c r="I388" s="219"/>
      <c r="J388" s="219"/>
      <c r="K388" s="219"/>
      <c r="L388" s="219"/>
      <c r="M388" s="219"/>
      <c r="N388" s="219"/>
      <c r="O388" s="219"/>
      <c r="P388" s="219"/>
      <c r="Q388" s="221"/>
    </row>
    <row r="389" spans="2:17" x14ac:dyDescent="0.2">
      <c r="B389" s="219"/>
      <c r="C389" s="219"/>
      <c r="D389" s="219"/>
      <c r="E389" s="219"/>
      <c r="F389" s="219"/>
      <c r="G389" s="219"/>
      <c r="H389" s="219"/>
      <c r="I389" s="219"/>
      <c r="J389" s="219"/>
      <c r="K389" s="219"/>
      <c r="L389" s="219"/>
      <c r="M389" s="219"/>
      <c r="N389" s="219"/>
      <c r="O389" s="219"/>
      <c r="P389" s="219"/>
      <c r="Q389" s="221"/>
    </row>
    <row r="390" spans="2:17" x14ac:dyDescent="0.2">
      <c r="B390" s="219"/>
      <c r="C390" s="219"/>
      <c r="D390" s="219"/>
      <c r="E390" s="219"/>
      <c r="F390" s="219"/>
      <c r="G390" s="219"/>
      <c r="H390" s="219"/>
      <c r="I390" s="219"/>
      <c r="J390" s="219"/>
      <c r="K390" s="219"/>
      <c r="L390" s="219"/>
      <c r="M390" s="219"/>
      <c r="N390" s="219"/>
      <c r="O390" s="219"/>
      <c r="P390" s="219"/>
      <c r="Q390" s="221"/>
    </row>
    <row r="391" spans="2:17" x14ac:dyDescent="0.2">
      <c r="B391" s="219"/>
      <c r="C391" s="219"/>
      <c r="D391" s="219"/>
      <c r="E391" s="219"/>
      <c r="F391" s="219"/>
      <c r="G391" s="219"/>
      <c r="H391" s="219"/>
      <c r="I391" s="219"/>
      <c r="J391" s="219"/>
      <c r="K391" s="219"/>
      <c r="L391" s="219"/>
      <c r="M391" s="219"/>
      <c r="N391" s="219"/>
      <c r="O391" s="219"/>
      <c r="P391" s="219"/>
      <c r="Q391" s="221"/>
    </row>
    <row r="392" spans="2:17" x14ac:dyDescent="0.2">
      <c r="B392" s="219"/>
      <c r="C392" s="219"/>
      <c r="D392" s="219"/>
      <c r="E392" s="219"/>
      <c r="F392" s="219"/>
      <c r="G392" s="219"/>
      <c r="H392" s="219"/>
      <c r="I392" s="219"/>
      <c r="J392" s="219"/>
      <c r="K392" s="219"/>
      <c r="L392" s="219"/>
      <c r="M392" s="219"/>
      <c r="N392" s="219"/>
      <c r="O392" s="219"/>
      <c r="P392" s="219"/>
      <c r="Q392" s="221"/>
    </row>
    <row r="393" spans="2:17" x14ac:dyDescent="0.2">
      <c r="B393" s="219"/>
      <c r="C393" s="219"/>
      <c r="D393" s="219"/>
      <c r="E393" s="219"/>
      <c r="F393" s="219"/>
      <c r="G393" s="219"/>
      <c r="H393" s="219"/>
      <c r="I393" s="219"/>
      <c r="J393" s="219"/>
      <c r="K393" s="219"/>
      <c r="L393" s="219"/>
      <c r="M393" s="219"/>
      <c r="N393" s="219"/>
      <c r="O393" s="219"/>
      <c r="P393" s="219"/>
      <c r="Q393" s="221"/>
    </row>
    <row r="394" spans="2:17" x14ac:dyDescent="0.2">
      <c r="B394" s="219"/>
      <c r="C394" s="219"/>
      <c r="D394" s="219"/>
      <c r="E394" s="219"/>
      <c r="F394" s="219"/>
      <c r="G394" s="219"/>
      <c r="H394" s="219"/>
      <c r="I394" s="219"/>
      <c r="J394" s="219"/>
      <c r="K394" s="219"/>
      <c r="L394" s="219"/>
      <c r="M394" s="219"/>
      <c r="N394" s="219"/>
      <c r="O394" s="219"/>
      <c r="P394" s="219"/>
      <c r="Q394" s="221"/>
    </row>
    <row r="395" spans="2:17" x14ac:dyDescent="0.2">
      <c r="B395" s="219"/>
      <c r="C395" s="219"/>
      <c r="D395" s="219"/>
      <c r="E395" s="219"/>
      <c r="F395" s="219"/>
      <c r="G395" s="219"/>
      <c r="H395" s="219"/>
      <c r="I395" s="219"/>
      <c r="J395" s="219"/>
      <c r="K395" s="219"/>
      <c r="L395" s="219"/>
      <c r="M395" s="219"/>
      <c r="N395" s="219"/>
      <c r="O395" s="219"/>
      <c r="P395" s="219"/>
      <c r="Q395" s="221"/>
    </row>
    <row r="396" spans="2:17" x14ac:dyDescent="0.2">
      <c r="B396" s="219"/>
      <c r="C396" s="219"/>
      <c r="D396" s="219"/>
      <c r="E396" s="219"/>
      <c r="F396" s="219"/>
      <c r="G396" s="219"/>
      <c r="H396" s="219"/>
      <c r="I396" s="219"/>
      <c r="J396" s="219"/>
      <c r="K396" s="219"/>
      <c r="L396" s="219"/>
      <c r="M396" s="219"/>
      <c r="N396" s="219"/>
      <c r="O396" s="219"/>
      <c r="P396" s="219"/>
      <c r="Q396" s="221"/>
    </row>
    <row r="397" spans="2:17" x14ac:dyDescent="0.2">
      <c r="B397" s="219"/>
      <c r="C397" s="219"/>
      <c r="D397" s="219"/>
      <c r="E397" s="219"/>
      <c r="F397" s="219"/>
      <c r="G397" s="219"/>
      <c r="H397" s="219"/>
      <c r="I397" s="219"/>
      <c r="J397" s="219"/>
      <c r="K397" s="219"/>
      <c r="L397" s="219"/>
      <c r="M397" s="219"/>
      <c r="N397" s="219"/>
      <c r="O397" s="219"/>
      <c r="P397" s="219"/>
      <c r="Q397" s="221"/>
    </row>
    <row r="398" spans="2:17" x14ac:dyDescent="0.2">
      <c r="B398" s="219"/>
      <c r="C398" s="219"/>
      <c r="D398" s="219"/>
      <c r="E398" s="219"/>
      <c r="F398" s="219"/>
      <c r="G398" s="219"/>
      <c r="H398" s="219"/>
      <c r="I398" s="219"/>
      <c r="J398" s="219"/>
      <c r="K398" s="219"/>
      <c r="L398" s="219"/>
      <c r="M398" s="219"/>
      <c r="N398" s="219"/>
      <c r="O398" s="219"/>
      <c r="P398" s="219"/>
      <c r="Q398" s="221"/>
    </row>
    <row r="399" spans="2:17" x14ac:dyDescent="0.2">
      <c r="B399" s="219"/>
      <c r="C399" s="219"/>
      <c r="D399" s="219"/>
      <c r="E399" s="219"/>
      <c r="F399" s="219"/>
      <c r="G399" s="219"/>
      <c r="H399" s="219"/>
      <c r="I399" s="219"/>
      <c r="J399" s="219"/>
      <c r="K399" s="219"/>
      <c r="L399" s="219"/>
      <c r="M399" s="219"/>
      <c r="N399" s="219"/>
      <c r="O399" s="219"/>
      <c r="P399" s="219"/>
      <c r="Q399" s="221"/>
    </row>
    <row r="400" spans="2:17" x14ac:dyDescent="0.2">
      <c r="B400" s="219"/>
      <c r="C400" s="219"/>
      <c r="D400" s="219"/>
      <c r="E400" s="219"/>
      <c r="F400" s="219"/>
      <c r="G400" s="219"/>
      <c r="H400" s="219"/>
      <c r="I400" s="219"/>
      <c r="J400" s="219"/>
      <c r="K400" s="219"/>
      <c r="L400" s="219"/>
      <c r="M400" s="219"/>
      <c r="N400" s="219"/>
      <c r="O400" s="219"/>
      <c r="P400" s="219"/>
      <c r="Q400" s="221"/>
    </row>
    <row r="401" spans="2:17" x14ac:dyDescent="0.2">
      <c r="B401" s="219"/>
      <c r="C401" s="219"/>
      <c r="D401" s="219"/>
      <c r="E401" s="219"/>
      <c r="F401" s="219"/>
      <c r="G401" s="219"/>
      <c r="H401" s="219"/>
      <c r="I401" s="219"/>
      <c r="J401" s="219"/>
      <c r="K401" s="219"/>
      <c r="L401" s="219"/>
      <c r="M401" s="219"/>
      <c r="N401" s="219"/>
      <c r="O401" s="219"/>
      <c r="P401" s="219"/>
      <c r="Q401" s="221"/>
    </row>
    <row r="402" spans="2:17" x14ac:dyDescent="0.2">
      <c r="B402" s="219"/>
      <c r="C402" s="219"/>
      <c r="D402" s="219"/>
      <c r="E402" s="219"/>
      <c r="F402" s="219"/>
      <c r="G402" s="219"/>
      <c r="H402" s="219"/>
      <c r="I402" s="219"/>
      <c r="J402" s="219"/>
      <c r="K402" s="219"/>
      <c r="L402" s="219"/>
      <c r="M402" s="219"/>
      <c r="N402" s="219"/>
      <c r="O402" s="219"/>
      <c r="P402" s="219"/>
      <c r="Q402" s="221"/>
    </row>
    <row r="403" spans="2:17" x14ac:dyDescent="0.2">
      <c r="B403" s="219"/>
      <c r="C403" s="219"/>
      <c r="D403" s="219"/>
      <c r="E403" s="219"/>
      <c r="F403" s="219"/>
      <c r="G403" s="219"/>
      <c r="H403" s="219"/>
      <c r="I403" s="219"/>
      <c r="J403" s="219"/>
      <c r="K403" s="219"/>
      <c r="L403" s="219"/>
      <c r="M403" s="219"/>
      <c r="N403" s="219"/>
      <c r="O403" s="219"/>
      <c r="P403" s="219"/>
      <c r="Q403" s="221"/>
    </row>
    <row r="404" spans="2:17" x14ac:dyDescent="0.2">
      <c r="B404" s="219"/>
      <c r="C404" s="219"/>
      <c r="D404" s="219"/>
      <c r="E404" s="219"/>
      <c r="F404" s="219"/>
      <c r="G404" s="219"/>
      <c r="H404" s="219"/>
      <c r="I404" s="219"/>
      <c r="J404" s="219"/>
      <c r="K404" s="219"/>
      <c r="L404" s="219"/>
      <c r="M404" s="219"/>
      <c r="N404" s="219"/>
      <c r="O404" s="219"/>
      <c r="P404" s="219"/>
      <c r="Q404" s="221"/>
    </row>
    <row r="405" spans="2:17" x14ac:dyDescent="0.2">
      <c r="B405" s="219"/>
      <c r="C405" s="219"/>
      <c r="D405" s="219"/>
      <c r="E405" s="219"/>
      <c r="F405" s="219"/>
      <c r="G405" s="219"/>
      <c r="H405" s="219"/>
      <c r="I405" s="219"/>
      <c r="J405" s="219"/>
      <c r="K405" s="219"/>
      <c r="L405" s="219"/>
      <c r="M405" s="219"/>
      <c r="N405" s="219"/>
      <c r="O405" s="219"/>
      <c r="P405" s="219"/>
      <c r="Q405" s="221"/>
    </row>
    <row r="406" spans="2:17" x14ac:dyDescent="0.2">
      <c r="B406" s="219"/>
      <c r="C406" s="219"/>
      <c r="D406" s="219"/>
      <c r="E406" s="219"/>
      <c r="F406" s="219"/>
      <c r="G406" s="219"/>
      <c r="H406" s="219"/>
      <c r="I406" s="219"/>
      <c r="J406" s="219"/>
      <c r="K406" s="219"/>
      <c r="L406" s="219"/>
      <c r="M406" s="219"/>
      <c r="N406" s="219"/>
      <c r="O406" s="219"/>
      <c r="P406" s="219"/>
      <c r="Q406" s="221"/>
    </row>
    <row r="407" spans="2:17" x14ac:dyDescent="0.2">
      <c r="B407" s="219"/>
      <c r="C407" s="219"/>
      <c r="D407" s="219"/>
      <c r="E407" s="219"/>
      <c r="F407" s="219"/>
      <c r="G407" s="219"/>
      <c r="H407" s="219"/>
      <c r="I407" s="219"/>
      <c r="J407" s="219"/>
      <c r="K407" s="219"/>
      <c r="L407" s="219"/>
      <c r="M407" s="219"/>
      <c r="N407" s="219"/>
      <c r="O407" s="219"/>
      <c r="P407" s="219"/>
      <c r="Q407" s="221"/>
    </row>
    <row r="408" spans="2:17" x14ac:dyDescent="0.2">
      <c r="B408" s="219"/>
      <c r="C408" s="219"/>
      <c r="D408" s="219"/>
      <c r="E408" s="219"/>
      <c r="F408" s="219"/>
      <c r="G408" s="219"/>
      <c r="H408" s="219"/>
      <c r="I408" s="219"/>
      <c r="J408" s="219"/>
      <c r="K408" s="219"/>
      <c r="L408" s="219"/>
      <c r="M408" s="219"/>
      <c r="N408" s="219"/>
      <c r="O408" s="219"/>
      <c r="P408" s="219"/>
      <c r="Q408" s="221"/>
    </row>
    <row r="409" spans="2:17" x14ac:dyDescent="0.2">
      <c r="B409" s="219"/>
      <c r="C409" s="219"/>
      <c r="D409" s="219"/>
      <c r="E409" s="219"/>
      <c r="F409" s="219"/>
      <c r="G409" s="219"/>
      <c r="H409" s="219"/>
      <c r="I409" s="219"/>
      <c r="J409" s="219"/>
      <c r="K409" s="219"/>
      <c r="L409" s="219"/>
      <c r="M409" s="219"/>
      <c r="N409" s="219"/>
      <c r="O409" s="219"/>
      <c r="P409" s="219"/>
      <c r="Q409" s="221"/>
    </row>
    <row r="410" spans="2:17" x14ac:dyDescent="0.2">
      <c r="B410" s="219"/>
      <c r="C410" s="219"/>
      <c r="D410" s="219"/>
      <c r="E410" s="219"/>
      <c r="F410" s="219"/>
      <c r="G410" s="219"/>
      <c r="H410" s="219"/>
      <c r="I410" s="219"/>
      <c r="J410" s="219"/>
      <c r="K410" s="219"/>
      <c r="L410" s="219"/>
      <c r="M410" s="219"/>
      <c r="N410" s="219"/>
      <c r="O410" s="219"/>
      <c r="P410" s="219"/>
      <c r="Q410" s="221"/>
    </row>
    <row r="411" spans="2:17" x14ac:dyDescent="0.2">
      <c r="B411" s="219"/>
      <c r="C411" s="219"/>
      <c r="D411" s="219"/>
      <c r="E411" s="219"/>
      <c r="F411" s="219"/>
      <c r="G411" s="219"/>
      <c r="H411" s="219"/>
      <c r="I411" s="219"/>
      <c r="J411" s="219"/>
      <c r="K411" s="219"/>
      <c r="L411" s="219"/>
      <c r="M411" s="219"/>
      <c r="N411" s="219"/>
      <c r="O411" s="219"/>
      <c r="P411" s="219"/>
      <c r="Q411" s="221"/>
    </row>
    <row r="412" spans="2:17" x14ac:dyDescent="0.2">
      <c r="B412" s="219"/>
      <c r="C412" s="219"/>
      <c r="D412" s="219"/>
      <c r="E412" s="219"/>
      <c r="F412" s="219"/>
      <c r="G412" s="219"/>
      <c r="H412" s="219"/>
      <c r="I412" s="219"/>
      <c r="J412" s="219"/>
      <c r="K412" s="219"/>
      <c r="L412" s="219"/>
      <c r="M412" s="219"/>
      <c r="N412" s="219"/>
      <c r="O412" s="219"/>
      <c r="P412" s="219"/>
      <c r="Q412" s="221"/>
    </row>
    <row r="413" spans="2:17" x14ac:dyDescent="0.2">
      <c r="B413" s="219"/>
      <c r="C413" s="219"/>
      <c r="D413" s="219"/>
      <c r="E413" s="219"/>
      <c r="F413" s="219"/>
      <c r="G413" s="219"/>
      <c r="H413" s="219"/>
      <c r="I413" s="219"/>
      <c r="J413" s="219"/>
      <c r="K413" s="219"/>
      <c r="L413" s="219"/>
      <c r="M413" s="219"/>
      <c r="N413" s="219"/>
      <c r="O413" s="219"/>
      <c r="P413" s="219"/>
      <c r="Q413" s="221"/>
    </row>
    <row r="414" spans="2:17" x14ac:dyDescent="0.2">
      <c r="B414" s="219"/>
      <c r="C414" s="219"/>
      <c r="D414" s="219"/>
      <c r="E414" s="219"/>
      <c r="F414" s="219"/>
      <c r="G414" s="219"/>
      <c r="H414" s="219"/>
      <c r="I414" s="219"/>
      <c r="J414" s="219"/>
      <c r="K414" s="219"/>
      <c r="L414" s="219"/>
      <c r="M414" s="219"/>
      <c r="N414" s="219"/>
      <c r="O414" s="219"/>
      <c r="P414" s="219"/>
      <c r="Q414" s="221"/>
    </row>
    <row r="415" spans="2:17" x14ac:dyDescent="0.2">
      <c r="B415" s="219"/>
      <c r="C415" s="219"/>
      <c r="D415" s="219"/>
      <c r="E415" s="219"/>
      <c r="F415" s="219"/>
      <c r="G415" s="219"/>
      <c r="H415" s="219"/>
      <c r="I415" s="219"/>
      <c r="J415" s="219"/>
      <c r="K415" s="219"/>
      <c r="L415" s="219"/>
      <c r="M415" s="219"/>
      <c r="N415" s="219"/>
      <c r="O415" s="219"/>
      <c r="P415" s="219"/>
      <c r="Q415" s="221"/>
    </row>
    <row r="416" spans="2:17" x14ac:dyDescent="0.2">
      <c r="B416" s="219"/>
      <c r="C416" s="219"/>
      <c r="D416" s="219"/>
      <c r="E416" s="219"/>
      <c r="F416" s="219"/>
      <c r="G416" s="219"/>
      <c r="H416" s="219"/>
      <c r="I416" s="219"/>
      <c r="J416" s="219"/>
      <c r="K416" s="219"/>
      <c r="L416" s="219"/>
      <c r="M416" s="219"/>
      <c r="N416" s="219"/>
      <c r="O416" s="219"/>
      <c r="P416" s="219"/>
      <c r="Q416" s="221"/>
    </row>
    <row r="417" spans="2:17" x14ac:dyDescent="0.2">
      <c r="B417" s="219"/>
      <c r="C417" s="219"/>
      <c r="D417" s="219"/>
      <c r="E417" s="219"/>
      <c r="F417" s="219"/>
      <c r="G417" s="219"/>
      <c r="H417" s="219"/>
      <c r="I417" s="219"/>
      <c r="J417" s="219"/>
      <c r="K417" s="219"/>
      <c r="L417" s="219"/>
      <c r="M417" s="219"/>
      <c r="N417" s="219"/>
      <c r="O417" s="219"/>
      <c r="P417" s="219"/>
      <c r="Q417" s="221"/>
    </row>
    <row r="418" spans="2:17" x14ac:dyDescent="0.2">
      <c r="B418" s="219"/>
      <c r="C418" s="219"/>
      <c r="D418" s="219"/>
      <c r="E418" s="219"/>
      <c r="F418" s="219"/>
      <c r="G418" s="219"/>
      <c r="H418" s="219"/>
      <c r="I418" s="219"/>
      <c r="J418" s="219"/>
      <c r="K418" s="219"/>
      <c r="L418" s="219"/>
      <c r="M418" s="219"/>
      <c r="N418" s="219"/>
      <c r="O418" s="219"/>
      <c r="P418" s="219"/>
      <c r="Q418" s="221"/>
    </row>
    <row r="419" spans="2:17" x14ac:dyDescent="0.2">
      <c r="B419" s="219"/>
      <c r="C419" s="219"/>
      <c r="D419" s="219"/>
      <c r="E419" s="219"/>
      <c r="F419" s="219"/>
      <c r="G419" s="219"/>
      <c r="H419" s="219"/>
      <c r="I419" s="219"/>
      <c r="J419" s="219"/>
      <c r="K419" s="219"/>
      <c r="L419" s="219"/>
      <c r="M419" s="219"/>
      <c r="N419" s="219"/>
      <c r="O419" s="219"/>
      <c r="P419" s="219"/>
      <c r="Q419" s="221"/>
    </row>
    <row r="420" spans="2:17" x14ac:dyDescent="0.2">
      <c r="B420" s="219"/>
      <c r="C420" s="219"/>
      <c r="D420" s="219"/>
      <c r="E420" s="219"/>
      <c r="F420" s="219"/>
      <c r="G420" s="219"/>
      <c r="H420" s="219"/>
      <c r="I420" s="219"/>
      <c r="J420" s="219"/>
      <c r="K420" s="219"/>
      <c r="L420" s="219"/>
      <c r="M420" s="219"/>
      <c r="N420" s="219"/>
      <c r="O420" s="219"/>
      <c r="P420" s="219"/>
      <c r="Q420" s="221"/>
    </row>
    <row r="421" spans="2:17" x14ac:dyDescent="0.2">
      <c r="B421" s="219"/>
      <c r="C421" s="219"/>
      <c r="D421" s="219"/>
      <c r="E421" s="219"/>
      <c r="F421" s="219"/>
      <c r="G421" s="219"/>
      <c r="H421" s="219"/>
      <c r="I421" s="219"/>
      <c r="J421" s="219"/>
      <c r="K421" s="219"/>
      <c r="L421" s="219"/>
      <c r="M421" s="219"/>
      <c r="N421" s="219"/>
      <c r="O421" s="219"/>
      <c r="P421" s="219"/>
      <c r="Q421" s="221"/>
    </row>
    <row r="422" spans="2:17" x14ac:dyDescent="0.2">
      <c r="B422" s="219"/>
      <c r="C422" s="219"/>
      <c r="D422" s="219"/>
      <c r="E422" s="219"/>
      <c r="F422" s="219"/>
      <c r="G422" s="219"/>
      <c r="H422" s="219"/>
      <c r="I422" s="219"/>
      <c r="J422" s="219"/>
      <c r="K422" s="219"/>
      <c r="L422" s="219"/>
      <c r="M422" s="219"/>
      <c r="N422" s="219"/>
      <c r="O422" s="219"/>
      <c r="P422" s="219"/>
      <c r="Q422" s="221"/>
    </row>
    <row r="423" spans="2:17" x14ac:dyDescent="0.2">
      <c r="B423" s="219"/>
      <c r="C423" s="219"/>
      <c r="D423" s="219"/>
      <c r="E423" s="219"/>
      <c r="F423" s="219"/>
      <c r="G423" s="219"/>
      <c r="H423" s="219"/>
      <c r="I423" s="219"/>
      <c r="J423" s="219"/>
      <c r="K423" s="219"/>
      <c r="L423" s="219"/>
      <c r="M423" s="219"/>
      <c r="N423" s="219"/>
      <c r="O423" s="219"/>
      <c r="P423" s="219"/>
      <c r="Q423" s="221"/>
    </row>
    <row r="424" spans="2:17" x14ac:dyDescent="0.2">
      <c r="B424" s="219"/>
      <c r="C424" s="219"/>
      <c r="D424" s="219"/>
      <c r="E424" s="219"/>
      <c r="F424" s="219"/>
      <c r="G424" s="219"/>
      <c r="H424" s="219"/>
      <c r="I424" s="219"/>
      <c r="J424" s="219"/>
      <c r="K424" s="219"/>
      <c r="L424" s="219"/>
      <c r="M424" s="219"/>
      <c r="N424" s="219"/>
      <c r="O424" s="219"/>
      <c r="P424" s="219"/>
      <c r="Q424" s="221"/>
    </row>
    <row r="425" spans="2:17" x14ac:dyDescent="0.2">
      <c r="B425" s="219"/>
      <c r="C425" s="219"/>
      <c r="D425" s="219"/>
      <c r="E425" s="219"/>
      <c r="F425" s="219"/>
      <c r="G425" s="219"/>
      <c r="H425" s="219"/>
      <c r="I425" s="219"/>
      <c r="J425" s="219"/>
      <c r="K425" s="219"/>
      <c r="L425" s="219"/>
      <c r="M425" s="219"/>
      <c r="N425" s="219"/>
      <c r="O425" s="219"/>
      <c r="P425" s="219"/>
      <c r="Q425" s="221"/>
    </row>
    <row r="426" spans="2:17" x14ac:dyDescent="0.2">
      <c r="B426" s="219"/>
      <c r="C426" s="219"/>
      <c r="D426" s="219"/>
      <c r="E426" s="219"/>
      <c r="F426" s="219"/>
      <c r="G426" s="219"/>
      <c r="H426" s="219"/>
      <c r="I426" s="219"/>
      <c r="J426" s="219"/>
      <c r="K426" s="219"/>
      <c r="L426" s="219"/>
      <c r="M426" s="219"/>
      <c r="N426" s="219"/>
      <c r="O426" s="219"/>
      <c r="P426" s="219"/>
      <c r="Q426" s="221"/>
    </row>
    <row r="427" spans="2:17" x14ac:dyDescent="0.2">
      <c r="B427" s="219"/>
      <c r="C427" s="219"/>
      <c r="D427" s="219"/>
      <c r="E427" s="219"/>
      <c r="F427" s="219"/>
      <c r="G427" s="219"/>
      <c r="H427" s="219"/>
      <c r="I427" s="219"/>
      <c r="J427" s="219"/>
      <c r="K427" s="219"/>
      <c r="L427" s="219"/>
      <c r="M427" s="219"/>
      <c r="N427" s="219"/>
      <c r="O427" s="219"/>
      <c r="P427" s="219"/>
      <c r="Q427" s="221"/>
    </row>
    <row r="428" spans="2:17" x14ac:dyDescent="0.2">
      <c r="B428" s="219"/>
      <c r="C428" s="219"/>
      <c r="D428" s="219"/>
      <c r="E428" s="219"/>
      <c r="F428" s="219"/>
      <c r="G428" s="219"/>
      <c r="H428" s="219"/>
      <c r="I428" s="219"/>
      <c r="J428" s="219"/>
      <c r="K428" s="219"/>
      <c r="L428" s="219"/>
      <c r="M428" s="219"/>
      <c r="N428" s="219"/>
      <c r="O428" s="219"/>
      <c r="P428" s="219"/>
      <c r="Q428" s="221"/>
    </row>
    <row r="429" spans="2:17" x14ac:dyDescent="0.2">
      <c r="B429" s="219"/>
      <c r="C429" s="219"/>
      <c r="D429" s="219"/>
      <c r="E429" s="219"/>
      <c r="F429" s="219"/>
      <c r="G429" s="219"/>
      <c r="H429" s="219"/>
      <c r="I429" s="219"/>
      <c r="J429" s="219"/>
      <c r="K429" s="219"/>
      <c r="L429" s="219"/>
      <c r="M429" s="219"/>
      <c r="N429" s="219"/>
      <c r="O429" s="219"/>
      <c r="P429" s="219"/>
      <c r="Q429" s="221"/>
    </row>
    <row r="430" spans="2:17" x14ac:dyDescent="0.2">
      <c r="B430" s="219"/>
      <c r="C430" s="219"/>
      <c r="D430" s="219"/>
      <c r="E430" s="219"/>
      <c r="F430" s="219"/>
      <c r="G430" s="219"/>
      <c r="H430" s="219"/>
      <c r="I430" s="219"/>
      <c r="J430" s="219"/>
      <c r="K430" s="219"/>
      <c r="L430" s="219"/>
      <c r="M430" s="219"/>
      <c r="N430" s="219"/>
      <c r="O430" s="219"/>
      <c r="P430" s="219"/>
      <c r="Q430" s="221"/>
    </row>
    <row r="431" spans="2:17" x14ac:dyDescent="0.2">
      <c r="B431" s="219"/>
      <c r="C431" s="219"/>
      <c r="D431" s="219"/>
      <c r="E431" s="219"/>
      <c r="F431" s="219"/>
      <c r="G431" s="219"/>
      <c r="H431" s="219"/>
      <c r="I431" s="219"/>
      <c r="J431" s="219"/>
      <c r="K431" s="219"/>
      <c r="L431" s="219"/>
      <c r="M431" s="219"/>
      <c r="N431" s="219"/>
      <c r="O431" s="219"/>
      <c r="P431" s="219"/>
      <c r="Q431" s="221"/>
    </row>
    <row r="432" spans="2:17" x14ac:dyDescent="0.2">
      <c r="B432" s="219"/>
      <c r="C432" s="219"/>
      <c r="D432" s="219"/>
      <c r="E432" s="219"/>
      <c r="F432" s="219"/>
      <c r="G432" s="219"/>
      <c r="H432" s="219"/>
      <c r="I432" s="219"/>
      <c r="J432" s="219"/>
      <c r="K432" s="219"/>
      <c r="L432" s="219"/>
      <c r="M432" s="219"/>
      <c r="N432" s="219"/>
      <c r="O432" s="219"/>
      <c r="P432" s="219"/>
      <c r="Q432" s="221"/>
    </row>
    <row r="433" spans="2:17" x14ac:dyDescent="0.2">
      <c r="B433" s="219"/>
      <c r="C433" s="219"/>
      <c r="D433" s="219"/>
      <c r="E433" s="219"/>
      <c r="F433" s="219"/>
      <c r="G433" s="219"/>
      <c r="H433" s="219"/>
      <c r="I433" s="219"/>
      <c r="J433" s="219"/>
      <c r="K433" s="219"/>
      <c r="L433" s="219"/>
      <c r="M433" s="219"/>
      <c r="N433" s="219"/>
      <c r="O433" s="219"/>
      <c r="P433" s="219"/>
      <c r="Q433" s="221"/>
    </row>
    <row r="434" spans="2:17" x14ac:dyDescent="0.2">
      <c r="B434" s="219"/>
      <c r="C434" s="219"/>
      <c r="D434" s="219"/>
      <c r="E434" s="219"/>
      <c r="F434" s="219"/>
      <c r="G434" s="219"/>
      <c r="H434" s="219"/>
      <c r="I434" s="219"/>
      <c r="J434" s="219"/>
      <c r="K434" s="219"/>
      <c r="L434" s="219"/>
      <c r="M434" s="219"/>
      <c r="N434" s="219"/>
      <c r="O434" s="219"/>
      <c r="P434" s="219"/>
      <c r="Q434" s="221"/>
    </row>
    <row r="435" spans="2:17" x14ac:dyDescent="0.2">
      <c r="B435" s="219"/>
      <c r="C435" s="219"/>
      <c r="D435" s="219"/>
      <c r="E435" s="219"/>
      <c r="F435" s="219"/>
      <c r="G435" s="219"/>
      <c r="H435" s="219"/>
      <c r="I435" s="219"/>
      <c r="J435" s="219"/>
      <c r="K435" s="219"/>
      <c r="L435" s="219"/>
      <c r="M435" s="219"/>
      <c r="N435" s="219"/>
      <c r="O435" s="219"/>
      <c r="P435" s="219"/>
      <c r="Q435" s="221"/>
    </row>
    <row r="436" spans="2:17" x14ac:dyDescent="0.2">
      <c r="B436" s="219"/>
      <c r="C436" s="219"/>
      <c r="D436" s="219"/>
      <c r="E436" s="219"/>
      <c r="F436" s="219"/>
      <c r="G436" s="219"/>
      <c r="H436" s="219"/>
      <c r="I436" s="219"/>
      <c r="J436" s="219"/>
      <c r="K436" s="219"/>
      <c r="L436" s="219"/>
      <c r="M436" s="219"/>
      <c r="N436" s="219"/>
      <c r="O436" s="219"/>
      <c r="P436" s="219"/>
      <c r="Q436" s="221"/>
    </row>
    <row r="437" spans="2:17" x14ac:dyDescent="0.2">
      <c r="B437" s="219"/>
      <c r="C437" s="219"/>
      <c r="D437" s="219"/>
      <c r="E437" s="219"/>
      <c r="F437" s="219"/>
      <c r="G437" s="219"/>
      <c r="H437" s="219"/>
      <c r="I437" s="219"/>
      <c r="J437" s="219"/>
      <c r="K437" s="219"/>
      <c r="L437" s="219"/>
      <c r="M437" s="219"/>
      <c r="N437" s="219"/>
      <c r="O437" s="219"/>
      <c r="P437" s="219"/>
      <c r="Q437" s="221"/>
    </row>
    <row r="438" spans="2:17" x14ac:dyDescent="0.2">
      <c r="B438" s="219"/>
      <c r="C438" s="219"/>
      <c r="D438" s="219"/>
      <c r="E438" s="219"/>
      <c r="F438" s="219"/>
      <c r="G438" s="219"/>
      <c r="H438" s="219"/>
      <c r="I438" s="219"/>
      <c r="J438" s="219"/>
      <c r="K438" s="219"/>
      <c r="L438" s="219"/>
      <c r="M438" s="219"/>
      <c r="N438" s="219"/>
      <c r="O438" s="219"/>
      <c r="P438" s="219"/>
      <c r="Q438" s="221"/>
    </row>
    <row r="439" spans="2:17" x14ac:dyDescent="0.2">
      <c r="B439" s="219"/>
      <c r="C439" s="219"/>
      <c r="D439" s="219"/>
      <c r="E439" s="219"/>
      <c r="F439" s="219"/>
      <c r="G439" s="219"/>
      <c r="H439" s="219"/>
      <c r="I439" s="219"/>
      <c r="J439" s="219"/>
      <c r="K439" s="219"/>
      <c r="L439" s="219"/>
      <c r="M439" s="219"/>
      <c r="N439" s="219"/>
      <c r="O439" s="219"/>
      <c r="P439" s="219"/>
      <c r="Q439" s="221"/>
    </row>
    <row r="440" spans="2:17" x14ac:dyDescent="0.2">
      <c r="B440" s="219"/>
      <c r="C440" s="219"/>
      <c r="D440" s="219"/>
      <c r="E440" s="219"/>
      <c r="F440" s="219"/>
      <c r="G440" s="219"/>
      <c r="H440" s="219"/>
      <c r="I440" s="219"/>
      <c r="J440" s="219"/>
      <c r="K440" s="219"/>
      <c r="L440" s="219"/>
      <c r="M440" s="219"/>
      <c r="N440" s="219"/>
      <c r="O440" s="219"/>
      <c r="P440" s="219"/>
      <c r="Q440" s="221"/>
    </row>
    <row r="441" spans="2:17" x14ac:dyDescent="0.2">
      <c r="B441" s="219"/>
      <c r="C441" s="219"/>
      <c r="D441" s="219"/>
      <c r="E441" s="219"/>
      <c r="F441" s="219"/>
      <c r="G441" s="219"/>
      <c r="H441" s="219"/>
      <c r="I441" s="219"/>
      <c r="J441" s="219"/>
      <c r="K441" s="219"/>
      <c r="L441" s="219"/>
      <c r="M441" s="219"/>
      <c r="N441" s="219"/>
      <c r="O441" s="219"/>
      <c r="P441" s="219"/>
      <c r="Q441" s="221"/>
    </row>
    <row r="442" spans="2:17" x14ac:dyDescent="0.2">
      <c r="B442" s="219"/>
      <c r="C442" s="219"/>
      <c r="D442" s="219"/>
      <c r="E442" s="219"/>
      <c r="F442" s="219"/>
      <c r="G442" s="219"/>
      <c r="H442" s="219"/>
      <c r="I442" s="219"/>
      <c r="J442" s="219"/>
      <c r="K442" s="219"/>
      <c r="L442" s="219"/>
      <c r="M442" s="219"/>
      <c r="N442" s="219"/>
      <c r="O442" s="219"/>
      <c r="P442" s="219"/>
      <c r="Q442" s="221"/>
    </row>
    <row r="443" spans="2:17" x14ac:dyDescent="0.2">
      <c r="B443" s="219"/>
      <c r="C443" s="219"/>
      <c r="D443" s="219"/>
      <c r="E443" s="219"/>
      <c r="F443" s="219"/>
      <c r="G443" s="219"/>
      <c r="H443" s="219"/>
      <c r="I443" s="219"/>
      <c r="J443" s="219"/>
      <c r="K443" s="219"/>
      <c r="L443" s="219"/>
      <c r="M443" s="219"/>
      <c r="N443" s="219"/>
      <c r="O443" s="219"/>
      <c r="P443" s="219"/>
      <c r="Q443" s="221"/>
    </row>
    <row r="444" spans="2:17" x14ac:dyDescent="0.2">
      <c r="B444" s="219"/>
      <c r="C444" s="219"/>
      <c r="D444" s="219"/>
      <c r="E444" s="219"/>
      <c r="F444" s="219"/>
      <c r="G444" s="219"/>
      <c r="H444" s="219"/>
      <c r="I444" s="219"/>
      <c r="J444" s="219"/>
      <c r="K444" s="219"/>
      <c r="L444" s="219"/>
      <c r="M444" s="219"/>
      <c r="N444" s="219"/>
      <c r="O444" s="219"/>
      <c r="P444" s="219"/>
      <c r="Q444" s="221"/>
    </row>
    <row r="445" spans="2:17" x14ac:dyDescent="0.2">
      <c r="B445" s="219"/>
      <c r="C445" s="219"/>
      <c r="D445" s="219"/>
      <c r="E445" s="219"/>
      <c r="F445" s="219"/>
      <c r="G445" s="219"/>
      <c r="H445" s="219"/>
      <c r="I445" s="219"/>
      <c r="J445" s="219"/>
      <c r="K445" s="219"/>
      <c r="L445" s="219"/>
      <c r="M445" s="219"/>
      <c r="N445" s="219"/>
      <c r="O445" s="219"/>
      <c r="P445" s="219"/>
      <c r="Q445" s="221"/>
    </row>
    <row r="446" spans="2:17" x14ac:dyDescent="0.2">
      <c r="B446" s="219"/>
      <c r="C446" s="219"/>
      <c r="D446" s="219"/>
      <c r="E446" s="219"/>
      <c r="F446" s="219"/>
      <c r="G446" s="219"/>
      <c r="H446" s="219"/>
      <c r="I446" s="219"/>
      <c r="J446" s="219"/>
      <c r="K446" s="219"/>
      <c r="L446" s="219"/>
      <c r="M446" s="219"/>
      <c r="N446" s="219"/>
      <c r="O446" s="219"/>
      <c r="P446" s="219"/>
      <c r="Q446" s="221"/>
    </row>
    <row r="447" spans="2:17" x14ac:dyDescent="0.2">
      <c r="B447" s="219"/>
      <c r="C447" s="219"/>
      <c r="D447" s="219"/>
      <c r="E447" s="219"/>
      <c r="F447" s="219"/>
      <c r="G447" s="219"/>
      <c r="H447" s="219"/>
      <c r="I447" s="219"/>
      <c r="J447" s="219"/>
      <c r="K447" s="219"/>
      <c r="L447" s="219"/>
      <c r="M447" s="219"/>
      <c r="N447" s="219"/>
      <c r="O447" s="219"/>
      <c r="P447" s="219"/>
      <c r="Q447" s="221"/>
    </row>
    <row r="448" spans="2:17" x14ac:dyDescent="0.2">
      <c r="B448" s="219"/>
      <c r="C448" s="219"/>
      <c r="D448" s="219"/>
      <c r="E448" s="219"/>
      <c r="F448" s="219"/>
      <c r="G448" s="219"/>
      <c r="H448" s="219"/>
      <c r="I448" s="219"/>
      <c r="J448" s="219"/>
      <c r="K448" s="219"/>
      <c r="L448" s="219"/>
      <c r="M448" s="219"/>
      <c r="N448" s="219"/>
      <c r="O448" s="219"/>
      <c r="P448" s="219"/>
      <c r="Q448" s="221"/>
    </row>
    <row r="449" spans="2:17" x14ac:dyDescent="0.2">
      <c r="B449" s="219"/>
      <c r="C449" s="219"/>
      <c r="D449" s="219"/>
      <c r="E449" s="219"/>
      <c r="F449" s="219"/>
      <c r="G449" s="219"/>
      <c r="H449" s="219"/>
      <c r="I449" s="219"/>
      <c r="J449" s="219"/>
      <c r="K449" s="219"/>
      <c r="L449" s="219"/>
      <c r="M449" s="219"/>
      <c r="N449" s="219"/>
      <c r="O449" s="219"/>
      <c r="P449" s="219"/>
      <c r="Q449" s="221"/>
    </row>
    <row r="450" spans="2:17" x14ac:dyDescent="0.2">
      <c r="B450" s="219"/>
      <c r="C450" s="219"/>
      <c r="D450" s="219"/>
      <c r="E450" s="219"/>
      <c r="F450" s="219"/>
      <c r="G450" s="219"/>
      <c r="H450" s="219"/>
      <c r="I450" s="219"/>
      <c r="J450" s="219"/>
      <c r="K450" s="219"/>
      <c r="L450" s="219"/>
      <c r="M450" s="219"/>
      <c r="N450" s="219"/>
      <c r="O450" s="219"/>
      <c r="P450" s="219"/>
      <c r="Q450" s="221"/>
    </row>
    <row r="451" spans="2:17" x14ac:dyDescent="0.2">
      <c r="B451" s="219"/>
      <c r="C451" s="219"/>
      <c r="D451" s="219"/>
      <c r="E451" s="219"/>
      <c r="F451" s="219"/>
      <c r="G451" s="219"/>
      <c r="H451" s="219"/>
      <c r="I451" s="219"/>
      <c r="J451" s="219"/>
      <c r="K451" s="219"/>
      <c r="L451" s="219"/>
      <c r="M451" s="219"/>
      <c r="N451" s="219"/>
      <c r="O451" s="219"/>
      <c r="P451" s="219"/>
      <c r="Q451" s="221"/>
    </row>
    <row r="452" spans="2:17" x14ac:dyDescent="0.2">
      <c r="B452" s="219"/>
      <c r="C452" s="219"/>
      <c r="D452" s="219"/>
      <c r="E452" s="219"/>
      <c r="F452" s="219"/>
      <c r="G452" s="219"/>
      <c r="H452" s="219"/>
      <c r="I452" s="219"/>
      <c r="J452" s="219"/>
      <c r="K452" s="219"/>
      <c r="L452" s="219"/>
      <c r="M452" s="219"/>
      <c r="N452" s="219"/>
      <c r="O452" s="219"/>
      <c r="P452" s="219"/>
      <c r="Q452" s="221"/>
    </row>
    <row r="453" spans="2:17" x14ac:dyDescent="0.2">
      <c r="B453" s="219"/>
      <c r="C453" s="219"/>
      <c r="D453" s="219"/>
      <c r="E453" s="219"/>
      <c r="F453" s="219"/>
      <c r="G453" s="219"/>
      <c r="H453" s="219"/>
      <c r="I453" s="219"/>
      <c r="J453" s="219"/>
      <c r="K453" s="219"/>
      <c r="L453" s="219"/>
      <c r="M453" s="219"/>
      <c r="N453" s="219"/>
      <c r="O453" s="219"/>
      <c r="P453" s="219"/>
      <c r="Q453" s="221"/>
    </row>
    <row r="454" spans="2:17" x14ac:dyDescent="0.2">
      <c r="B454" s="219"/>
      <c r="C454" s="219"/>
      <c r="D454" s="219"/>
      <c r="E454" s="219"/>
      <c r="F454" s="219"/>
      <c r="G454" s="219"/>
      <c r="H454" s="219"/>
      <c r="I454" s="219"/>
      <c r="J454" s="219"/>
      <c r="K454" s="219"/>
      <c r="L454" s="219"/>
      <c r="M454" s="219"/>
      <c r="N454" s="219"/>
      <c r="O454" s="219"/>
      <c r="P454" s="219"/>
      <c r="Q454" s="221"/>
    </row>
    <row r="455" spans="2:17" x14ac:dyDescent="0.2">
      <c r="B455" s="219"/>
      <c r="C455" s="219"/>
      <c r="D455" s="219"/>
      <c r="E455" s="219"/>
      <c r="F455" s="219"/>
      <c r="G455" s="219"/>
      <c r="H455" s="219"/>
      <c r="I455" s="219"/>
      <c r="J455" s="219"/>
      <c r="K455" s="219"/>
      <c r="L455" s="219"/>
      <c r="M455" s="219"/>
      <c r="N455" s="219"/>
      <c r="O455" s="219"/>
      <c r="P455" s="219"/>
      <c r="Q455" s="221"/>
    </row>
    <row r="456" spans="2:17" x14ac:dyDescent="0.2">
      <c r="B456" s="219"/>
      <c r="C456" s="219"/>
      <c r="D456" s="219"/>
      <c r="E456" s="219"/>
      <c r="F456" s="219"/>
      <c r="G456" s="219"/>
      <c r="H456" s="219"/>
      <c r="I456" s="219"/>
      <c r="J456" s="219"/>
      <c r="K456" s="219"/>
      <c r="L456" s="219"/>
      <c r="M456" s="219"/>
      <c r="N456" s="219"/>
      <c r="O456" s="219"/>
      <c r="P456" s="219"/>
      <c r="Q456" s="221"/>
    </row>
    <row r="457" spans="2:17" x14ac:dyDescent="0.2">
      <c r="B457" s="219"/>
      <c r="C457" s="219"/>
      <c r="D457" s="219"/>
      <c r="E457" s="219"/>
      <c r="F457" s="219"/>
      <c r="G457" s="219"/>
      <c r="H457" s="219"/>
      <c r="I457" s="219"/>
      <c r="J457" s="219"/>
      <c r="K457" s="219"/>
      <c r="L457" s="219"/>
      <c r="M457" s="219"/>
      <c r="N457" s="219"/>
      <c r="O457" s="219"/>
      <c r="P457" s="219"/>
      <c r="Q457" s="221"/>
    </row>
    <row r="458" spans="2:17" x14ac:dyDescent="0.2">
      <c r="B458" s="219"/>
      <c r="C458" s="219"/>
      <c r="D458" s="219"/>
      <c r="E458" s="219"/>
      <c r="F458" s="219"/>
      <c r="G458" s="219"/>
      <c r="H458" s="219"/>
      <c r="I458" s="219"/>
      <c r="J458" s="219"/>
      <c r="K458" s="219"/>
      <c r="L458" s="219"/>
      <c r="M458" s="219"/>
      <c r="N458" s="219"/>
      <c r="O458" s="219"/>
      <c r="P458" s="219"/>
      <c r="Q458" s="221"/>
    </row>
    <row r="459" spans="2:17" x14ac:dyDescent="0.2">
      <c r="B459" s="219"/>
      <c r="C459" s="219"/>
      <c r="D459" s="219"/>
      <c r="E459" s="219"/>
      <c r="F459" s="219"/>
      <c r="G459" s="219"/>
      <c r="H459" s="219"/>
      <c r="I459" s="219"/>
      <c r="J459" s="219"/>
      <c r="K459" s="219"/>
      <c r="L459" s="219"/>
      <c r="M459" s="219"/>
      <c r="N459" s="219"/>
      <c r="O459" s="219"/>
      <c r="P459" s="219"/>
      <c r="Q459" s="221"/>
    </row>
    <row r="460" spans="2:17" x14ac:dyDescent="0.2">
      <c r="B460" s="219"/>
      <c r="C460" s="219"/>
      <c r="D460" s="219"/>
      <c r="E460" s="219"/>
      <c r="F460" s="219"/>
      <c r="G460" s="219"/>
      <c r="H460" s="219"/>
      <c r="I460" s="219"/>
      <c r="J460" s="219"/>
      <c r="K460" s="219"/>
      <c r="L460" s="219"/>
      <c r="M460" s="219"/>
      <c r="N460" s="219"/>
      <c r="O460" s="219"/>
      <c r="P460" s="219"/>
      <c r="Q460" s="221"/>
    </row>
    <row r="461" spans="2:17" x14ac:dyDescent="0.2">
      <c r="B461" s="219"/>
      <c r="C461" s="219"/>
      <c r="D461" s="219"/>
      <c r="E461" s="219"/>
      <c r="F461" s="219"/>
      <c r="G461" s="219"/>
      <c r="H461" s="219"/>
      <c r="I461" s="219"/>
      <c r="J461" s="219"/>
      <c r="K461" s="219"/>
      <c r="L461" s="219"/>
      <c r="M461" s="219"/>
      <c r="N461" s="219"/>
      <c r="O461" s="219"/>
      <c r="P461" s="219"/>
      <c r="Q461" s="221"/>
    </row>
    <row r="462" spans="2:17" x14ac:dyDescent="0.2">
      <c r="B462" s="219"/>
      <c r="C462" s="219"/>
      <c r="D462" s="219"/>
      <c r="E462" s="219"/>
      <c r="F462" s="219"/>
      <c r="G462" s="219"/>
      <c r="H462" s="219"/>
      <c r="I462" s="219"/>
      <c r="J462" s="219"/>
      <c r="K462" s="219"/>
      <c r="L462" s="219"/>
      <c r="M462" s="219"/>
      <c r="N462" s="219"/>
      <c r="O462" s="219"/>
      <c r="P462" s="219"/>
      <c r="Q462" s="221"/>
    </row>
    <row r="463" spans="2:17" x14ac:dyDescent="0.2">
      <c r="B463" s="219"/>
      <c r="C463" s="219"/>
      <c r="D463" s="219"/>
      <c r="E463" s="219"/>
      <c r="F463" s="219"/>
      <c r="G463" s="219"/>
      <c r="H463" s="219"/>
      <c r="I463" s="219"/>
      <c r="J463" s="219"/>
      <c r="K463" s="219"/>
      <c r="L463" s="219"/>
      <c r="M463" s="219"/>
      <c r="N463" s="219"/>
      <c r="O463" s="219"/>
      <c r="P463" s="219"/>
      <c r="Q463" s="221"/>
    </row>
    <row r="464" spans="2:17" x14ac:dyDescent="0.2">
      <c r="B464" s="219"/>
      <c r="C464" s="219"/>
      <c r="D464" s="219"/>
      <c r="E464" s="219"/>
      <c r="F464" s="219"/>
      <c r="G464" s="219"/>
      <c r="H464" s="219"/>
      <c r="I464" s="219"/>
      <c r="J464" s="219"/>
      <c r="K464" s="219"/>
      <c r="L464" s="219"/>
      <c r="M464" s="219"/>
      <c r="N464" s="219"/>
      <c r="O464" s="219"/>
      <c r="P464" s="219"/>
      <c r="Q464" s="221"/>
    </row>
    <row r="465" spans="2:17" x14ac:dyDescent="0.2">
      <c r="B465" s="219"/>
      <c r="C465" s="219"/>
      <c r="D465" s="219"/>
      <c r="E465" s="219"/>
      <c r="F465" s="219"/>
      <c r="G465" s="219"/>
      <c r="H465" s="219"/>
      <c r="I465" s="219"/>
      <c r="J465" s="219"/>
      <c r="K465" s="219"/>
      <c r="L465" s="219"/>
      <c r="M465" s="219"/>
      <c r="N465" s="219"/>
      <c r="O465" s="219"/>
      <c r="P465" s="219"/>
      <c r="Q465" s="221"/>
    </row>
    <row r="466" spans="2:17" x14ac:dyDescent="0.2">
      <c r="B466" s="219"/>
      <c r="C466" s="219"/>
      <c r="D466" s="219"/>
      <c r="E466" s="219"/>
      <c r="F466" s="219"/>
      <c r="G466" s="219"/>
      <c r="H466" s="219"/>
      <c r="I466" s="219"/>
      <c r="J466" s="219"/>
      <c r="K466" s="219"/>
      <c r="L466" s="219"/>
      <c r="M466" s="219"/>
      <c r="N466" s="219"/>
      <c r="O466" s="219"/>
      <c r="P466" s="219"/>
      <c r="Q466" s="221"/>
    </row>
    <row r="467" spans="2:17" x14ac:dyDescent="0.2">
      <c r="B467" s="219"/>
      <c r="C467" s="219"/>
      <c r="D467" s="219"/>
      <c r="E467" s="219"/>
      <c r="F467" s="219"/>
      <c r="G467" s="219"/>
      <c r="H467" s="219"/>
      <c r="I467" s="219"/>
      <c r="J467" s="219"/>
      <c r="K467" s="219"/>
      <c r="L467" s="219"/>
      <c r="M467" s="219"/>
      <c r="N467" s="219"/>
      <c r="O467" s="219"/>
      <c r="P467" s="219"/>
      <c r="Q467" s="221"/>
    </row>
    <row r="468" spans="2:17" x14ac:dyDescent="0.2">
      <c r="B468" s="219"/>
      <c r="C468" s="219"/>
      <c r="D468" s="219"/>
      <c r="E468" s="219"/>
      <c r="F468" s="219"/>
      <c r="G468" s="219"/>
      <c r="H468" s="219"/>
      <c r="I468" s="219"/>
      <c r="J468" s="219"/>
      <c r="K468" s="219"/>
      <c r="L468" s="219"/>
      <c r="M468" s="219"/>
      <c r="N468" s="219"/>
      <c r="O468" s="219"/>
      <c r="P468" s="219"/>
      <c r="Q468" s="221"/>
    </row>
    <row r="469" spans="2:17" x14ac:dyDescent="0.2">
      <c r="B469" s="219"/>
      <c r="C469" s="219"/>
      <c r="D469" s="219"/>
      <c r="E469" s="219"/>
      <c r="F469" s="219"/>
      <c r="G469" s="219"/>
      <c r="H469" s="219"/>
      <c r="I469" s="219"/>
      <c r="J469" s="219"/>
      <c r="K469" s="219"/>
      <c r="L469" s="219"/>
      <c r="M469" s="219"/>
      <c r="N469" s="219"/>
      <c r="O469" s="219"/>
      <c r="P469" s="219"/>
      <c r="Q469" s="221"/>
    </row>
    <row r="470" spans="2:17" x14ac:dyDescent="0.2">
      <c r="B470" s="219"/>
      <c r="C470" s="219"/>
      <c r="D470" s="219"/>
      <c r="E470" s="219"/>
      <c r="F470" s="219"/>
      <c r="G470" s="219"/>
      <c r="H470" s="219"/>
      <c r="I470" s="219"/>
      <c r="J470" s="219"/>
      <c r="K470" s="219"/>
      <c r="L470" s="219"/>
      <c r="M470" s="219"/>
      <c r="N470" s="219"/>
      <c r="O470" s="219"/>
      <c r="P470" s="219"/>
      <c r="Q470" s="221"/>
    </row>
    <row r="471" spans="2:17" x14ac:dyDescent="0.2">
      <c r="B471" s="219"/>
      <c r="C471" s="219"/>
      <c r="D471" s="219"/>
      <c r="E471" s="219"/>
      <c r="F471" s="219"/>
      <c r="G471" s="219"/>
      <c r="H471" s="219"/>
      <c r="I471" s="219"/>
      <c r="J471" s="219"/>
      <c r="K471" s="219"/>
      <c r="L471" s="219"/>
      <c r="M471" s="219"/>
      <c r="N471" s="219"/>
      <c r="O471" s="219"/>
      <c r="P471" s="219"/>
      <c r="Q471" s="221"/>
    </row>
    <row r="472" spans="2:17" x14ac:dyDescent="0.2">
      <c r="B472" s="219"/>
      <c r="C472" s="219"/>
      <c r="D472" s="219"/>
      <c r="E472" s="219"/>
      <c r="F472" s="219"/>
      <c r="G472" s="219"/>
      <c r="H472" s="219"/>
      <c r="I472" s="219"/>
      <c r="J472" s="219"/>
      <c r="K472" s="219"/>
      <c r="L472" s="219"/>
      <c r="M472" s="219"/>
      <c r="N472" s="219"/>
      <c r="O472" s="219"/>
      <c r="P472" s="219"/>
      <c r="Q472" s="221"/>
    </row>
    <row r="473" spans="2:17" x14ac:dyDescent="0.2">
      <c r="B473" s="219"/>
      <c r="C473" s="219"/>
      <c r="D473" s="219"/>
      <c r="E473" s="219"/>
      <c r="F473" s="219"/>
      <c r="G473" s="219"/>
      <c r="H473" s="219"/>
      <c r="I473" s="219"/>
      <c r="J473" s="219"/>
      <c r="K473" s="219"/>
      <c r="L473" s="219"/>
      <c r="M473" s="219"/>
      <c r="N473" s="219"/>
      <c r="O473" s="219"/>
      <c r="P473" s="219"/>
      <c r="Q473" s="221"/>
    </row>
    <row r="474" spans="2:17" x14ac:dyDescent="0.2">
      <c r="B474" s="219"/>
      <c r="C474" s="219"/>
      <c r="D474" s="219"/>
      <c r="E474" s="219"/>
      <c r="F474" s="219"/>
      <c r="G474" s="219"/>
      <c r="H474" s="219"/>
      <c r="I474" s="219"/>
      <c r="J474" s="219"/>
      <c r="K474" s="219"/>
      <c r="L474" s="219"/>
      <c r="M474" s="219"/>
      <c r="N474" s="219"/>
      <c r="O474" s="219"/>
      <c r="P474" s="219"/>
      <c r="Q474" s="221"/>
    </row>
    <row r="475" spans="2:17" x14ac:dyDescent="0.2">
      <c r="B475" s="219"/>
      <c r="C475" s="219"/>
      <c r="D475" s="219"/>
      <c r="E475" s="219"/>
      <c r="F475" s="219"/>
      <c r="G475" s="219"/>
      <c r="H475" s="219"/>
      <c r="I475" s="219"/>
      <c r="J475" s="219"/>
      <c r="K475" s="219"/>
      <c r="L475" s="219"/>
      <c r="M475" s="219"/>
      <c r="N475" s="219"/>
      <c r="O475" s="219"/>
      <c r="P475" s="219"/>
      <c r="Q475" s="221"/>
    </row>
    <row r="476" spans="2:17" x14ac:dyDescent="0.2">
      <c r="B476" s="219"/>
      <c r="C476" s="219"/>
      <c r="D476" s="219"/>
      <c r="E476" s="219"/>
      <c r="F476" s="219"/>
      <c r="G476" s="219"/>
      <c r="H476" s="219"/>
      <c r="I476" s="219"/>
      <c r="J476" s="219"/>
      <c r="K476" s="219"/>
      <c r="L476" s="219"/>
      <c r="M476" s="219"/>
      <c r="N476" s="219"/>
      <c r="O476" s="219"/>
      <c r="P476" s="219"/>
      <c r="Q476" s="221"/>
    </row>
    <row r="477" spans="2:17" x14ac:dyDescent="0.2">
      <c r="B477" s="219"/>
      <c r="C477" s="219"/>
      <c r="D477" s="219"/>
      <c r="E477" s="219"/>
      <c r="F477" s="219"/>
      <c r="G477" s="219"/>
      <c r="H477" s="219"/>
      <c r="I477" s="219"/>
      <c r="J477" s="219"/>
      <c r="K477" s="219"/>
      <c r="L477" s="219"/>
      <c r="M477" s="219"/>
      <c r="N477" s="219"/>
      <c r="O477" s="219"/>
      <c r="P477" s="219"/>
      <c r="Q477" s="221"/>
    </row>
    <row r="478" spans="2:17" x14ac:dyDescent="0.2">
      <c r="B478" s="219"/>
      <c r="C478" s="219"/>
      <c r="D478" s="219"/>
      <c r="E478" s="219"/>
      <c r="F478" s="219"/>
      <c r="G478" s="219"/>
      <c r="H478" s="219"/>
      <c r="I478" s="219"/>
      <c r="J478" s="219"/>
      <c r="K478" s="219"/>
      <c r="L478" s="219"/>
      <c r="M478" s="219"/>
      <c r="N478" s="219"/>
      <c r="O478" s="219"/>
      <c r="P478" s="219"/>
      <c r="Q478" s="221"/>
    </row>
    <row r="479" spans="2:17" x14ac:dyDescent="0.2">
      <c r="B479" s="219"/>
      <c r="C479" s="219"/>
      <c r="D479" s="219"/>
      <c r="E479" s="219"/>
      <c r="F479" s="219"/>
      <c r="G479" s="219"/>
      <c r="H479" s="219"/>
      <c r="I479" s="219"/>
      <c r="J479" s="219"/>
      <c r="K479" s="219"/>
      <c r="L479" s="219"/>
      <c r="M479" s="219"/>
      <c r="N479" s="219"/>
      <c r="O479" s="219"/>
      <c r="P479" s="219"/>
      <c r="Q479" s="221"/>
    </row>
    <row r="480" spans="2:17" x14ac:dyDescent="0.2">
      <c r="B480" s="219"/>
      <c r="C480" s="219"/>
      <c r="D480" s="219"/>
      <c r="E480" s="219"/>
      <c r="F480" s="219"/>
      <c r="G480" s="219"/>
      <c r="H480" s="219"/>
      <c r="I480" s="219"/>
      <c r="J480" s="219"/>
      <c r="K480" s="219"/>
      <c r="L480" s="219"/>
      <c r="M480" s="219"/>
      <c r="N480" s="219"/>
      <c r="O480" s="219"/>
      <c r="P480" s="219"/>
      <c r="Q480" s="221"/>
    </row>
    <row r="481" spans="2:17" x14ac:dyDescent="0.2">
      <c r="B481" s="219"/>
      <c r="C481" s="219"/>
      <c r="D481" s="219"/>
      <c r="E481" s="219"/>
      <c r="F481" s="219"/>
      <c r="G481" s="219"/>
      <c r="H481" s="219"/>
      <c r="I481" s="219"/>
      <c r="J481" s="219"/>
      <c r="K481" s="219"/>
      <c r="L481" s="219"/>
      <c r="M481" s="219"/>
      <c r="N481" s="219"/>
      <c r="O481" s="219"/>
      <c r="P481" s="219"/>
      <c r="Q481" s="221"/>
    </row>
    <row r="482" spans="2:17" x14ac:dyDescent="0.2">
      <c r="B482" s="219"/>
      <c r="C482" s="219"/>
      <c r="D482" s="219"/>
      <c r="E482" s="219"/>
      <c r="F482" s="219"/>
      <c r="G482" s="219"/>
      <c r="H482" s="219"/>
      <c r="I482" s="219"/>
      <c r="J482" s="219"/>
      <c r="K482" s="219"/>
      <c r="L482" s="219"/>
      <c r="M482" s="219"/>
      <c r="N482" s="219"/>
      <c r="O482" s="219"/>
      <c r="P482" s="219"/>
      <c r="Q482" s="221"/>
    </row>
    <row r="483" spans="2:17" x14ac:dyDescent="0.2">
      <c r="B483" s="219"/>
      <c r="C483" s="219"/>
      <c r="D483" s="219"/>
      <c r="E483" s="219"/>
      <c r="F483" s="219"/>
      <c r="G483" s="219"/>
      <c r="H483" s="219"/>
      <c r="I483" s="219"/>
      <c r="J483" s="219"/>
      <c r="K483" s="219"/>
      <c r="L483" s="219"/>
      <c r="M483" s="219"/>
      <c r="N483" s="219"/>
      <c r="O483" s="219"/>
      <c r="P483" s="219"/>
      <c r="Q483" s="221"/>
    </row>
    <row r="484" spans="2:17" x14ac:dyDescent="0.2">
      <c r="B484" s="219"/>
      <c r="C484" s="219"/>
      <c r="D484" s="219"/>
      <c r="E484" s="219"/>
      <c r="F484" s="219"/>
      <c r="G484" s="219"/>
      <c r="H484" s="219"/>
      <c r="I484" s="219"/>
      <c r="J484" s="219"/>
      <c r="K484" s="219"/>
      <c r="L484" s="219"/>
      <c r="M484" s="219"/>
      <c r="N484" s="219"/>
      <c r="O484" s="219"/>
      <c r="P484" s="219"/>
      <c r="Q484" s="221"/>
    </row>
    <row r="485" spans="2:17" x14ac:dyDescent="0.2">
      <c r="B485" s="219"/>
      <c r="C485" s="219"/>
      <c r="D485" s="219"/>
      <c r="E485" s="219"/>
      <c r="F485" s="219"/>
      <c r="G485" s="219"/>
      <c r="H485" s="219"/>
      <c r="I485" s="219"/>
      <c r="J485" s="219"/>
      <c r="K485" s="219"/>
      <c r="L485" s="219"/>
      <c r="M485" s="219"/>
      <c r="N485" s="219"/>
      <c r="O485" s="219"/>
      <c r="P485" s="219"/>
      <c r="Q485" s="221"/>
    </row>
    <row r="486" spans="2:17" x14ac:dyDescent="0.2">
      <c r="B486" s="219"/>
      <c r="C486" s="219"/>
      <c r="D486" s="219"/>
      <c r="E486" s="219"/>
      <c r="F486" s="219"/>
      <c r="G486" s="219"/>
      <c r="H486" s="219"/>
      <c r="I486" s="219"/>
      <c r="J486" s="219"/>
      <c r="K486" s="219"/>
      <c r="L486" s="219"/>
      <c r="M486" s="219"/>
      <c r="N486" s="219"/>
      <c r="O486" s="219"/>
      <c r="P486" s="219"/>
      <c r="Q486" s="221"/>
    </row>
    <row r="487" spans="2:17" x14ac:dyDescent="0.2">
      <c r="B487" s="219"/>
      <c r="C487" s="219"/>
      <c r="D487" s="219"/>
      <c r="E487" s="219"/>
      <c r="F487" s="219"/>
      <c r="G487" s="219"/>
      <c r="H487" s="219"/>
      <c r="I487" s="219"/>
      <c r="J487" s="219"/>
      <c r="K487" s="219"/>
      <c r="L487" s="219"/>
      <c r="M487" s="219"/>
      <c r="N487" s="219"/>
      <c r="O487" s="219"/>
      <c r="P487" s="219"/>
      <c r="Q487" s="221"/>
    </row>
    <row r="488" spans="2:17" x14ac:dyDescent="0.2">
      <c r="B488" s="219"/>
      <c r="C488" s="219"/>
      <c r="D488" s="219"/>
      <c r="E488" s="219"/>
      <c r="F488" s="219"/>
      <c r="G488" s="219"/>
      <c r="H488" s="219"/>
      <c r="I488" s="219"/>
      <c r="J488" s="219"/>
      <c r="K488" s="219"/>
      <c r="L488" s="219"/>
      <c r="M488" s="219"/>
      <c r="N488" s="219"/>
      <c r="O488" s="219"/>
      <c r="P488" s="219"/>
      <c r="Q488" s="221"/>
    </row>
    <row r="489" spans="2:17" x14ac:dyDescent="0.2">
      <c r="B489" s="219"/>
      <c r="C489" s="219"/>
      <c r="D489" s="219"/>
      <c r="E489" s="219"/>
      <c r="F489" s="219"/>
      <c r="G489" s="219"/>
      <c r="H489" s="219"/>
      <c r="I489" s="219"/>
      <c r="J489" s="219"/>
      <c r="K489" s="219"/>
      <c r="L489" s="219"/>
      <c r="M489" s="219"/>
      <c r="N489" s="219"/>
      <c r="O489" s="219"/>
      <c r="P489" s="219"/>
      <c r="Q489" s="221"/>
    </row>
    <row r="490" spans="2:17" x14ac:dyDescent="0.2">
      <c r="B490" s="219"/>
      <c r="C490" s="219"/>
      <c r="D490" s="219"/>
      <c r="E490" s="219"/>
      <c r="F490" s="219"/>
      <c r="G490" s="219"/>
      <c r="H490" s="219"/>
      <c r="I490" s="219"/>
      <c r="J490" s="219"/>
      <c r="K490" s="219"/>
      <c r="L490" s="219"/>
      <c r="M490" s="219"/>
      <c r="N490" s="219"/>
      <c r="O490" s="219"/>
      <c r="P490" s="219"/>
      <c r="Q490" s="221"/>
    </row>
    <row r="491" spans="2:17" x14ac:dyDescent="0.2">
      <c r="B491" s="219"/>
      <c r="C491" s="219"/>
      <c r="D491" s="219"/>
      <c r="E491" s="219"/>
      <c r="F491" s="219"/>
      <c r="G491" s="219"/>
      <c r="H491" s="219"/>
      <c r="I491" s="219"/>
      <c r="J491" s="219"/>
      <c r="K491" s="219"/>
      <c r="L491" s="219"/>
      <c r="M491" s="219"/>
      <c r="N491" s="219"/>
      <c r="O491" s="219"/>
      <c r="P491" s="219"/>
      <c r="Q491" s="221"/>
    </row>
    <row r="492" spans="2:17" x14ac:dyDescent="0.2">
      <c r="B492" s="219"/>
      <c r="C492" s="219"/>
      <c r="D492" s="219"/>
      <c r="E492" s="219"/>
      <c r="F492" s="219"/>
      <c r="G492" s="219"/>
      <c r="H492" s="219"/>
      <c r="I492" s="219"/>
      <c r="J492" s="219"/>
      <c r="K492" s="219"/>
      <c r="L492" s="219"/>
      <c r="M492" s="219"/>
      <c r="N492" s="219"/>
      <c r="O492" s="219"/>
      <c r="P492" s="219"/>
      <c r="Q492" s="221"/>
    </row>
    <row r="493" spans="2:17" x14ac:dyDescent="0.2">
      <c r="B493" s="219"/>
      <c r="C493" s="219"/>
      <c r="D493" s="219"/>
      <c r="E493" s="219"/>
      <c r="F493" s="219"/>
      <c r="G493" s="219"/>
      <c r="H493" s="219"/>
      <c r="I493" s="219"/>
      <c r="J493" s="219"/>
      <c r="K493" s="219"/>
      <c r="L493" s="219"/>
      <c r="M493" s="219"/>
      <c r="N493" s="219"/>
      <c r="O493" s="219"/>
      <c r="P493" s="219"/>
      <c r="Q493" s="221"/>
    </row>
    <row r="494" spans="2:17" x14ac:dyDescent="0.2">
      <c r="B494" s="219"/>
      <c r="C494" s="219"/>
      <c r="D494" s="219"/>
      <c r="E494" s="219"/>
      <c r="F494" s="219"/>
      <c r="G494" s="219"/>
      <c r="H494" s="219"/>
      <c r="I494" s="219"/>
      <c r="J494" s="219"/>
      <c r="K494" s="219"/>
      <c r="L494" s="219"/>
      <c r="M494" s="219"/>
      <c r="N494" s="219"/>
      <c r="O494" s="219"/>
      <c r="P494" s="219"/>
      <c r="Q494" s="221"/>
    </row>
    <row r="495" spans="2:17" x14ac:dyDescent="0.2">
      <c r="B495" s="219"/>
      <c r="C495" s="219"/>
      <c r="D495" s="219"/>
      <c r="E495" s="219"/>
      <c r="F495" s="219"/>
      <c r="G495" s="219"/>
      <c r="H495" s="219"/>
      <c r="I495" s="219"/>
      <c r="J495" s="219"/>
      <c r="K495" s="219"/>
      <c r="L495" s="219"/>
      <c r="M495" s="219"/>
      <c r="N495" s="219"/>
      <c r="O495" s="219"/>
      <c r="P495" s="219"/>
      <c r="Q495" s="221"/>
    </row>
    <row r="496" spans="2:17" x14ac:dyDescent="0.2">
      <c r="B496" s="219"/>
      <c r="C496" s="219"/>
      <c r="D496" s="219"/>
      <c r="E496" s="219"/>
      <c r="F496" s="219"/>
      <c r="G496" s="219"/>
      <c r="H496" s="219"/>
      <c r="I496" s="219"/>
      <c r="J496" s="219"/>
      <c r="K496" s="219"/>
      <c r="L496" s="219"/>
      <c r="M496" s="219"/>
      <c r="N496" s="219"/>
      <c r="O496" s="219"/>
      <c r="P496" s="219"/>
      <c r="Q496" s="221"/>
    </row>
    <row r="497" spans="2:17" x14ac:dyDescent="0.2">
      <c r="B497" s="219"/>
      <c r="C497" s="219"/>
      <c r="D497" s="219"/>
      <c r="E497" s="219"/>
      <c r="F497" s="219"/>
      <c r="G497" s="219"/>
      <c r="H497" s="219"/>
      <c r="I497" s="219"/>
      <c r="J497" s="219"/>
      <c r="K497" s="219"/>
      <c r="L497" s="219"/>
      <c r="M497" s="219"/>
      <c r="N497" s="219"/>
      <c r="O497" s="219"/>
      <c r="P497" s="219"/>
      <c r="Q497" s="221"/>
    </row>
    <row r="498" spans="2:17" x14ac:dyDescent="0.2">
      <c r="B498" s="219"/>
      <c r="C498" s="219"/>
      <c r="D498" s="219"/>
      <c r="E498" s="219"/>
      <c r="F498" s="219"/>
      <c r="G498" s="219"/>
      <c r="H498" s="219"/>
      <c r="I498" s="219"/>
      <c r="J498" s="219"/>
      <c r="K498" s="219"/>
      <c r="L498" s="219"/>
      <c r="M498" s="219"/>
      <c r="N498" s="219"/>
      <c r="O498" s="219"/>
      <c r="P498" s="219"/>
      <c r="Q498" s="221"/>
    </row>
    <row r="499" spans="2:17" x14ac:dyDescent="0.2">
      <c r="B499" s="219"/>
      <c r="C499" s="219"/>
      <c r="D499" s="219"/>
      <c r="E499" s="219"/>
      <c r="F499" s="219"/>
      <c r="G499" s="219"/>
      <c r="H499" s="219"/>
      <c r="I499" s="219"/>
      <c r="J499" s="219"/>
      <c r="K499" s="219"/>
      <c r="L499" s="219"/>
      <c r="M499" s="219"/>
      <c r="N499" s="219"/>
      <c r="O499" s="219"/>
      <c r="P499" s="219"/>
      <c r="Q499" s="221"/>
    </row>
    <row r="500" spans="2:17" x14ac:dyDescent="0.2">
      <c r="B500" s="219"/>
      <c r="C500" s="219"/>
      <c r="D500" s="219"/>
      <c r="E500" s="219"/>
      <c r="F500" s="219"/>
      <c r="G500" s="219"/>
      <c r="H500" s="219"/>
      <c r="I500" s="219"/>
      <c r="J500" s="219"/>
      <c r="K500" s="219"/>
      <c r="L500" s="219"/>
      <c r="M500" s="219"/>
      <c r="N500" s="219"/>
      <c r="O500" s="219"/>
      <c r="P500" s="219"/>
      <c r="Q500" s="221"/>
    </row>
    <row r="501" spans="2:17" x14ac:dyDescent="0.2">
      <c r="B501" s="219"/>
      <c r="C501" s="219"/>
      <c r="D501" s="219"/>
      <c r="E501" s="219"/>
      <c r="F501" s="219"/>
      <c r="G501" s="219"/>
      <c r="H501" s="219"/>
      <c r="I501" s="219"/>
      <c r="J501" s="219"/>
      <c r="K501" s="219"/>
      <c r="L501" s="219"/>
      <c r="M501" s="219"/>
      <c r="N501" s="219"/>
      <c r="O501" s="219"/>
      <c r="P501" s="219"/>
      <c r="Q501" s="221"/>
    </row>
    <row r="502" spans="2:17" x14ac:dyDescent="0.2">
      <c r="B502" s="219"/>
      <c r="C502" s="219"/>
      <c r="D502" s="219"/>
      <c r="E502" s="219"/>
      <c r="F502" s="219"/>
      <c r="G502" s="219"/>
      <c r="H502" s="219"/>
      <c r="I502" s="219"/>
      <c r="J502" s="219"/>
      <c r="K502" s="219"/>
      <c r="L502" s="219"/>
      <c r="M502" s="219"/>
      <c r="N502" s="219"/>
      <c r="O502" s="219"/>
      <c r="P502" s="219"/>
      <c r="Q502" s="221"/>
    </row>
    <row r="503" spans="2:17" x14ac:dyDescent="0.2">
      <c r="B503" s="219"/>
      <c r="C503" s="219"/>
      <c r="D503" s="219"/>
      <c r="E503" s="219"/>
      <c r="F503" s="219"/>
      <c r="G503" s="219"/>
      <c r="H503" s="219"/>
      <c r="I503" s="219"/>
      <c r="J503" s="219"/>
      <c r="K503" s="219"/>
      <c r="L503" s="219"/>
      <c r="M503" s="219"/>
      <c r="N503" s="219"/>
      <c r="O503" s="219"/>
      <c r="P503" s="219"/>
      <c r="Q503" s="221"/>
    </row>
    <row r="504" spans="2:17" x14ac:dyDescent="0.2">
      <c r="B504" s="219"/>
      <c r="C504" s="219"/>
      <c r="D504" s="219"/>
      <c r="E504" s="219"/>
      <c r="F504" s="219"/>
      <c r="G504" s="219"/>
      <c r="H504" s="219"/>
      <c r="I504" s="219"/>
      <c r="J504" s="219"/>
      <c r="K504" s="219"/>
      <c r="L504" s="219"/>
      <c r="M504" s="219"/>
      <c r="N504" s="219"/>
      <c r="O504" s="219"/>
      <c r="P504" s="219"/>
      <c r="Q504" s="221"/>
    </row>
    <row r="505" spans="2:17" x14ac:dyDescent="0.2">
      <c r="B505" s="219"/>
      <c r="C505" s="219"/>
      <c r="D505" s="219"/>
      <c r="E505" s="219"/>
      <c r="F505" s="219"/>
      <c r="G505" s="219"/>
      <c r="H505" s="219"/>
      <c r="I505" s="219"/>
      <c r="J505" s="219"/>
      <c r="K505" s="219"/>
      <c r="L505" s="219"/>
      <c r="M505" s="219"/>
      <c r="N505" s="219"/>
      <c r="O505" s="219"/>
      <c r="P505" s="219"/>
      <c r="Q505" s="221"/>
    </row>
    <row r="506" spans="2:17" x14ac:dyDescent="0.2">
      <c r="B506" s="219"/>
      <c r="C506" s="219"/>
      <c r="D506" s="219"/>
      <c r="E506" s="219"/>
      <c r="F506" s="219"/>
      <c r="G506" s="219"/>
      <c r="H506" s="219"/>
      <c r="I506" s="219"/>
      <c r="J506" s="219"/>
      <c r="K506" s="219"/>
      <c r="L506" s="219"/>
      <c r="M506" s="219"/>
      <c r="N506" s="219"/>
      <c r="O506" s="219"/>
      <c r="P506" s="219"/>
      <c r="Q506" s="221"/>
    </row>
    <row r="507" spans="2:17" x14ac:dyDescent="0.2">
      <c r="B507" s="219"/>
      <c r="C507" s="219"/>
      <c r="D507" s="219"/>
      <c r="E507" s="219"/>
      <c r="F507" s="219"/>
      <c r="G507" s="219"/>
      <c r="H507" s="219"/>
      <c r="I507" s="219"/>
      <c r="J507" s="219"/>
      <c r="K507" s="219"/>
      <c r="L507" s="219"/>
      <c r="M507" s="219"/>
      <c r="N507" s="219"/>
      <c r="O507" s="219"/>
      <c r="P507" s="219"/>
      <c r="Q507" s="221"/>
    </row>
    <row r="508" spans="2:17" x14ac:dyDescent="0.2">
      <c r="B508" s="219"/>
      <c r="C508" s="219"/>
      <c r="D508" s="219"/>
      <c r="E508" s="219"/>
      <c r="F508" s="219"/>
      <c r="G508" s="219"/>
      <c r="H508" s="219"/>
      <c r="I508" s="219"/>
      <c r="J508" s="219"/>
      <c r="K508" s="219"/>
      <c r="L508" s="219"/>
      <c r="M508" s="219"/>
      <c r="N508" s="219"/>
      <c r="O508" s="219"/>
      <c r="P508" s="219"/>
      <c r="Q508" s="221"/>
    </row>
    <row r="509" spans="2:17" x14ac:dyDescent="0.2">
      <c r="B509" s="219"/>
      <c r="C509" s="219"/>
      <c r="D509" s="219"/>
      <c r="E509" s="219"/>
      <c r="F509" s="219"/>
      <c r="G509" s="219"/>
      <c r="H509" s="219"/>
      <c r="I509" s="219"/>
      <c r="J509" s="219"/>
      <c r="K509" s="219"/>
      <c r="L509" s="219"/>
      <c r="M509" s="219"/>
      <c r="N509" s="219"/>
      <c r="O509" s="219"/>
      <c r="P509" s="219"/>
      <c r="Q509" s="221"/>
    </row>
    <row r="510" spans="2:17" x14ac:dyDescent="0.2">
      <c r="B510" s="219"/>
      <c r="C510" s="219"/>
      <c r="D510" s="219"/>
      <c r="E510" s="219"/>
      <c r="F510" s="219"/>
      <c r="G510" s="219"/>
      <c r="H510" s="219"/>
      <c r="I510" s="219"/>
      <c r="J510" s="219"/>
      <c r="K510" s="219"/>
      <c r="L510" s="219"/>
      <c r="M510" s="219"/>
      <c r="N510" s="219"/>
      <c r="O510" s="219"/>
      <c r="P510" s="219"/>
      <c r="Q510" s="221"/>
    </row>
    <row r="511" spans="2:17" x14ac:dyDescent="0.2">
      <c r="B511" s="219"/>
      <c r="C511" s="219"/>
      <c r="D511" s="219"/>
      <c r="E511" s="219"/>
      <c r="F511" s="219"/>
      <c r="G511" s="219"/>
      <c r="H511" s="219"/>
      <c r="I511" s="219"/>
      <c r="J511" s="219"/>
      <c r="K511" s="219"/>
      <c r="L511" s="219"/>
      <c r="M511" s="219"/>
      <c r="N511" s="219"/>
      <c r="O511" s="219"/>
      <c r="P511" s="219"/>
      <c r="Q511" s="221"/>
    </row>
    <row r="512" spans="2:17" x14ac:dyDescent="0.2">
      <c r="B512" s="219"/>
      <c r="C512" s="219"/>
      <c r="D512" s="219"/>
      <c r="E512" s="219"/>
      <c r="F512" s="219"/>
      <c r="G512" s="219"/>
      <c r="H512" s="219"/>
      <c r="I512" s="219"/>
      <c r="J512" s="219"/>
      <c r="K512" s="219"/>
      <c r="L512" s="219"/>
      <c r="M512" s="219"/>
      <c r="N512" s="219"/>
      <c r="O512" s="219"/>
      <c r="P512" s="219"/>
      <c r="Q512" s="221"/>
    </row>
    <row r="513" spans="2:17" x14ac:dyDescent="0.2">
      <c r="B513" s="219"/>
      <c r="C513" s="219"/>
      <c r="D513" s="219"/>
      <c r="E513" s="219"/>
      <c r="F513" s="219"/>
      <c r="G513" s="219"/>
      <c r="H513" s="219"/>
      <c r="I513" s="219"/>
      <c r="J513" s="219"/>
      <c r="K513" s="219"/>
      <c r="L513" s="219"/>
      <c r="M513" s="219"/>
      <c r="N513" s="219"/>
      <c r="O513" s="219"/>
      <c r="P513" s="219"/>
      <c r="Q513" s="221"/>
    </row>
    <row r="514" spans="2:17" x14ac:dyDescent="0.2">
      <c r="B514" s="219"/>
      <c r="C514" s="219"/>
      <c r="D514" s="219"/>
      <c r="E514" s="219"/>
      <c r="F514" s="219"/>
      <c r="G514" s="219"/>
      <c r="H514" s="219"/>
      <c r="I514" s="219"/>
      <c r="J514" s="219"/>
      <c r="K514" s="219"/>
      <c r="L514" s="219"/>
      <c r="M514" s="219"/>
      <c r="N514" s="219"/>
      <c r="O514" s="219"/>
      <c r="P514" s="219"/>
      <c r="Q514" s="221"/>
    </row>
    <row r="515" spans="2:17" x14ac:dyDescent="0.2">
      <c r="B515" s="219"/>
      <c r="C515" s="219"/>
      <c r="D515" s="219"/>
      <c r="E515" s="219"/>
      <c r="F515" s="219"/>
      <c r="G515" s="219"/>
      <c r="H515" s="219"/>
      <c r="I515" s="219"/>
      <c r="J515" s="219"/>
      <c r="K515" s="219"/>
      <c r="L515" s="219"/>
      <c r="M515" s="219"/>
      <c r="N515" s="219"/>
      <c r="O515" s="219"/>
      <c r="P515" s="219"/>
      <c r="Q515" s="221"/>
    </row>
    <row r="516" spans="2:17" x14ac:dyDescent="0.2">
      <c r="B516" s="219"/>
      <c r="C516" s="219"/>
      <c r="D516" s="219"/>
      <c r="E516" s="219"/>
      <c r="F516" s="219"/>
      <c r="G516" s="219"/>
      <c r="H516" s="219"/>
      <c r="I516" s="219"/>
      <c r="J516" s="219"/>
      <c r="K516" s="219"/>
      <c r="L516" s="219"/>
      <c r="M516" s="219"/>
      <c r="N516" s="219"/>
      <c r="O516" s="219"/>
      <c r="P516" s="219"/>
      <c r="Q516" s="221"/>
    </row>
    <row r="517" spans="2:17" x14ac:dyDescent="0.2">
      <c r="B517" s="219"/>
      <c r="C517" s="219"/>
      <c r="D517" s="219"/>
      <c r="E517" s="219"/>
      <c r="F517" s="219"/>
      <c r="G517" s="219"/>
      <c r="H517" s="219"/>
      <c r="I517" s="219"/>
      <c r="J517" s="219"/>
      <c r="K517" s="219"/>
      <c r="L517" s="219"/>
      <c r="M517" s="219"/>
      <c r="N517" s="219"/>
      <c r="O517" s="219"/>
      <c r="P517" s="219"/>
      <c r="Q517" s="221"/>
    </row>
    <row r="518" spans="2:17" x14ac:dyDescent="0.2">
      <c r="B518" s="219"/>
      <c r="C518" s="219"/>
      <c r="D518" s="219"/>
      <c r="E518" s="219"/>
      <c r="F518" s="219"/>
      <c r="G518" s="219"/>
      <c r="H518" s="219"/>
      <c r="I518" s="219"/>
      <c r="J518" s="219"/>
      <c r="K518" s="219"/>
      <c r="L518" s="219"/>
      <c r="M518" s="219"/>
      <c r="N518" s="219"/>
      <c r="O518" s="219"/>
      <c r="P518" s="219"/>
      <c r="Q518" s="221"/>
    </row>
    <row r="519" spans="2:17" x14ac:dyDescent="0.2">
      <c r="B519" s="219"/>
      <c r="C519" s="219"/>
      <c r="D519" s="219"/>
      <c r="E519" s="219"/>
      <c r="F519" s="219"/>
      <c r="G519" s="219"/>
      <c r="H519" s="219"/>
      <c r="I519" s="219"/>
      <c r="J519" s="219"/>
      <c r="K519" s="219"/>
      <c r="L519" s="219"/>
      <c r="M519" s="219"/>
      <c r="N519" s="219"/>
      <c r="O519" s="219"/>
      <c r="P519" s="219"/>
      <c r="Q519" s="221"/>
    </row>
    <row r="520" spans="2:17" x14ac:dyDescent="0.2">
      <c r="B520" s="219"/>
      <c r="C520" s="219"/>
      <c r="D520" s="219"/>
      <c r="E520" s="219"/>
      <c r="F520" s="219"/>
      <c r="G520" s="219"/>
      <c r="H520" s="219"/>
      <c r="I520" s="219"/>
      <c r="J520" s="219"/>
      <c r="K520" s="219"/>
      <c r="L520" s="219"/>
      <c r="M520" s="219"/>
      <c r="N520" s="219"/>
      <c r="O520" s="219"/>
      <c r="P520" s="219"/>
      <c r="Q520" s="221"/>
    </row>
    <row r="521" spans="2:17" x14ac:dyDescent="0.2">
      <c r="B521" s="219"/>
      <c r="C521" s="219"/>
      <c r="D521" s="219"/>
      <c r="E521" s="219"/>
      <c r="F521" s="219"/>
      <c r="G521" s="219"/>
      <c r="H521" s="219"/>
      <c r="I521" s="219"/>
      <c r="J521" s="219"/>
      <c r="K521" s="219"/>
      <c r="L521" s="219"/>
      <c r="M521" s="219"/>
      <c r="N521" s="219"/>
      <c r="O521" s="219"/>
      <c r="P521" s="219"/>
      <c r="Q521" s="221"/>
    </row>
    <row r="522" spans="2:17" x14ac:dyDescent="0.2">
      <c r="B522" s="219"/>
      <c r="C522" s="219"/>
      <c r="D522" s="219"/>
      <c r="E522" s="219"/>
      <c r="F522" s="219"/>
      <c r="G522" s="219"/>
      <c r="H522" s="219"/>
      <c r="I522" s="219"/>
      <c r="J522" s="219"/>
      <c r="K522" s="219"/>
      <c r="L522" s="219"/>
      <c r="M522" s="219"/>
      <c r="N522" s="219"/>
      <c r="O522" s="219"/>
      <c r="P522" s="219"/>
      <c r="Q522" s="221"/>
    </row>
    <row r="523" spans="2:17" x14ac:dyDescent="0.2">
      <c r="B523" s="219"/>
      <c r="C523" s="219"/>
      <c r="D523" s="219"/>
      <c r="E523" s="219"/>
      <c r="F523" s="219"/>
      <c r="G523" s="219"/>
      <c r="H523" s="219"/>
      <c r="I523" s="219"/>
      <c r="J523" s="219"/>
      <c r="K523" s="219"/>
      <c r="L523" s="219"/>
      <c r="M523" s="219"/>
      <c r="N523" s="219"/>
      <c r="O523" s="219"/>
      <c r="P523" s="219"/>
      <c r="Q523" s="221"/>
    </row>
    <row r="524" spans="2:17" x14ac:dyDescent="0.2">
      <c r="B524" s="219"/>
      <c r="C524" s="219"/>
      <c r="D524" s="219"/>
      <c r="E524" s="219"/>
      <c r="F524" s="219"/>
      <c r="G524" s="219"/>
      <c r="H524" s="219"/>
      <c r="I524" s="219"/>
      <c r="J524" s="219"/>
      <c r="K524" s="219"/>
      <c r="L524" s="219"/>
      <c r="M524" s="219"/>
      <c r="N524" s="219"/>
      <c r="O524" s="219"/>
      <c r="P524" s="219"/>
      <c r="Q524" s="221"/>
    </row>
    <row r="525" spans="2:17" x14ac:dyDescent="0.2">
      <c r="B525" s="219"/>
      <c r="C525" s="219"/>
      <c r="D525" s="219"/>
      <c r="E525" s="219"/>
      <c r="F525" s="219"/>
      <c r="G525" s="219"/>
      <c r="H525" s="219"/>
      <c r="I525" s="219"/>
      <c r="J525" s="219"/>
      <c r="K525" s="219"/>
      <c r="L525" s="219"/>
      <c r="M525" s="219"/>
      <c r="N525" s="219"/>
      <c r="O525" s="219"/>
      <c r="P525" s="219"/>
      <c r="Q525" s="221"/>
    </row>
    <row r="526" spans="2:17" x14ac:dyDescent="0.2">
      <c r="B526" s="219"/>
      <c r="C526" s="219"/>
      <c r="D526" s="219"/>
      <c r="E526" s="219"/>
      <c r="F526" s="219"/>
      <c r="G526" s="219"/>
      <c r="H526" s="219"/>
      <c r="I526" s="219"/>
      <c r="J526" s="219"/>
      <c r="K526" s="219"/>
      <c r="L526" s="219"/>
      <c r="M526" s="219"/>
      <c r="N526" s="219"/>
      <c r="O526" s="219"/>
      <c r="P526" s="219"/>
      <c r="Q526" s="221"/>
    </row>
    <row r="527" spans="2:17" x14ac:dyDescent="0.2">
      <c r="B527" s="219"/>
      <c r="C527" s="219"/>
      <c r="D527" s="219"/>
      <c r="E527" s="219"/>
      <c r="F527" s="219"/>
      <c r="G527" s="219"/>
      <c r="H527" s="219"/>
      <c r="I527" s="219"/>
      <c r="J527" s="219"/>
      <c r="K527" s="219"/>
      <c r="L527" s="219"/>
      <c r="M527" s="219"/>
      <c r="N527" s="219"/>
      <c r="O527" s="219"/>
      <c r="P527" s="219"/>
      <c r="Q527" s="221"/>
    </row>
    <row r="528" spans="2:17" x14ac:dyDescent="0.2">
      <c r="B528" s="219"/>
      <c r="C528" s="219"/>
      <c r="D528" s="219"/>
      <c r="E528" s="219"/>
      <c r="F528" s="219"/>
      <c r="G528" s="219"/>
      <c r="H528" s="219"/>
      <c r="I528" s="219"/>
      <c r="J528" s="219"/>
      <c r="K528" s="219"/>
      <c r="L528" s="219"/>
      <c r="M528" s="219"/>
      <c r="N528" s="219"/>
      <c r="O528" s="219"/>
      <c r="P528" s="219"/>
      <c r="Q528" s="221"/>
    </row>
    <row r="529" spans="2:17" x14ac:dyDescent="0.2">
      <c r="B529" s="219"/>
      <c r="C529" s="219"/>
      <c r="D529" s="219"/>
      <c r="E529" s="219"/>
      <c r="F529" s="219"/>
      <c r="G529" s="219"/>
      <c r="H529" s="219"/>
      <c r="I529" s="219"/>
      <c r="J529" s="219"/>
      <c r="K529" s="219"/>
      <c r="L529" s="219"/>
      <c r="M529" s="219"/>
      <c r="N529" s="219"/>
      <c r="O529" s="219"/>
      <c r="P529" s="219"/>
      <c r="Q529" s="221"/>
    </row>
    <row r="530" spans="2:17" x14ac:dyDescent="0.2">
      <c r="B530" s="219"/>
      <c r="C530" s="219"/>
      <c r="D530" s="219"/>
      <c r="E530" s="219"/>
      <c r="F530" s="219"/>
      <c r="G530" s="219"/>
      <c r="H530" s="219"/>
      <c r="I530" s="219"/>
      <c r="J530" s="219"/>
      <c r="K530" s="219"/>
      <c r="L530" s="219"/>
      <c r="M530" s="219"/>
      <c r="N530" s="219"/>
      <c r="O530" s="219"/>
      <c r="P530" s="219"/>
      <c r="Q530" s="221"/>
    </row>
    <row r="531" spans="2:17" x14ac:dyDescent="0.2">
      <c r="B531" s="219"/>
      <c r="C531" s="219"/>
      <c r="D531" s="219"/>
      <c r="E531" s="219"/>
      <c r="F531" s="219"/>
      <c r="G531" s="219"/>
      <c r="H531" s="219"/>
      <c r="I531" s="219"/>
      <c r="J531" s="219"/>
      <c r="K531" s="219"/>
      <c r="L531" s="219"/>
      <c r="M531" s="219"/>
      <c r="N531" s="219"/>
      <c r="O531" s="219"/>
      <c r="P531" s="219"/>
      <c r="Q531" s="221"/>
    </row>
    <row r="532" spans="2:17" x14ac:dyDescent="0.2">
      <c r="B532" s="219"/>
      <c r="C532" s="219"/>
      <c r="D532" s="219"/>
      <c r="E532" s="219"/>
      <c r="F532" s="219"/>
      <c r="G532" s="219"/>
      <c r="H532" s="219"/>
      <c r="I532" s="219"/>
      <c r="J532" s="219"/>
      <c r="K532" s="219"/>
      <c r="L532" s="219"/>
      <c r="M532" s="219"/>
      <c r="N532" s="219"/>
      <c r="O532" s="219"/>
      <c r="P532" s="219"/>
      <c r="Q532" s="221"/>
    </row>
    <row r="533" spans="2:17" x14ac:dyDescent="0.2">
      <c r="B533" s="219"/>
      <c r="C533" s="219"/>
      <c r="D533" s="219"/>
      <c r="E533" s="219"/>
      <c r="F533" s="219"/>
      <c r="G533" s="219"/>
      <c r="H533" s="219"/>
      <c r="I533" s="219"/>
      <c r="J533" s="219"/>
      <c r="K533" s="219"/>
      <c r="L533" s="219"/>
      <c r="M533" s="219"/>
      <c r="N533" s="219"/>
      <c r="O533" s="219"/>
      <c r="P533" s="219"/>
      <c r="Q533" s="221"/>
    </row>
    <row r="534" spans="2:17" x14ac:dyDescent="0.2">
      <c r="B534" s="219"/>
      <c r="C534" s="219"/>
      <c r="D534" s="219"/>
      <c r="E534" s="219"/>
      <c r="F534" s="219"/>
      <c r="G534" s="219"/>
      <c r="H534" s="219"/>
      <c r="I534" s="219"/>
      <c r="J534" s="219"/>
      <c r="K534" s="219"/>
      <c r="L534" s="219"/>
      <c r="M534" s="219"/>
      <c r="N534" s="219"/>
      <c r="O534" s="219"/>
      <c r="P534" s="219"/>
      <c r="Q534" s="221"/>
    </row>
    <row r="535" spans="2:17" x14ac:dyDescent="0.2">
      <c r="B535" s="219"/>
      <c r="C535" s="219"/>
      <c r="D535" s="219"/>
      <c r="E535" s="219"/>
      <c r="F535" s="219"/>
      <c r="G535" s="219"/>
      <c r="H535" s="219"/>
      <c r="I535" s="219"/>
      <c r="J535" s="219"/>
      <c r="K535" s="219"/>
      <c r="L535" s="219"/>
      <c r="M535" s="219"/>
      <c r="N535" s="219"/>
      <c r="O535" s="219"/>
      <c r="P535" s="219"/>
      <c r="Q535" s="221"/>
    </row>
    <row r="536" spans="2:17" x14ac:dyDescent="0.2">
      <c r="B536" s="219"/>
      <c r="C536" s="219"/>
      <c r="D536" s="219"/>
      <c r="E536" s="219"/>
      <c r="F536" s="219"/>
      <c r="G536" s="219"/>
      <c r="H536" s="219"/>
      <c r="I536" s="219"/>
      <c r="J536" s="219"/>
      <c r="K536" s="219"/>
      <c r="L536" s="219"/>
      <c r="M536" s="219"/>
      <c r="N536" s="219"/>
      <c r="O536" s="219"/>
      <c r="P536" s="219"/>
      <c r="Q536" s="221"/>
    </row>
    <row r="537" spans="2:17" x14ac:dyDescent="0.2">
      <c r="B537" s="219"/>
      <c r="C537" s="219"/>
      <c r="D537" s="219"/>
      <c r="E537" s="219"/>
      <c r="F537" s="219"/>
      <c r="G537" s="219"/>
      <c r="H537" s="219"/>
      <c r="I537" s="219"/>
      <c r="J537" s="219"/>
      <c r="K537" s="219"/>
      <c r="L537" s="219"/>
      <c r="M537" s="219"/>
      <c r="N537" s="219"/>
      <c r="O537" s="219"/>
      <c r="P537" s="219"/>
      <c r="Q537" s="221"/>
    </row>
    <row r="538" spans="2:17" x14ac:dyDescent="0.2">
      <c r="B538" s="219"/>
      <c r="C538" s="219"/>
      <c r="D538" s="219"/>
      <c r="E538" s="219"/>
      <c r="F538" s="219"/>
      <c r="G538" s="219"/>
      <c r="H538" s="219"/>
      <c r="I538" s="219"/>
      <c r="J538" s="219"/>
      <c r="K538" s="219"/>
      <c r="L538" s="219"/>
      <c r="M538" s="219"/>
      <c r="N538" s="219"/>
      <c r="O538" s="219"/>
      <c r="P538" s="219"/>
      <c r="Q538" s="221"/>
    </row>
    <row r="539" spans="2:17" x14ac:dyDescent="0.2">
      <c r="B539" s="219"/>
      <c r="C539" s="219"/>
      <c r="D539" s="219"/>
      <c r="E539" s="219"/>
      <c r="F539" s="219"/>
      <c r="G539" s="219"/>
      <c r="H539" s="219"/>
      <c r="I539" s="219"/>
      <c r="J539" s="219"/>
      <c r="K539" s="219"/>
      <c r="L539" s="219"/>
      <c r="M539" s="219"/>
      <c r="N539" s="219"/>
      <c r="O539" s="219"/>
      <c r="P539" s="219"/>
      <c r="Q539" s="221"/>
    </row>
    <row r="540" spans="2:17" x14ac:dyDescent="0.2">
      <c r="B540" s="219"/>
      <c r="C540" s="219"/>
      <c r="D540" s="219"/>
      <c r="E540" s="219"/>
      <c r="F540" s="219"/>
      <c r="G540" s="219"/>
      <c r="H540" s="219"/>
      <c r="I540" s="219"/>
      <c r="J540" s="219"/>
      <c r="K540" s="219"/>
      <c r="L540" s="219"/>
      <c r="M540" s="219"/>
      <c r="N540" s="219"/>
      <c r="O540" s="219"/>
      <c r="P540" s="219"/>
      <c r="Q540" s="221"/>
    </row>
    <row r="541" spans="2:17" x14ac:dyDescent="0.2">
      <c r="B541" s="219"/>
      <c r="C541" s="219"/>
      <c r="D541" s="219"/>
      <c r="E541" s="219"/>
      <c r="F541" s="219"/>
      <c r="G541" s="219"/>
      <c r="H541" s="219"/>
      <c r="I541" s="219"/>
      <c r="J541" s="219"/>
      <c r="K541" s="219"/>
      <c r="L541" s="219"/>
      <c r="M541" s="219"/>
      <c r="N541" s="219"/>
      <c r="O541" s="219"/>
      <c r="P541" s="219"/>
      <c r="Q541" s="221"/>
    </row>
    <row r="542" spans="2:17" x14ac:dyDescent="0.2">
      <c r="B542" s="219"/>
      <c r="C542" s="219"/>
      <c r="D542" s="219"/>
      <c r="E542" s="219"/>
      <c r="F542" s="219"/>
      <c r="G542" s="219"/>
      <c r="H542" s="219"/>
      <c r="I542" s="219"/>
      <c r="J542" s="219"/>
      <c r="K542" s="219"/>
      <c r="L542" s="219"/>
      <c r="M542" s="219"/>
      <c r="N542" s="219"/>
      <c r="O542" s="219"/>
      <c r="P542" s="219"/>
      <c r="Q542" s="221"/>
    </row>
    <row r="543" spans="2:17" x14ac:dyDescent="0.2">
      <c r="B543" s="219"/>
      <c r="C543" s="219"/>
      <c r="D543" s="219"/>
      <c r="E543" s="219"/>
      <c r="F543" s="219"/>
      <c r="G543" s="219"/>
      <c r="H543" s="219"/>
      <c r="I543" s="219"/>
      <c r="J543" s="219"/>
      <c r="K543" s="219"/>
      <c r="L543" s="219"/>
      <c r="M543" s="219"/>
      <c r="N543" s="219"/>
      <c r="O543" s="219"/>
      <c r="P543" s="219"/>
      <c r="Q543" s="221"/>
    </row>
    <row r="544" spans="2:17" x14ac:dyDescent="0.2">
      <c r="B544" s="219"/>
      <c r="C544" s="219"/>
      <c r="D544" s="219"/>
      <c r="E544" s="219"/>
      <c r="F544" s="219"/>
      <c r="G544" s="219"/>
      <c r="H544" s="219"/>
      <c r="I544" s="219"/>
      <c r="J544" s="219"/>
      <c r="K544" s="219"/>
      <c r="L544" s="219"/>
      <c r="M544" s="219"/>
      <c r="N544" s="219"/>
      <c r="O544" s="219"/>
      <c r="P544" s="219"/>
      <c r="Q544" s="221"/>
    </row>
    <row r="545" spans="2:17" x14ac:dyDescent="0.2">
      <c r="B545" s="219"/>
      <c r="C545" s="219"/>
      <c r="D545" s="219"/>
      <c r="E545" s="219"/>
      <c r="F545" s="219"/>
      <c r="G545" s="219"/>
      <c r="H545" s="219"/>
      <c r="I545" s="219"/>
      <c r="J545" s="219"/>
      <c r="K545" s="219"/>
      <c r="L545" s="219"/>
      <c r="M545" s="219"/>
      <c r="N545" s="219"/>
      <c r="O545" s="219"/>
      <c r="P545" s="219"/>
      <c r="Q545" s="221"/>
    </row>
    <row r="546" spans="2:17" x14ac:dyDescent="0.2">
      <c r="B546" s="219"/>
      <c r="C546" s="219"/>
      <c r="D546" s="219"/>
      <c r="E546" s="219"/>
      <c r="F546" s="219"/>
      <c r="G546" s="219"/>
      <c r="H546" s="219"/>
      <c r="I546" s="219"/>
      <c r="J546" s="219"/>
      <c r="K546" s="219"/>
      <c r="L546" s="219"/>
      <c r="M546" s="219"/>
      <c r="N546" s="219"/>
      <c r="O546" s="219"/>
      <c r="P546" s="219"/>
      <c r="Q546" s="221"/>
    </row>
    <row r="547" spans="2:17" x14ac:dyDescent="0.2">
      <c r="B547" s="219"/>
      <c r="C547" s="219"/>
      <c r="D547" s="219"/>
      <c r="E547" s="219"/>
      <c r="F547" s="219"/>
      <c r="G547" s="219"/>
      <c r="H547" s="219"/>
      <c r="I547" s="219"/>
      <c r="J547" s="219"/>
      <c r="K547" s="219"/>
      <c r="L547" s="219"/>
      <c r="M547" s="219"/>
      <c r="N547" s="219"/>
      <c r="O547" s="219"/>
      <c r="P547" s="219"/>
      <c r="Q547" s="221"/>
    </row>
    <row r="548" spans="2:17" x14ac:dyDescent="0.2">
      <c r="B548" s="219"/>
      <c r="C548" s="219"/>
      <c r="D548" s="219"/>
      <c r="E548" s="219"/>
      <c r="F548" s="219"/>
      <c r="G548" s="219"/>
      <c r="H548" s="219"/>
      <c r="I548" s="219"/>
      <c r="J548" s="219"/>
      <c r="K548" s="219"/>
      <c r="L548" s="219"/>
      <c r="M548" s="219"/>
      <c r="N548" s="219"/>
      <c r="O548" s="219"/>
      <c r="P548" s="219"/>
      <c r="Q548" s="221"/>
    </row>
    <row r="549" spans="2:17" x14ac:dyDescent="0.2">
      <c r="B549" s="219"/>
      <c r="C549" s="219"/>
      <c r="D549" s="219"/>
      <c r="E549" s="219"/>
      <c r="F549" s="219"/>
      <c r="G549" s="219"/>
      <c r="H549" s="219"/>
      <c r="I549" s="219"/>
      <c r="J549" s="219"/>
      <c r="K549" s="219"/>
      <c r="L549" s="219"/>
      <c r="M549" s="219"/>
      <c r="N549" s="219"/>
      <c r="O549" s="219"/>
      <c r="P549" s="219"/>
      <c r="Q549" s="221"/>
    </row>
    <row r="550" spans="2:17" x14ac:dyDescent="0.2">
      <c r="B550" s="219"/>
      <c r="C550" s="219"/>
      <c r="D550" s="219"/>
      <c r="E550" s="219"/>
      <c r="F550" s="219"/>
      <c r="G550" s="219"/>
      <c r="H550" s="219"/>
      <c r="I550" s="219"/>
      <c r="J550" s="219"/>
      <c r="K550" s="219"/>
      <c r="L550" s="219"/>
      <c r="M550" s="219"/>
      <c r="N550" s="219"/>
      <c r="O550" s="219"/>
      <c r="P550" s="219"/>
      <c r="Q550" s="221"/>
    </row>
    <row r="551" spans="2:17" x14ac:dyDescent="0.2">
      <c r="B551" s="219"/>
      <c r="C551" s="219"/>
      <c r="D551" s="219"/>
      <c r="E551" s="219"/>
      <c r="F551" s="219"/>
      <c r="G551" s="219"/>
      <c r="H551" s="219"/>
      <c r="I551" s="219"/>
      <c r="J551" s="219"/>
      <c r="K551" s="219"/>
      <c r="L551" s="219"/>
      <c r="M551" s="219"/>
      <c r="N551" s="219"/>
      <c r="O551" s="219"/>
      <c r="P551" s="219"/>
      <c r="Q551" s="221"/>
    </row>
    <row r="552" spans="2:17" x14ac:dyDescent="0.2">
      <c r="B552" s="219"/>
      <c r="C552" s="219"/>
      <c r="D552" s="219"/>
      <c r="E552" s="219"/>
      <c r="F552" s="219"/>
      <c r="G552" s="219"/>
      <c r="H552" s="219"/>
      <c r="I552" s="219"/>
      <c r="J552" s="219"/>
      <c r="K552" s="219"/>
      <c r="L552" s="219"/>
      <c r="M552" s="219"/>
      <c r="N552" s="219"/>
      <c r="O552" s="219"/>
      <c r="P552" s="219"/>
      <c r="Q552" s="221"/>
    </row>
    <row r="553" spans="2:17" x14ac:dyDescent="0.2">
      <c r="B553" s="219"/>
      <c r="C553" s="219"/>
      <c r="D553" s="219"/>
      <c r="E553" s="219"/>
      <c r="F553" s="219"/>
      <c r="G553" s="219"/>
      <c r="H553" s="219"/>
      <c r="I553" s="219"/>
      <c r="J553" s="219"/>
      <c r="K553" s="219"/>
      <c r="L553" s="219"/>
      <c r="M553" s="219"/>
      <c r="N553" s="219"/>
      <c r="O553" s="219"/>
      <c r="P553" s="219"/>
      <c r="Q553" s="221"/>
    </row>
    <row r="554" spans="2:17" x14ac:dyDescent="0.2">
      <c r="B554" s="219"/>
      <c r="C554" s="219"/>
      <c r="D554" s="219"/>
      <c r="E554" s="219"/>
      <c r="F554" s="219"/>
      <c r="G554" s="219"/>
      <c r="H554" s="219"/>
      <c r="I554" s="219"/>
      <c r="J554" s="219"/>
      <c r="K554" s="219"/>
      <c r="L554" s="219"/>
      <c r="M554" s="219"/>
      <c r="N554" s="219"/>
      <c r="O554" s="219"/>
      <c r="P554" s="219"/>
      <c r="Q554" s="221"/>
    </row>
    <row r="555" spans="2:17" x14ac:dyDescent="0.2">
      <c r="B555" s="219"/>
      <c r="C555" s="219"/>
      <c r="D555" s="219"/>
      <c r="E555" s="219"/>
      <c r="F555" s="219"/>
      <c r="G555" s="219"/>
      <c r="H555" s="219"/>
      <c r="I555" s="219"/>
      <c r="J555" s="219"/>
      <c r="K555" s="219"/>
      <c r="L555" s="219"/>
      <c r="M555" s="219"/>
      <c r="N555" s="219"/>
      <c r="O555" s="219"/>
      <c r="P555" s="219"/>
      <c r="Q555" s="221"/>
    </row>
    <row r="556" spans="2:17" x14ac:dyDescent="0.2">
      <c r="B556" s="219"/>
      <c r="C556" s="219"/>
      <c r="D556" s="219"/>
      <c r="E556" s="219"/>
      <c r="F556" s="219"/>
      <c r="G556" s="219"/>
      <c r="H556" s="219"/>
      <c r="I556" s="219"/>
      <c r="J556" s="219"/>
      <c r="K556" s="219"/>
      <c r="L556" s="219"/>
      <c r="M556" s="219"/>
      <c r="N556" s="219"/>
      <c r="O556" s="219"/>
      <c r="P556" s="219"/>
      <c r="Q556" s="221"/>
    </row>
    <row r="557" spans="2:17" x14ac:dyDescent="0.2">
      <c r="B557" s="219"/>
      <c r="C557" s="219"/>
      <c r="D557" s="219"/>
      <c r="E557" s="219"/>
      <c r="F557" s="219"/>
      <c r="G557" s="219"/>
      <c r="H557" s="219"/>
      <c r="I557" s="219"/>
      <c r="J557" s="219"/>
      <c r="K557" s="219"/>
      <c r="L557" s="219"/>
      <c r="M557" s="219"/>
      <c r="N557" s="219"/>
      <c r="O557" s="219"/>
      <c r="P557" s="219"/>
      <c r="Q557" s="221"/>
    </row>
    <row r="558" spans="2:17" x14ac:dyDescent="0.2">
      <c r="B558" s="219"/>
      <c r="C558" s="219"/>
      <c r="D558" s="219"/>
      <c r="E558" s="219"/>
      <c r="F558" s="219"/>
      <c r="G558" s="219"/>
      <c r="H558" s="219"/>
      <c r="I558" s="219"/>
      <c r="J558" s="219"/>
      <c r="K558" s="219"/>
      <c r="L558" s="219"/>
      <c r="M558" s="219"/>
      <c r="N558" s="219"/>
      <c r="O558" s="219"/>
      <c r="P558" s="219"/>
      <c r="Q558" s="221"/>
    </row>
    <row r="559" spans="2:17" x14ac:dyDescent="0.2">
      <c r="B559" s="219"/>
      <c r="C559" s="219"/>
      <c r="D559" s="219"/>
      <c r="E559" s="219"/>
      <c r="F559" s="219"/>
      <c r="G559" s="219"/>
      <c r="H559" s="219"/>
      <c r="I559" s="219"/>
      <c r="J559" s="219"/>
      <c r="K559" s="219"/>
      <c r="L559" s="219"/>
      <c r="M559" s="219"/>
      <c r="N559" s="219"/>
      <c r="O559" s="219"/>
      <c r="P559" s="219"/>
      <c r="Q559" s="221"/>
    </row>
    <row r="560" spans="2:17" x14ac:dyDescent="0.2">
      <c r="B560" s="219"/>
      <c r="C560" s="219"/>
      <c r="D560" s="219"/>
      <c r="E560" s="219"/>
      <c r="F560" s="219"/>
      <c r="G560" s="219"/>
      <c r="H560" s="219"/>
      <c r="I560" s="219"/>
      <c r="J560" s="219"/>
      <c r="K560" s="219"/>
      <c r="L560" s="219"/>
      <c r="M560" s="219"/>
      <c r="N560" s="219"/>
      <c r="O560" s="219"/>
      <c r="P560" s="219"/>
      <c r="Q560" s="221"/>
    </row>
    <row r="561" spans="2:17" x14ac:dyDescent="0.2">
      <c r="B561" s="219"/>
      <c r="C561" s="219"/>
      <c r="D561" s="219"/>
      <c r="E561" s="219"/>
      <c r="F561" s="219"/>
      <c r="G561" s="219"/>
      <c r="H561" s="219"/>
      <c r="I561" s="219"/>
      <c r="J561" s="219"/>
      <c r="K561" s="219"/>
      <c r="L561" s="219"/>
      <c r="M561" s="219"/>
      <c r="N561" s="219"/>
      <c r="O561" s="219"/>
      <c r="P561" s="219"/>
      <c r="Q561" s="221"/>
    </row>
    <row r="562" spans="2:17" x14ac:dyDescent="0.2">
      <c r="B562" s="219"/>
      <c r="C562" s="219"/>
      <c r="D562" s="219"/>
      <c r="E562" s="219"/>
      <c r="F562" s="219"/>
      <c r="G562" s="219"/>
      <c r="H562" s="219"/>
      <c r="I562" s="219"/>
      <c r="J562" s="219"/>
      <c r="K562" s="219"/>
      <c r="L562" s="219"/>
      <c r="M562" s="219"/>
      <c r="N562" s="219"/>
      <c r="O562" s="219"/>
      <c r="P562" s="219"/>
      <c r="Q562" s="221"/>
    </row>
    <row r="563" spans="2:17" x14ac:dyDescent="0.2">
      <c r="B563" s="219"/>
      <c r="C563" s="219"/>
      <c r="D563" s="219"/>
      <c r="E563" s="219"/>
      <c r="F563" s="219"/>
      <c r="G563" s="219"/>
      <c r="H563" s="219"/>
      <c r="I563" s="219"/>
      <c r="J563" s="219"/>
      <c r="K563" s="219"/>
      <c r="L563" s="219"/>
      <c r="M563" s="219"/>
      <c r="N563" s="219"/>
      <c r="O563" s="219"/>
      <c r="P563" s="219"/>
      <c r="Q563" s="221"/>
    </row>
    <row r="564" spans="2:17" x14ac:dyDescent="0.2">
      <c r="B564" s="219"/>
      <c r="C564" s="219"/>
      <c r="D564" s="219"/>
      <c r="E564" s="219"/>
      <c r="F564" s="219"/>
      <c r="G564" s="219"/>
      <c r="H564" s="219"/>
      <c r="I564" s="219"/>
      <c r="J564" s="219"/>
      <c r="K564" s="219"/>
      <c r="L564" s="219"/>
      <c r="M564" s="219"/>
      <c r="N564" s="219"/>
      <c r="O564" s="219"/>
      <c r="P564" s="219"/>
      <c r="Q564" s="221"/>
    </row>
    <row r="565" spans="2:17" x14ac:dyDescent="0.2">
      <c r="B565" s="219"/>
      <c r="C565" s="219"/>
      <c r="D565" s="219"/>
      <c r="E565" s="219"/>
      <c r="F565" s="219"/>
      <c r="G565" s="219"/>
      <c r="H565" s="219"/>
      <c r="I565" s="219"/>
      <c r="J565" s="219"/>
      <c r="K565" s="219"/>
      <c r="L565" s="219"/>
      <c r="M565" s="219"/>
      <c r="N565" s="219"/>
      <c r="O565" s="219"/>
      <c r="P565" s="219"/>
      <c r="Q565" s="221"/>
    </row>
    <row r="566" spans="2:17" x14ac:dyDescent="0.2">
      <c r="B566" s="219"/>
      <c r="C566" s="219"/>
      <c r="D566" s="219"/>
      <c r="E566" s="219"/>
      <c r="F566" s="219"/>
      <c r="G566" s="219"/>
      <c r="H566" s="219"/>
      <c r="I566" s="219"/>
      <c r="J566" s="219"/>
      <c r="K566" s="219"/>
      <c r="L566" s="219"/>
      <c r="M566" s="219"/>
      <c r="N566" s="219"/>
      <c r="O566" s="219"/>
      <c r="P566" s="219"/>
      <c r="Q566" s="221"/>
    </row>
    <row r="567" spans="2:17" x14ac:dyDescent="0.2">
      <c r="B567" s="219"/>
      <c r="C567" s="219"/>
      <c r="D567" s="219"/>
      <c r="E567" s="219"/>
      <c r="F567" s="219"/>
      <c r="G567" s="219"/>
      <c r="H567" s="219"/>
      <c r="I567" s="219"/>
      <c r="J567" s="219"/>
      <c r="K567" s="219"/>
      <c r="L567" s="219"/>
      <c r="M567" s="219"/>
      <c r="N567" s="219"/>
      <c r="O567" s="219"/>
      <c r="P567" s="219"/>
      <c r="Q567" s="221"/>
    </row>
    <row r="568" spans="2:17" x14ac:dyDescent="0.2">
      <c r="B568" s="219"/>
      <c r="C568" s="219"/>
      <c r="D568" s="219"/>
      <c r="E568" s="219"/>
      <c r="F568" s="219"/>
      <c r="G568" s="219"/>
      <c r="H568" s="219"/>
      <c r="I568" s="219"/>
      <c r="J568" s="219"/>
      <c r="K568" s="219"/>
      <c r="L568" s="219"/>
      <c r="M568" s="219"/>
      <c r="N568" s="219"/>
      <c r="O568" s="219"/>
      <c r="P568" s="219"/>
      <c r="Q568" s="221"/>
    </row>
    <row r="569" spans="2:17" x14ac:dyDescent="0.2">
      <c r="B569" s="219"/>
      <c r="C569" s="219"/>
      <c r="D569" s="219"/>
      <c r="E569" s="219"/>
      <c r="F569" s="219"/>
      <c r="G569" s="219"/>
      <c r="H569" s="219"/>
      <c r="I569" s="219"/>
      <c r="J569" s="219"/>
      <c r="K569" s="219"/>
      <c r="L569" s="219"/>
      <c r="M569" s="219"/>
      <c r="N569" s="219"/>
      <c r="O569" s="219"/>
      <c r="P569" s="219"/>
      <c r="Q569" s="221"/>
    </row>
    <row r="570" spans="2:17" x14ac:dyDescent="0.2">
      <c r="B570" s="219"/>
      <c r="C570" s="219"/>
      <c r="D570" s="219"/>
      <c r="E570" s="219"/>
      <c r="F570" s="219"/>
      <c r="G570" s="219"/>
      <c r="H570" s="219"/>
      <c r="I570" s="219"/>
      <c r="J570" s="219"/>
      <c r="K570" s="219"/>
      <c r="L570" s="219"/>
      <c r="M570" s="219"/>
      <c r="N570" s="219"/>
      <c r="O570" s="219"/>
      <c r="P570" s="219"/>
      <c r="Q570" s="221"/>
    </row>
    <row r="571" spans="2:17" x14ac:dyDescent="0.2">
      <c r="B571" s="219"/>
      <c r="C571" s="219"/>
      <c r="D571" s="219"/>
      <c r="E571" s="219"/>
      <c r="F571" s="219"/>
      <c r="G571" s="219"/>
      <c r="H571" s="219"/>
      <c r="I571" s="219"/>
      <c r="J571" s="219"/>
      <c r="K571" s="219"/>
      <c r="L571" s="219"/>
      <c r="M571" s="219"/>
      <c r="N571" s="219"/>
      <c r="O571" s="219"/>
      <c r="P571" s="219"/>
      <c r="Q571" s="221"/>
    </row>
    <row r="572" spans="2:17" x14ac:dyDescent="0.2">
      <c r="B572" s="219"/>
      <c r="C572" s="219"/>
      <c r="D572" s="219"/>
      <c r="E572" s="219"/>
      <c r="F572" s="219"/>
      <c r="G572" s="219"/>
      <c r="H572" s="219"/>
      <c r="I572" s="219"/>
      <c r="J572" s="219"/>
      <c r="K572" s="219"/>
      <c r="L572" s="219"/>
      <c r="M572" s="219"/>
      <c r="N572" s="219"/>
      <c r="O572" s="219"/>
      <c r="P572" s="219"/>
      <c r="Q572" s="221"/>
    </row>
    <row r="573" spans="2:17" x14ac:dyDescent="0.2">
      <c r="B573" s="219"/>
      <c r="C573" s="219"/>
      <c r="D573" s="219"/>
      <c r="E573" s="219"/>
      <c r="F573" s="219"/>
      <c r="G573" s="219"/>
      <c r="H573" s="219"/>
      <c r="I573" s="219"/>
      <c r="J573" s="219"/>
      <c r="K573" s="219"/>
      <c r="L573" s="219"/>
      <c r="M573" s="219"/>
      <c r="N573" s="219"/>
      <c r="O573" s="219"/>
      <c r="P573" s="219"/>
      <c r="Q573" s="221"/>
    </row>
    <row r="574" spans="2:17" x14ac:dyDescent="0.2">
      <c r="B574" s="219"/>
      <c r="C574" s="219"/>
      <c r="D574" s="219"/>
      <c r="E574" s="219"/>
      <c r="F574" s="219"/>
      <c r="G574" s="219"/>
      <c r="H574" s="219"/>
      <c r="I574" s="219"/>
      <c r="J574" s="219"/>
      <c r="K574" s="219"/>
      <c r="L574" s="219"/>
      <c r="M574" s="219"/>
      <c r="N574" s="219"/>
      <c r="O574" s="219"/>
      <c r="P574" s="219"/>
      <c r="Q574" s="221"/>
    </row>
    <row r="575" spans="2:17" x14ac:dyDescent="0.2">
      <c r="B575" s="219"/>
      <c r="C575" s="219"/>
      <c r="D575" s="219"/>
      <c r="E575" s="219"/>
      <c r="F575" s="219"/>
      <c r="G575" s="219"/>
      <c r="H575" s="219"/>
      <c r="I575" s="219"/>
      <c r="J575" s="219"/>
      <c r="K575" s="219"/>
      <c r="L575" s="219"/>
      <c r="M575" s="219"/>
      <c r="N575" s="219"/>
      <c r="O575" s="219"/>
      <c r="P575" s="219"/>
      <c r="Q575" s="221"/>
    </row>
    <row r="576" spans="2:17" x14ac:dyDescent="0.2">
      <c r="B576" s="219"/>
      <c r="C576" s="219"/>
      <c r="D576" s="219"/>
      <c r="E576" s="219"/>
      <c r="F576" s="219"/>
      <c r="G576" s="219"/>
      <c r="H576" s="219"/>
      <c r="I576" s="219"/>
      <c r="J576" s="219"/>
      <c r="K576" s="219"/>
      <c r="L576" s="219"/>
      <c r="M576" s="219"/>
      <c r="N576" s="219"/>
      <c r="O576" s="219"/>
      <c r="P576" s="219"/>
      <c r="Q576" s="221"/>
    </row>
    <row r="577" spans="2:17" x14ac:dyDescent="0.2">
      <c r="B577" s="219"/>
      <c r="C577" s="219"/>
      <c r="D577" s="219"/>
      <c r="E577" s="219"/>
      <c r="F577" s="219"/>
      <c r="G577" s="219"/>
      <c r="H577" s="219"/>
      <c r="I577" s="219"/>
      <c r="J577" s="219"/>
      <c r="K577" s="219"/>
      <c r="L577" s="219"/>
      <c r="M577" s="219"/>
      <c r="N577" s="219"/>
      <c r="O577" s="219"/>
      <c r="P577" s="219"/>
      <c r="Q577" s="221"/>
    </row>
    <row r="578" spans="2:17" x14ac:dyDescent="0.2">
      <c r="B578" s="219"/>
      <c r="C578" s="219"/>
      <c r="D578" s="219"/>
      <c r="E578" s="219"/>
      <c r="F578" s="219"/>
      <c r="G578" s="219"/>
      <c r="H578" s="219"/>
      <c r="I578" s="219"/>
      <c r="J578" s="219"/>
      <c r="K578" s="219"/>
      <c r="L578" s="219"/>
      <c r="M578" s="219"/>
      <c r="N578" s="219"/>
      <c r="O578" s="219"/>
      <c r="P578" s="219"/>
      <c r="Q578" s="221"/>
    </row>
    <row r="579" spans="2:17" x14ac:dyDescent="0.2">
      <c r="B579" s="219"/>
      <c r="C579" s="219"/>
      <c r="D579" s="219"/>
      <c r="E579" s="219"/>
      <c r="F579" s="219"/>
      <c r="G579" s="219"/>
      <c r="H579" s="219"/>
      <c r="I579" s="219"/>
      <c r="J579" s="219"/>
      <c r="K579" s="219"/>
      <c r="L579" s="219"/>
      <c r="M579" s="219"/>
      <c r="N579" s="219"/>
      <c r="O579" s="219"/>
      <c r="P579" s="219"/>
      <c r="Q579" s="221"/>
    </row>
    <row r="580" spans="2:17" x14ac:dyDescent="0.2">
      <c r="B580" s="219"/>
      <c r="C580" s="219"/>
      <c r="D580" s="219"/>
      <c r="E580" s="219"/>
      <c r="F580" s="219"/>
      <c r="G580" s="219"/>
      <c r="H580" s="219"/>
      <c r="I580" s="219"/>
      <c r="J580" s="219"/>
      <c r="K580" s="219"/>
      <c r="L580" s="219"/>
      <c r="M580" s="219"/>
      <c r="N580" s="219"/>
      <c r="O580" s="219"/>
      <c r="P580" s="219"/>
      <c r="Q580" s="221"/>
    </row>
    <row r="581" spans="2:17" x14ac:dyDescent="0.2">
      <c r="B581" s="219"/>
      <c r="C581" s="219"/>
      <c r="D581" s="219"/>
      <c r="E581" s="219"/>
      <c r="F581" s="219"/>
      <c r="G581" s="219"/>
      <c r="H581" s="219"/>
      <c r="I581" s="219"/>
      <c r="J581" s="219"/>
      <c r="K581" s="219"/>
      <c r="L581" s="219"/>
      <c r="M581" s="219"/>
      <c r="N581" s="219"/>
      <c r="O581" s="219"/>
      <c r="P581" s="219"/>
      <c r="Q581" s="221"/>
    </row>
    <row r="582" spans="2:17" x14ac:dyDescent="0.2">
      <c r="B582" s="219"/>
      <c r="C582" s="219"/>
      <c r="D582" s="219"/>
      <c r="E582" s="219"/>
      <c r="F582" s="219"/>
      <c r="G582" s="219"/>
      <c r="H582" s="219"/>
      <c r="I582" s="219"/>
      <c r="J582" s="219"/>
      <c r="K582" s="219"/>
      <c r="L582" s="219"/>
      <c r="M582" s="219"/>
      <c r="N582" s="219"/>
      <c r="O582" s="219"/>
      <c r="P582" s="219"/>
      <c r="Q582" s="221"/>
    </row>
    <row r="583" spans="2:17" x14ac:dyDescent="0.2">
      <c r="B583" s="219"/>
      <c r="C583" s="219"/>
      <c r="D583" s="219"/>
      <c r="E583" s="219"/>
      <c r="F583" s="219"/>
      <c r="G583" s="219"/>
      <c r="H583" s="219"/>
      <c r="I583" s="219"/>
      <c r="J583" s="219"/>
      <c r="K583" s="219"/>
      <c r="L583" s="219"/>
      <c r="M583" s="219"/>
      <c r="N583" s="219"/>
      <c r="O583" s="219"/>
      <c r="P583" s="219"/>
      <c r="Q583" s="221"/>
    </row>
    <row r="584" spans="2:17" x14ac:dyDescent="0.2">
      <c r="B584" s="219"/>
      <c r="C584" s="219"/>
      <c r="D584" s="219"/>
      <c r="E584" s="219"/>
      <c r="F584" s="219"/>
      <c r="G584" s="219"/>
      <c r="H584" s="219"/>
      <c r="I584" s="219"/>
      <c r="J584" s="219"/>
      <c r="K584" s="219"/>
      <c r="L584" s="219"/>
      <c r="M584" s="219"/>
      <c r="N584" s="219"/>
      <c r="O584" s="219"/>
      <c r="P584" s="219"/>
      <c r="Q584" s="221"/>
    </row>
    <row r="585" spans="2:17" x14ac:dyDescent="0.2">
      <c r="B585" s="219"/>
      <c r="C585" s="219"/>
      <c r="D585" s="219"/>
      <c r="E585" s="219"/>
      <c r="F585" s="219"/>
      <c r="G585" s="219"/>
      <c r="H585" s="219"/>
      <c r="I585" s="219"/>
      <c r="J585" s="219"/>
      <c r="K585" s="219"/>
      <c r="L585" s="219"/>
      <c r="M585" s="219"/>
      <c r="N585" s="219"/>
      <c r="O585" s="219"/>
      <c r="P585" s="219"/>
      <c r="Q585" s="221"/>
    </row>
    <row r="586" spans="2:17" x14ac:dyDescent="0.2">
      <c r="B586" s="219"/>
      <c r="C586" s="219"/>
      <c r="D586" s="219"/>
      <c r="E586" s="219"/>
      <c r="F586" s="219"/>
      <c r="G586" s="219"/>
      <c r="H586" s="219"/>
      <c r="I586" s="219"/>
      <c r="J586" s="219"/>
      <c r="K586" s="219"/>
      <c r="L586" s="219"/>
      <c r="M586" s="219"/>
      <c r="N586" s="219"/>
      <c r="O586" s="219"/>
      <c r="P586" s="219"/>
      <c r="Q586" s="221"/>
    </row>
    <row r="587" spans="2:17" x14ac:dyDescent="0.2">
      <c r="B587" s="219"/>
      <c r="C587" s="219"/>
      <c r="D587" s="219"/>
      <c r="E587" s="219"/>
      <c r="F587" s="219"/>
      <c r="G587" s="219"/>
      <c r="H587" s="219"/>
      <c r="I587" s="219"/>
      <c r="J587" s="219"/>
      <c r="K587" s="219"/>
      <c r="L587" s="219"/>
      <c r="M587" s="219"/>
      <c r="N587" s="219"/>
      <c r="O587" s="219"/>
      <c r="P587" s="219"/>
      <c r="Q587" s="221"/>
    </row>
    <row r="588" spans="2:17" x14ac:dyDescent="0.2">
      <c r="B588" s="219"/>
      <c r="C588" s="219"/>
      <c r="D588" s="219"/>
      <c r="E588" s="219"/>
      <c r="F588" s="219"/>
      <c r="G588" s="219"/>
      <c r="H588" s="219"/>
      <c r="I588" s="219"/>
      <c r="J588" s="219"/>
      <c r="K588" s="219"/>
      <c r="L588" s="219"/>
      <c r="M588" s="219"/>
      <c r="N588" s="219"/>
      <c r="O588" s="219"/>
      <c r="P588" s="219"/>
      <c r="Q588" s="221"/>
    </row>
    <row r="589" spans="2:17" x14ac:dyDescent="0.2">
      <c r="B589" s="219"/>
      <c r="C589" s="219"/>
      <c r="D589" s="219"/>
      <c r="E589" s="219"/>
      <c r="F589" s="219"/>
      <c r="G589" s="219"/>
      <c r="H589" s="219"/>
      <c r="I589" s="219"/>
      <c r="J589" s="219"/>
      <c r="K589" s="219"/>
      <c r="L589" s="219"/>
      <c r="M589" s="219"/>
      <c r="N589" s="219"/>
      <c r="O589" s="219"/>
      <c r="P589" s="219"/>
      <c r="Q589" s="221"/>
    </row>
    <row r="590" spans="2:17" x14ac:dyDescent="0.2">
      <c r="B590" s="219"/>
      <c r="C590" s="219"/>
      <c r="D590" s="219"/>
      <c r="E590" s="219"/>
      <c r="F590" s="219"/>
      <c r="G590" s="219"/>
      <c r="H590" s="219"/>
      <c r="I590" s="219"/>
      <c r="J590" s="219"/>
      <c r="K590" s="219"/>
      <c r="L590" s="219"/>
      <c r="M590" s="219"/>
      <c r="N590" s="219"/>
      <c r="O590" s="219"/>
      <c r="P590" s="219"/>
      <c r="Q590" s="221"/>
    </row>
    <row r="591" spans="2:17" x14ac:dyDescent="0.2">
      <c r="B591" s="219"/>
      <c r="C591" s="219"/>
      <c r="D591" s="219"/>
      <c r="E591" s="219"/>
      <c r="F591" s="219"/>
      <c r="G591" s="219"/>
      <c r="H591" s="219"/>
      <c r="I591" s="219"/>
      <c r="J591" s="219"/>
      <c r="K591" s="219"/>
      <c r="L591" s="219"/>
      <c r="M591" s="219"/>
      <c r="N591" s="219"/>
      <c r="O591" s="219"/>
      <c r="P591" s="219"/>
      <c r="Q591" s="221"/>
    </row>
    <row r="592" spans="2:17" x14ac:dyDescent="0.2">
      <c r="B592" s="219"/>
      <c r="C592" s="219"/>
      <c r="D592" s="219"/>
      <c r="E592" s="219"/>
      <c r="F592" s="219"/>
      <c r="G592" s="219"/>
      <c r="H592" s="219"/>
      <c r="I592" s="219"/>
      <c r="J592" s="219"/>
      <c r="K592" s="219"/>
      <c r="L592" s="219"/>
      <c r="M592" s="219"/>
      <c r="N592" s="219"/>
      <c r="O592" s="219"/>
      <c r="P592" s="219"/>
      <c r="Q592" s="221"/>
    </row>
    <row r="593" spans="2:17" x14ac:dyDescent="0.2">
      <c r="B593" s="219"/>
      <c r="C593" s="219"/>
      <c r="D593" s="219"/>
      <c r="E593" s="219"/>
      <c r="F593" s="219"/>
      <c r="G593" s="219"/>
      <c r="H593" s="219"/>
      <c r="I593" s="219"/>
      <c r="J593" s="219"/>
      <c r="K593" s="219"/>
      <c r="L593" s="219"/>
      <c r="M593" s="219"/>
      <c r="N593" s="219"/>
      <c r="O593" s="219"/>
      <c r="P593" s="219"/>
      <c r="Q593" s="221"/>
    </row>
    <row r="594" spans="2:17" x14ac:dyDescent="0.2">
      <c r="B594" s="219"/>
      <c r="C594" s="219"/>
      <c r="D594" s="219"/>
      <c r="E594" s="219"/>
      <c r="F594" s="219"/>
      <c r="G594" s="219"/>
      <c r="H594" s="219"/>
      <c r="I594" s="219"/>
      <c r="J594" s="219"/>
      <c r="K594" s="219"/>
      <c r="L594" s="219"/>
      <c r="M594" s="219"/>
      <c r="N594" s="219"/>
      <c r="O594" s="219"/>
      <c r="P594" s="219"/>
      <c r="Q594" s="221"/>
    </row>
    <row r="595" spans="2:17" x14ac:dyDescent="0.2">
      <c r="B595" s="219"/>
      <c r="C595" s="219"/>
      <c r="D595" s="219"/>
      <c r="E595" s="219"/>
      <c r="F595" s="219"/>
      <c r="G595" s="219"/>
      <c r="H595" s="219"/>
      <c r="I595" s="219"/>
      <c r="J595" s="219"/>
      <c r="K595" s="219"/>
      <c r="L595" s="219"/>
      <c r="M595" s="219"/>
      <c r="N595" s="219"/>
      <c r="O595" s="219"/>
      <c r="P595" s="219"/>
      <c r="Q595" s="221"/>
    </row>
    <row r="596" spans="2:17" x14ac:dyDescent="0.2">
      <c r="B596" s="219"/>
      <c r="C596" s="219"/>
      <c r="D596" s="219"/>
      <c r="E596" s="219"/>
      <c r="F596" s="219"/>
      <c r="G596" s="219"/>
      <c r="H596" s="219"/>
      <c r="I596" s="219"/>
      <c r="J596" s="219"/>
      <c r="K596" s="219"/>
      <c r="L596" s="219"/>
      <c r="M596" s="219"/>
      <c r="N596" s="219"/>
      <c r="O596" s="219"/>
      <c r="P596" s="219"/>
      <c r="Q596" s="221"/>
    </row>
    <row r="597" spans="2:17" x14ac:dyDescent="0.2">
      <c r="B597" s="219"/>
      <c r="C597" s="219"/>
      <c r="D597" s="219"/>
      <c r="E597" s="219"/>
      <c r="F597" s="219"/>
      <c r="G597" s="219"/>
      <c r="H597" s="219"/>
      <c r="I597" s="219"/>
      <c r="J597" s="219"/>
      <c r="K597" s="219"/>
      <c r="L597" s="219"/>
      <c r="M597" s="219"/>
      <c r="N597" s="219"/>
      <c r="O597" s="219"/>
      <c r="P597" s="219"/>
      <c r="Q597" s="221"/>
    </row>
    <row r="598" spans="2:17" x14ac:dyDescent="0.2">
      <c r="B598" s="219"/>
      <c r="C598" s="219"/>
      <c r="D598" s="219"/>
      <c r="E598" s="219"/>
      <c r="F598" s="219"/>
      <c r="G598" s="219"/>
      <c r="H598" s="219"/>
      <c r="I598" s="219"/>
      <c r="J598" s="219"/>
      <c r="K598" s="219"/>
      <c r="L598" s="219"/>
      <c r="M598" s="219"/>
      <c r="N598" s="219"/>
      <c r="O598" s="219"/>
      <c r="P598" s="219"/>
      <c r="Q598" s="221"/>
    </row>
    <row r="599" spans="2:17" x14ac:dyDescent="0.2">
      <c r="B599" s="219"/>
      <c r="C599" s="219"/>
      <c r="D599" s="219"/>
      <c r="E599" s="219"/>
      <c r="F599" s="219"/>
      <c r="G599" s="219"/>
      <c r="H599" s="219"/>
      <c r="I599" s="219"/>
      <c r="J599" s="219"/>
      <c r="K599" s="219"/>
      <c r="L599" s="219"/>
      <c r="M599" s="219"/>
      <c r="N599" s="219"/>
      <c r="O599" s="219"/>
      <c r="P599" s="219"/>
      <c r="Q599" s="221"/>
    </row>
    <row r="600" spans="2:17" x14ac:dyDescent="0.2">
      <c r="B600" s="219"/>
      <c r="C600" s="219"/>
      <c r="D600" s="219"/>
      <c r="E600" s="219"/>
      <c r="F600" s="219"/>
      <c r="G600" s="219"/>
      <c r="H600" s="219"/>
      <c r="I600" s="219"/>
      <c r="J600" s="219"/>
      <c r="K600" s="219"/>
      <c r="L600" s="219"/>
      <c r="M600" s="219"/>
      <c r="N600" s="219"/>
      <c r="O600" s="219"/>
      <c r="P600" s="219"/>
      <c r="Q600" s="221"/>
    </row>
    <row r="601" spans="2:17" x14ac:dyDescent="0.2">
      <c r="B601" s="219"/>
      <c r="C601" s="219"/>
      <c r="D601" s="219"/>
      <c r="E601" s="219"/>
      <c r="F601" s="219"/>
      <c r="G601" s="219"/>
      <c r="H601" s="219"/>
      <c r="I601" s="219"/>
      <c r="J601" s="219"/>
      <c r="K601" s="219"/>
      <c r="L601" s="219"/>
      <c r="M601" s="219"/>
      <c r="N601" s="219"/>
      <c r="O601" s="219"/>
      <c r="P601" s="219"/>
      <c r="Q601" s="221"/>
    </row>
    <row r="602" spans="2:17" x14ac:dyDescent="0.2">
      <c r="B602" s="219"/>
      <c r="C602" s="219"/>
      <c r="D602" s="219"/>
      <c r="E602" s="219"/>
      <c r="F602" s="219"/>
      <c r="G602" s="219"/>
      <c r="H602" s="219"/>
      <c r="I602" s="219"/>
      <c r="J602" s="219"/>
      <c r="K602" s="219"/>
      <c r="L602" s="219"/>
      <c r="M602" s="219"/>
      <c r="N602" s="219"/>
      <c r="O602" s="219"/>
      <c r="P602" s="219"/>
      <c r="Q602" s="221"/>
    </row>
    <row r="603" spans="2:17" x14ac:dyDescent="0.2">
      <c r="B603" s="219"/>
      <c r="C603" s="219"/>
      <c r="D603" s="219"/>
      <c r="E603" s="219"/>
      <c r="F603" s="219"/>
      <c r="G603" s="219"/>
      <c r="H603" s="219"/>
      <c r="I603" s="219"/>
      <c r="J603" s="219"/>
      <c r="K603" s="219"/>
      <c r="L603" s="219"/>
      <c r="M603" s="219"/>
      <c r="N603" s="219"/>
      <c r="O603" s="219"/>
      <c r="P603" s="219"/>
      <c r="Q603" s="221"/>
    </row>
    <row r="604" spans="2:17" x14ac:dyDescent="0.2">
      <c r="B604" s="219"/>
      <c r="C604" s="219"/>
      <c r="D604" s="219"/>
      <c r="E604" s="219"/>
      <c r="F604" s="219"/>
      <c r="G604" s="219"/>
      <c r="H604" s="219"/>
      <c r="I604" s="219"/>
      <c r="J604" s="219"/>
      <c r="K604" s="219"/>
      <c r="L604" s="219"/>
      <c r="M604" s="219"/>
      <c r="N604" s="219"/>
      <c r="O604" s="219"/>
      <c r="P604" s="219"/>
      <c r="Q604" s="221"/>
    </row>
    <row r="605" spans="2:17" x14ac:dyDescent="0.2">
      <c r="B605" s="219"/>
      <c r="C605" s="219"/>
      <c r="D605" s="219"/>
      <c r="E605" s="219"/>
      <c r="F605" s="219"/>
      <c r="G605" s="219"/>
      <c r="H605" s="219"/>
      <c r="I605" s="219"/>
      <c r="J605" s="219"/>
      <c r="K605" s="219"/>
      <c r="L605" s="219"/>
      <c r="M605" s="219"/>
      <c r="N605" s="219"/>
      <c r="O605" s="219"/>
      <c r="P605" s="219"/>
      <c r="Q605" s="221"/>
    </row>
    <row r="606" spans="2:17" x14ac:dyDescent="0.2">
      <c r="B606" s="219"/>
      <c r="C606" s="219"/>
      <c r="D606" s="219"/>
      <c r="E606" s="219"/>
      <c r="F606" s="219"/>
      <c r="G606" s="219"/>
      <c r="H606" s="219"/>
      <c r="I606" s="219"/>
      <c r="J606" s="219"/>
      <c r="K606" s="219"/>
      <c r="L606" s="219"/>
      <c r="M606" s="219"/>
      <c r="N606" s="219"/>
      <c r="O606" s="219"/>
      <c r="P606" s="219"/>
      <c r="Q606" s="221"/>
    </row>
    <row r="607" spans="2:17" x14ac:dyDescent="0.2">
      <c r="B607" s="219"/>
      <c r="C607" s="219"/>
      <c r="D607" s="219"/>
      <c r="E607" s="219"/>
      <c r="F607" s="219"/>
      <c r="G607" s="219"/>
      <c r="H607" s="219"/>
      <c r="I607" s="219"/>
      <c r="J607" s="219"/>
      <c r="K607" s="219"/>
      <c r="L607" s="219"/>
      <c r="M607" s="219"/>
      <c r="N607" s="219"/>
      <c r="O607" s="219"/>
      <c r="P607" s="219"/>
      <c r="Q607" s="221"/>
    </row>
    <row r="608" spans="2:17" x14ac:dyDescent="0.2">
      <c r="B608" s="219"/>
      <c r="C608" s="219"/>
      <c r="D608" s="219"/>
      <c r="E608" s="219"/>
      <c r="F608" s="219"/>
      <c r="G608" s="219"/>
      <c r="H608" s="219"/>
      <c r="I608" s="219"/>
      <c r="J608" s="219"/>
      <c r="K608" s="219"/>
      <c r="L608" s="219"/>
      <c r="M608" s="219"/>
      <c r="N608" s="219"/>
      <c r="O608" s="219"/>
      <c r="P608" s="219"/>
      <c r="Q608" s="221"/>
    </row>
    <row r="609" spans="2:17" x14ac:dyDescent="0.2">
      <c r="B609" s="219"/>
      <c r="C609" s="219"/>
      <c r="D609" s="219"/>
      <c r="E609" s="219"/>
      <c r="F609" s="219"/>
      <c r="G609" s="219"/>
      <c r="H609" s="219"/>
      <c r="I609" s="219"/>
      <c r="J609" s="219"/>
      <c r="K609" s="219"/>
      <c r="L609" s="219"/>
      <c r="M609" s="219"/>
      <c r="N609" s="219"/>
      <c r="O609" s="219"/>
      <c r="P609" s="219"/>
      <c r="Q609" s="221"/>
    </row>
    <row r="610" spans="2:17" x14ac:dyDescent="0.2">
      <c r="B610" s="219"/>
      <c r="C610" s="219"/>
      <c r="D610" s="219"/>
      <c r="E610" s="219"/>
      <c r="F610" s="219"/>
      <c r="G610" s="219"/>
      <c r="H610" s="219"/>
      <c r="I610" s="219"/>
      <c r="J610" s="219"/>
      <c r="K610" s="219"/>
      <c r="L610" s="219"/>
      <c r="M610" s="219"/>
      <c r="N610" s="219"/>
      <c r="O610" s="219"/>
      <c r="P610" s="219"/>
      <c r="Q610" s="221"/>
    </row>
    <row r="611" spans="2:17" x14ac:dyDescent="0.2">
      <c r="B611" s="219"/>
      <c r="C611" s="219"/>
      <c r="D611" s="219"/>
      <c r="E611" s="219"/>
      <c r="F611" s="219"/>
      <c r="G611" s="219"/>
      <c r="H611" s="219"/>
      <c r="I611" s="219"/>
      <c r="J611" s="219"/>
      <c r="K611" s="219"/>
      <c r="L611" s="219"/>
      <c r="M611" s="219"/>
      <c r="N611" s="219"/>
      <c r="O611" s="219"/>
      <c r="P611" s="219"/>
      <c r="Q611" s="221"/>
    </row>
    <row r="612" spans="2:17" x14ac:dyDescent="0.2">
      <c r="B612" s="219"/>
      <c r="C612" s="219"/>
      <c r="D612" s="219"/>
      <c r="E612" s="219"/>
      <c r="F612" s="219"/>
      <c r="G612" s="219"/>
      <c r="H612" s="219"/>
      <c r="I612" s="219"/>
      <c r="J612" s="219"/>
      <c r="K612" s="219"/>
      <c r="L612" s="219"/>
      <c r="M612" s="219"/>
      <c r="N612" s="219"/>
      <c r="O612" s="219"/>
      <c r="P612" s="219"/>
      <c r="Q612" s="221"/>
    </row>
    <row r="613" spans="2:17" x14ac:dyDescent="0.2">
      <c r="B613" s="219"/>
      <c r="C613" s="219"/>
      <c r="D613" s="219"/>
      <c r="E613" s="219"/>
      <c r="F613" s="219"/>
      <c r="G613" s="219"/>
      <c r="H613" s="219"/>
      <c r="I613" s="219"/>
      <c r="J613" s="219"/>
      <c r="K613" s="219"/>
      <c r="L613" s="219"/>
      <c r="M613" s="219"/>
      <c r="N613" s="219"/>
      <c r="O613" s="219"/>
      <c r="P613" s="219"/>
      <c r="Q613" s="221"/>
    </row>
    <row r="614" spans="2:17" x14ac:dyDescent="0.2">
      <c r="B614" s="219"/>
      <c r="C614" s="219"/>
      <c r="D614" s="219"/>
      <c r="E614" s="219"/>
      <c r="F614" s="219"/>
      <c r="G614" s="219"/>
      <c r="H614" s="219"/>
      <c r="I614" s="219"/>
      <c r="J614" s="219"/>
      <c r="K614" s="219"/>
      <c r="L614" s="219"/>
      <c r="M614" s="219"/>
      <c r="N614" s="219"/>
      <c r="O614" s="219"/>
      <c r="P614" s="219"/>
      <c r="Q614" s="221"/>
    </row>
    <row r="615" spans="2:17" x14ac:dyDescent="0.2">
      <c r="B615" s="219"/>
      <c r="C615" s="219"/>
      <c r="D615" s="219"/>
      <c r="E615" s="219"/>
      <c r="F615" s="219"/>
      <c r="G615" s="219"/>
      <c r="H615" s="219"/>
      <c r="I615" s="219"/>
      <c r="J615" s="219"/>
      <c r="K615" s="219"/>
      <c r="L615" s="219"/>
      <c r="M615" s="219"/>
      <c r="N615" s="219"/>
      <c r="O615" s="219"/>
      <c r="P615" s="219"/>
      <c r="Q615" s="221"/>
    </row>
    <row r="616" spans="2:17" x14ac:dyDescent="0.2">
      <c r="B616" s="219"/>
      <c r="C616" s="219"/>
      <c r="D616" s="219"/>
      <c r="E616" s="219"/>
      <c r="F616" s="219"/>
      <c r="G616" s="219"/>
      <c r="H616" s="219"/>
      <c r="I616" s="219"/>
      <c r="J616" s="219"/>
      <c r="K616" s="219"/>
      <c r="L616" s="219"/>
      <c r="M616" s="219"/>
      <c r="N616" s="219"/>
      <c r="O616" s="219"/>
      <c r="P616" s="219"/>
      <c r="Q616" s="221"/>
    </row>
    <row r="617" spans="2:17" x14ac:dyDescent="0.2">
      <c r="B617" s="219"/>
      <c r="C617" s="219"/>
      <c r="D617" s="219"/>
      <c r="E617" s="219"/>
      <c r="F617" s="219"/>
      <c r="G617" s="219"/>
      <c r="H617" s="219"/>
      <c r="I617" s="219"/>
      <c r="J617" s="219"/>
      <c r="K617" s="219"/>
      <c r="L617" s="219"/>
      <c r="M617" s="219"/>
      <c r="N617" s="219"/>
      <c r="O617" s="219"/>
      <c r="P617" s="219"/>
      <c r="Q617" s="221"/>
    </row>
    <row r="618" spans="2:17" x14ac:dyDescent="0.2">
      <c r="B618" s="219"/>
      <c r="C618" s="219"/>
      <c r="D618" s="219"/>
      <c r="E618" s="219"/>
      <c r="F618" s="219"/>
      <c r="G618" s="219"/>
      <c r="H618" s="219"/>
      <c r="I618" s="219"/>
      <c r="J618" s="219"/>
      <c r="K618" s="219"/>
      <c r="L618" s="219"/>
      <c r="M618" s="219"/>
      <c r="N618" s="219"/>
      <c r="O618" s="219"/>
      <c r="P618" s="219"/>
      <c r="Q618" s="221"/>
    </row>
    <row r="619" spans="2:17" x14ac:dyDescent="0.2">
      <c r="B619" s="219"/>
      <c r="C619" s="219"/>
      <c r="D619" s="219"/>
      <c r="E619" s="219"/>
      <c r="F619" s="219"/>
      <c r="G619" s="219"/>
      <c r="H619" s="219"/>
      <c r="I619" s="219"/>
      <c r="J619" s="219"/>
      <c r="K619" s="219"/>
      <c r="L619" s="219"/>
      <c r="M619" s="219"/>
      <c r="N619" s="219"/>
      <c r="O619" s="219"/>
      <c r="P619" s="219"/>
      <c r="Q619" s="221"/>
    </row>
    <row r="620" spans="2:17" x14ac:dyDescent="0.2">
      <c r="B620" s="219"/>
      <c r="C620" s="219"/>
      <c r="D620" s="219"/>
      <c r="E620" s="219"/>
      <c r="F620" s="219"/>
      <c r="G620" s="219"/>
      <c r="H620" s="219"/>
      <c r="I620" s="219"/>
      <c r="J620" s="219"/>
      <c r="K620" s="219"/>
      <c r="L620" s="219"/>
      <c r="M620" s="219"/>
      <c r="N620" s="219"/>
      <c r="O620" s="219"/>
      <c r="P620" s="219"/>
      <c r="Q620" s="221"/>
    </row>
    <row r="621" spans="2:17" x14ac:dyDescent="0.2">
      <c r="B621" s="219"/>
      <c r="C621" s="219"/>
      <c r="D621" s="219"/>
      <c r="E621" s="219"/>
      <c r="F621" s="219"/>
      <c r="G621" s="219"/>
      <c r="H621" s="219"/>
      <c r="I621" s="219"/>
      <c r="J621" s="219"/>
      <c r="K621" s="219"/>
      <c r="L621" s="219"/>
      <c r="M621" s="219"/>
      <c r="N621" s="219"/>
      <c r="O621" s="219"/>
      <c r="P621" s="219"/>
      <c r="Q621" s="221"/>
    </row>
    <row r="622" spans="2:17" x14ac:dyDescent="0.2">
      <c r="B622" s="219"/>
      <c r="C622" s="219"/>
      <c r="D622" s="219"/>
      <c r="E622" s="219"/>
      <c r="F622" s="219"/>
      <c r="G622" s="219"/>
      <c r="H622" s="219"/>
      <c r="I622" s="219"/>
      <c r="J622" s="219"/>
      <c r="K622" s="219"/>
      <c r="L622" s="219"/>
      <c r="M622" s="219"/>
      <c r="N622" s="219"/>
      <c r="O622" s="219"/>
      <c r="P622" s="219"/>
      <c r="Q622" s="221"/>
    </row>
    <row r="623" spans="2:17" x14ac:dyDescent="0.2">
      <c r="B623" s="219"/>
      <c r="C623" s="219"/>
      <c r="D623" s="219"/>
      <c r="E623" s="219"/>
      <c r="F623" s="219"/>
      <c r="G623" s="219"/>
      <c r="H623" s="219"/>
      <c r="I623" s="219"/>
      <c r="J623" s="219"/>
      <c r="K623" s="219"/>
      <c r="L623" s="219"/>
      <c r="M623" s="219"/>
      <c r="N623" s="219"/>
      <c r="O623" s="219"/>
      <c r="P623" s="219"/>
      <c r="Q623" s="221"/>
    </row>
    <row r="624" spans="2:17" x14ac:dyDescent="0.2">
      <c r="B624" s="219"/>
      <c r="C624" s="219"/>
      <c r="D624" s="219"/>
      <c r="E624" s="219"/>
      <c r="F624" s="219"/>
      <c r="G624" s="219"/>
      <c r="H624" s="219"/>
      <c r="I624" s="219"/>
      <c r="J624" s="219"/>
      <c r="K624" s="219"/>
      <c r="L624" s="219"/>
      <c r="M624" s="219"/>
      <c r="N624" s="219"/>
      <c r="O624" s="219"/>
      <c r="P624" s="219"/>
      <c r="Q624" s="221"/>
    </row>
    <row r="625" spans="2:17" x14ac:dyDescent="0.2">
      <c r="B625" s="219"/>
      <c r="C625" s="219"/>
      <c r="D625" s="219"/>
      <c r="E625" s="219"/>
      <c r="F625" s="219"/>
      <c r="G625" s="219"/>
      <c r="H625" s="219"/>
      <c r="I625" s="219"/>
      <c r="J625" s="219"/>
      <c r="K625" s="219"/>
      <c r="L625" s="219"/>
      <c r="M625" s="219"/>
      <c r="N625" s="219"/>
      <c r="O625" s="219"/>
      <c r="P625" s="219"/>
      <c r="Q625" s="221"/>
    </row>
    <row r="626" spans="2:17" x14ac:dyDescent="0.2">
      <c r="B626" s="219"/>
      <c r="C626" s="219"/>
      <c r="D626" s="219"/>
      <c r="E626" s="219"/>
      <c r="F626" s="219"/>
      <c r="G626" s="219"/>
      <c r="H626" s="219"/>
      <c r="I626" s="219"/>
      <c r="J626" s="219"/>
      <c r="K626" s="219"/>
      <c r="L626" s="219"/>
      <c r="M626" s="219"/>
      <c r="N626" s="219"/>
      <c r="O626" s="219"/>
      <c r="P626" s="219"/>
      <c r="Q626" s="221"/>
    </row>
    <row r="627" spans="2:17" x14ac:dyDescent="0.2">
      <c r="B627" s="219"/>
      <c r="C627" s="219"/>
      <c r="D627" s="219"/>
      <c r="E627" s="219"/>
      <c r="F627" s="219"/>
      <c r="G627" s="219"/>
      <c r="H627" s="219"/>
      <c r="I627" s="219"/>
      <c r="J627" s="219"/>
      <c r="K627" s="219"/>
      <c r="L627" s="219"/>
      <c r="M627" s="219"/>
      <c r="N627" s="219"/>
      <c r="O627" s="219"/>
      <c r="P627" s="219"/>
      <c r="Q627" s="221"/>
    </row>
    <row r="628" spans="2:17" x14ac:dyDescent="0.2">
      <c r="B628" s="219"/>
      <c r="C628" s="219"/>
      <c r="D628" s="219"/>
      <c r="E628" s="219"/>
      <c r="F628" s="219"/>
      <c r="G628" s="219"/>
      <c r="H628" s="219"/>
      <c r="I628" s="219"/>
      <c r="J628" s="219"/>
      <c r="K628" s="219"/>
      <c r="L628" s="219"/>
      <c r="M628" s="219"/>
      <c r="N628" s="219"/>
      <c r="O628" s="219"/>
      <c r="P628" s="219"/>
      <c r="Q628" s="221"/>
    </row>
    <row r="629" spans="2:17" x14ac:dyDescent="0.2">
      <c r="B629" s="219"/>
      <c r="C629" s="219"/>
      <c r="D629" s="219"/>
      <c r="E629" s="219"/>
      <c r="F629" s="219"/>
      <c r="G629" s="219"/>
      <c r="H629" s="219"/>
      <c r="I629" s="219"/>
      <c r="J629" s="219"/>
      <c r="K629" s="219"/>
      <c r="L629" s="219"/>
      <c r="M629" s="219"/>
      <c r="N629" s="219"/>
      <c r="O629" s="219"/>
      <c r="P629" s="219"/>
      <c r="Q629" s="221"/>
    </row>
    <row r="630" spans="2:17" x14ac:dyDescent="0.2">
      <c r="B630" s="219"/>
      <c r="C630" s="219"/>
      <c r="D630" s="219"/>
      <c r="E630" s="219"/>
      <c r="F630" s="219"/>
      <c r="G630" s="219"/>
      <c r="H630" s="219"/>
      <c r="I630" s="219"/>
      <c r="J630" s="219"/>
      <c r="K630" s="219"/>
      <c r="L630" s="219"/>
      <c r="M630" s="219"/>
      <c r="N630" s="219"/>
      <c r="O630" s="219"/>
      <c r="P630" s="219"/>
      <c r="Q630" s="221"/>
    </row>
    <row r="631" spans="2:17" x14ac:dyDescent="0.2">
      <c r="B631" s="219"/>
      <c r="C631" s="219"/>
      <c r="D631" s="219"/>
      <c r="E631" s="219"/>
      <c r="F631" s="219"/>
      <c r="G631" s="219"/>
      <c r="H631" s="219"/>
      <c r="I631" s="219"/>
      <c r="J631" s="219"/>
      <c r="K631" s="219"/>
      <c r="L631" s="219"/>
      <c r="M631" s="219"/>
      <c r="N631" s="219"/>
      <c r="O631" s="219"/>
      <c r="P631" s="219"/>
      <c r="Q631" s="221"/>
    </row>
    <row r="632" spans="2:17" x14ac:dyDescent="0.2">
      <c r="B632" s="219"/>
      <c r="C632" s="219"/>
      <c r="D632" s="219"/>
      <c r="E632" s="219"/>
      <c r="F632" s="219"/>
      <c r="G632" s="219"/>
      <c r="H632" s="219"/>
      <c r="I632" s="219"/>
      <c r="J632" s="219"/>
      <c r="K632" s="219"/>
      <c r="L632" s="219"/>
      <c r="M632" s="219"/>
      <c r="N632" s="219"/>
      <c r="O632" s="219"/>
      <c r="P632" s="219"/>
      <c r="Q632" s="221"/>
    </row>
    <row r="633" spans="2:17" x14ac:dyDescent="0.2">
      <c r="B633" s="219"/>
      <c r="C633" s="219"/>
      <c r="D633" s="219"/>
      <c r="E633" s="219"/>
      <c r="F633" s="219"/>
      <c r="G633" s="219"/>
      <c r="H633" s="219"/>
      <c r="I633" s="219"/>
      <c r="J633" s="219"/>
      <c r="K633" s="219"/>
      <c r="L633" s="219"/>
      <c r="M633" s="219"/>
      <c r="N633" s="219"/>
      <c r="O633" s="219"/>
      <c r="P633" s="219"/>
      <c r="Q633" s="221"/>
    </row>
    <row r="634" spans="2:17" x14ac:dyDescent="0.2">
      <c r="B634" s="219"/>
      <c r="C634" s="219"/>
      <c r="D634" s="219"/>
      <c r="E634" s="219"/>
      <c r="F634" s="219"/>
      <c r="G634" s="219"/>
      <c r="H634" s="219"/>
      <c r="I634" s="219"/>
      <c r="J634" s="219"/>
      <c r="K634" s="219"/>
      <c r="L634" s="219"/>
      <c r="M634" s="219"/>
      <c r="N634" s="219"/>
      <c r="O634" s="219"/>
      <c r="P634" s="219"/>
      <c r="Q634" s="221"/>
    </row>
    <row r="635" spans="2:17" x14ac:dyDescent="0.2">
      <c r="B635" s="219"/>
      <c r="C635" s="219"/>
      <c r="D635" s="219"/>
      <c r="E635" s="219"/>
      <c r="F635" s="219"/>
      <c r="G635" s="219"/>
      <c r="H635" s="219"/>
      <c r="I635" s="219"/>
      <c r="J635" s="219"/>
      <c r="K635" s="219"/>
      <c r="L635" s="219"/>
      <c r="M635" s="219"/>
      <c r="N635" s="219"/>
      <c r="O635" s="219"/>
      <c r="P635" s="219"/>
      <c r="Q635" s="221"/>
    </row>
    <row r="636" spans="2:17" x14ac:dyDescent="0.2">
      <c r="B636" s="219"/>
      <c r="C636" s="219"/>
      <c r="D636" s="219"/>
      <c r="E636" s="219"/>
      <c r="F636" s="219"/>
      <c r="G636" s="219"/>
      <c r="H636" s="219"/>
      <c r="I636" s="219"/>
      <c r="J636" s="219"/>
      <c r="K636" s="219"/>
      <c r="L636" s="219"/>
      <c r="M636" s="219"/>
      <c r="N636" s="219"/>
      <c r="O636" s="219"/>
      <c r="P636" s="219"/>
      <c r="Q636" s="221"/>
    </row>
    <row r="637" spans="2:17" x14ac:dyDescent="0.2">
      <c r="B637" s="219"/>
      <c r="C637" s="219"/>
      <c r="D637" s="219"/>
      <c r="E637" s="219"/>
      <c r="F637" s="219"/>
      <c r="G637" s="219"/>
      <c r="H637" s="219"/>
      <c r="I637" s="219"/>
      <c r="J637" s="219"/>
      <c r="K637" s="219"/>
      <c r="L637" s="219"/>
      <c r="M637" s="219"/>
      <c r="N637" s="219"/>
      <c r="O637" s="219"/>
      <c r="P637" s="219"/>
      <c r="Q637" s="221"/>
    </row>
    <row r="638" spans="2:17" x14ac:dyDescent="0.2">
      <c r="B638" s="219"/>
      <c r="C638" s="219"/>
      <c r="D638" s="219"/>
      <c r="E638" s="219"/>
      <c r="F638" s="219"/>
      <c r="G638" s="219"/>
      <c r="H638" s="219"/>
      <c r="I638" s="219"/>
      <c r="J638" s="219"/>
      <c r="K638" s="219"/>
      <c r="L638" s="219"/>
      <c r="M638" s="219"/>
      <c r="N638" s="219"/>
      <c r="O638" s="219"/>
      <c r="P638" s="219"/>
      <c r="Q638" s="221"/>
    </row>
    <row r="639" spans="2:17" x14ac:dyDescent="0.2">
      <c r="B639" s="219"/>
      <c r="C639" s="219"/>
      <c r="D639" s="219"/>
      <c r="E639" s="219"/>
      <c r="F639" s="219"/>
      <c r="G639" s="219"/>
      <c r="H639" s="219"/>
      <c r="I639" s="219"/>
      <c r="J639" s="219"/>
      <c r="K639" s="219"/>
      <c r="L639" s="219"/>
      <c r="M639" s="219"/>
      <c r="N639" s="219"/>
      <c r="O639" s="219"/>
      <c r="P639" s="219"/>
      <c r="Q639" s="221"/>
    </row>
    <row r="640" spans="2:17" x14ac:dyDescent="0.2">
      <c r="B640" s="219"/>
      <c r="C640" s="219"/>
      <c r="D640" s="219"/>
      <c r="E640" s="219"/>
      <c r="F640" s="219"/>
      <c r="G640" s="219"/>
      <c r="H640" s="219"/>
      <c r="I640" s="219"/>
      <c r="J640" s="219"/>
      <c r="K640" s="219"/>
      <c r="L640" s="219"/>
      <c r="M640" s="219"/>
      <c r="N640" s="219"/>
      <c r="O640" s="219"/>
      <c r="P640" s="219"/>
      <c r="Q640" s="221"/>
    </row>
    <row r="641" spans="2:17" x14ac:dyDescent="0.2">
      <c r="B641" s="219"/>
      <c r="C641" s="219"/>
      <c r="D641" s="219"/>
      <c r="E641" s="219"/>
      <c r="F641" s="219"/>
      <c r="G641" s="219"/>
      <c r="H641" s="219"/>
      <c r="I641" s="219"/>
      <c r="J641" s="219"/>
      <c r="K641" s="219"/>
      <c r="L641" s="219"/>
      <c r="M641" s="219"/>
      <c r="N641" s="219"/>
      <c r="O641" s="219"/>
      <c r="P641" s="219"/>
      <c r="Q641" s="221"/>
    </row>
    <row r="642" spans="2:17" x14ac:dyDescent="0.2">
      <c r="B642" s="219"/>
      <c r="C642" s="219"/>
      <c r="D642" s="219"/>
      <c r="E642" s="219"/>
      <c r="F642" s="219"/>
      <c r="G642" s="219"/>
      <c r="H642" s="219"/>
      <c r="I642" s="219"/>
      <c r="J642" s="219"/>
      <c r="K642" s="219"/>
      <c r="L642" s="219"/>
      <c r="M642" s="219"/>
      <c r="N642" s="219"/>
      <c r="O642" s="219"/>
      <c r="P642" s="219"/>
      <c r="Q642" s="221"/>
    </row>
    <row r="643" spans="2:17" x14ac:dyDescent="0.2">
      <c r="B643" s="219"/>
      <c r="C643" s="219"/>
      <c r="D643" s="219"/>
      <c r="E643" s="219"/>
      <c r="F643" s="219"/>
      <c r="G643" s="219"/>
      <c r="H643" s="219"/>
      <c r="I643" s="219"/>
      <c r="J643" s="219"/>
      <c r="K643" s="219"/>
      <c r="L643" s="219"/>
      <c r="M643" s="219"/>
      <c r="N643" s="219"/>
      <c r="O643" s="219"/>
      <c r="P643" s="219"/>
      <c r="Q643" s="221"/>
    </row>
    <row r="644" spans="2:17" x14ac:dyDescent="0.2">
      <c r="B644" s="219"/>
      <c r="C644" s="219"/>
      <c r="D644" s="219"/>
      <c r="E644" s="219"/>
      <c r="F644" s="219"/>
      <c r="G644" s="219"/>
      <c r="H644" s="219"/>
      <c r="I644" s="219"/>
      <c r="J644" s="219"/>
      <c r="K644" s="219"/>
      <c r="L644" s="219"/>
      <c r="M644" s="219"/>
      <c r="N644" s="219"/>
      <c r="O644" s="219"/>
      <c r="P644" s="219"/>
      <c r="Q644" s="221"/>
    </row>
    <row r="645" spans="2:17" x14ac:dyDescent="0.2">
      <c r="B645" s="219"/>
      <c r="C645" s="219"/>
      <c r="D645" s="219"/>
      <c r="E645" s="219"/>
      <c r="F645" s="219"/>
      <c r="G645" s="219"/>
      <c r="H645" s="219"/>
      <c r="I645" s="219"/>
      <c r="J645" s="219"/>
      <c r="K645" s="219"/>
      <c r="L645" s="219"/>
      <c r="M645" s="219"/>
      <c r="N645" s="219"/>
      <c r="O645" s="219"/>
      <c r="P645" s="219"/>
      <c r="Q645" s="221"/>
    </row>
    <row r="646" spans="2:17" x14ac:dyDescent="0.2">
      <c r="B646" s="219"/>
      <c r="C646" s="219"/>
      <c r="D646" s="219"/>
      <c r="E646" s="219"/>
      <c r="F646" s="219"/>
      <c r="G646" s="219"/>
      <c r="H646" s="219"/>
      <c r="I646" s="219"/>
      <c r="J646" s="219"/>
      <c r="K646" s="219"/>
      <c r="L646" s="219"/>
      <c r="M646" s="219"/>
      <c r="N646" s="219"/>
      <c r="O646" s="219"/>
      <c r="P646" s="219"/>
      <c r="Q646" s="221"/>
    </row>
    <row r="647" spans="2:17" x14ac:dyDescent="0.2">
      <c r="B647" s="219"/>
      <c r="C647" s="219"/>
      <c r="D647" s="219"/>
      <c r="E647" s="219"/>
      <c r="F647" s="219"/>
      <c r="G647" s="219"/>
      <c r="H647" s="219"/>
      <c r="I647" s="219"/>
      <c r="J647" s="219"/>
      <c r="K647" s="219"/>
      <c r="L647" s="219"/>
      <c r="M647" s="219"/>
      <c r="N647" s="219"/>
      <c r="O647" s="219"/>
      <c r="P647" s="219"/>
      <c r="Q647" s="221"/>
    </row>
    <row r="648" spans="2:17" x14ac:dyDescent="0.2">
      <c r="B648" s="219"/>
      <c r="C648" s="219"/>
      <c r="D648" s="219"/>
      <c r="E648" s="219"/>
      <c r="F648" s="219"/>
      <c r="G648" s="219"/>
      <c r="H648" s="219"/>
      <c r="I648" s="219"/>
      <c r="J648" s="219"/>
      <c r="K648" s="219"/>
      <c r="L648" s="219"/>
      <c r="M648" s="219"/>
      <c r="N648" s="219"/>
      <c r="O648" s="219"/>
      <c r="P648" s="219"/>
      <c r="Q648" s="221"/>
    </row>
    <row r="649" spans="2:17" x14ac:dyDescent="0.2">
      <c r="B649" s="219"/>
      <c r="C649" s="219"/>
      <c r="D649" s="219"/>
      <c r="E649" s="219"/>
      <c r="F649" s="219"/>
      <c r="G649" s="219"/>
      <c r="H649" s="219"/>
      <c r="I649" s="219"/>
      <c r="J649" s="219"/>
      <c r="K649" s="219"/>
      <c r="L649" s="219"/>
      <c r="M649" s="219"/>
      <c r="N649" s="219"/>
      <c r="O649" s="219"/>
      <c r="P649" s="219"/>
      <c r="Q649" s="221"/>
    </row>
    <row r="650" spans="2:17" x14ac:dyDescent="0.2">
      <c r="B650" s="219"/>
      <c r="C650" s="219"/>
      <c r="D650" s="219"/>
      <c r="E650" s="219"/>
      <c r="F650" s="219"/>
      <c r="G650" s="219"/>
      <c r="H650" s="219"/>
      <c r="I650" s="219"/>
      <c r="J650" s="219"/>
      <c r="K650" s="219"/>
      <c r="L650" s="219"/>
      <c r="M650" s="219"/>
      <c r="N650" s="219"/>
      <c r="O650" s="219"/>
      <c r="P650" s="219"/>
      <c r="Q650" s="221"/>
    </row>
    <row r="651" spans="2:17" x14ac:dyDescent="0.2">
      <c r="B651" s="219"/>
      <c r="C651" s="219"/>
      <c r="D651" s="219"/>
      <c r="E651" s="219"/>
      <c r="F651" s="219"/>
      <c r="G651" s="219"/>
      <c r="H651" s="219"/>
      <c r="I651" s="219"/>
      <c r="J651" s="219"/>
      <c r="K651" s="219"/>
      <c r="L651" s="219"/>
      <c r="M651" s="219"/>
      <c r="N651" s="219"/>
      <c r="O651" s="219"/>
      <c r="P651" s="219"/>
      <c r="Q651" s="221"/>
    </row>
    <row r="652" spans="2:17" x14ac:dyDescent="0.2">
      <c r="B652" s="219"/>
      <c r="C652" s="219"/>
      <c r="D652" s="219"/>
      <c r="E652" s="219"/>
      <c r="F652" s="219"/>
      <c r="G652" s="219"/>
      <c r="H652" s="219"/>
      <c r="I652" s="219"/>
      <c r="J652" s="219"/>
      <c r="K652" s="219"/>
      <c r="L652" s="219"/>
      <c r="M652" s="219"/>
      <c r="N652" s="219"/>
      <c r="O652" s="219"/>
      <c r="P652" s="219"/>
      <c r="Q652" s="221"/>
    </row>
    <row r="653" spans="2:17" x14ac:dyDescent="0.2">
      <c r="B653" s="219"/>
      <c r="C653" s="219"/>
      <c r="D653" s="219"/>
      <c r="E653" s="219"/>
      <c r="F653" s="219"/>
      <c r="G653" s="219"/>
      <c r="H653" s="219"/>
      <c r="I653" s="219"/>
      <c r="J653" s="219"/>
      <c r="K653" s="219"/>
      <c r="L653" s="219"/>
      <c r="M653" s="219"/>
      <c r="N653" s="219"/>
      <c r="O653" s="219"/>
      <c r="P653" s="219"/>
      <c r="Q653" s="221"/>
    </row>
    <row r="654" spans="2:17" x14ac:dyDescent="0.2">
      <c r="B654" s="219"/>
      <c r="C654" s="219"/>
      <c r="D654" s="219"/>
      <c r="E654" s="219"/>
      <c r="F654" s="219"/>
      <c r="G654" s="219"/>
      <c r="H654" s="219"/>
      <c r="I654" s="219"/>
      <c r="J654" s="219"/>
      <c r="K654" s="219"/>
      <c r="L654" s="219"/>
      <c r="M654" s="219"/>
      <c r="N654" s="219"/>
      <c r="O654" s="219"/>
      <c r="P654" s="219"/>
      <c r="Q654" s="221"/>
    </row>
    <row r="655" spans="2:17" x14ac:dyDescent="0.2">
      <c r="B655" s="219"/>
      <c r="C655" s="219"/>
      <c r="D655" s="219"/>
      <c r="E655" s="219"/>
      <c r="F655" s="219"/>
      <c r="G655" s="219"/>
      <c r="H655" s="219"/>
      <c r="I655" s="219"/>
      <c r="J655" s="219"/>
      <c r="K655" s="219"/>
      <c r="L655" s="219"/>
      <c r="M655" s="219"/>
      <c r="N655" s="219"/>
      <c r="O655" s="219"/>
      <c r="P655" s="219"/>
      <c r="Q655" s="221"/>
    </row>
    <row r="656" spans="2:17" x14ac:dyDescent="0.2">
      <c r="B656" s="219"/>
      <c r="C656" s="219"/>
      <c r="D656" s="219"/>
      <c r="E656" s="219"/>
      <c r="F656" s="219"/>
      <c r="G656" s="219"/>
      <c r="H656" s="219"/>
      <c r="I656" s="219"/>
      <c r="J656" s="219"/>
      <c r="K656" s="219"/>
      <c r="L656" s="219"/>
      <c r="M656" s="219"/>
      <c r="N656" s="219"/>
      <c r="O656" s="219"/>
      <c r="P656" s="219"/>
      <c r="Q656" s="221"/>
    </row>
    <row r="657" spans="2:17" x14ac:dyDescent="0.2">
      <c r="B657" s="219"/>
      <c r="C657" s="219"/>
      <c r="D657" s="219"/>
      <c r="E657" s="219"/>
      <c r="F657" s="219"/>
      <c r="G657" s="219"/>
      <c r="H657" s="219"/>
      <c r="I657" s="219"/>
      <c r="J657" s="219"/>
      <c r="K657" s="219"/>
      <c r="L657" s="219"/>
      <c r="M657" s="219"/>
      <c r="N657" s="219"/>
      <c r="O657" s="219"/>
      <c r="P657" s="219"/>
      <c r="Q657" s="221"/>
    </row>
    <row r="658" spans="2:17" x14ac:dyDescent="0.2">
      <c r="B658" s="219"/>
      <c r="C658" s="219"/>
      <c r="D658" s="219"/>
      <c r="E658" s="219"/>
      <c r="F658" s="219"/>
      <c r="G658" s="219"/>
      <c r="H658" s="219"/>
      <c r="I658" s="219"/>
      <c r="J658" s="219"/>
      <c r="K658" s="219"/>
      <c r="L658" s="219"/>
      <c r="M658" s="219"/>
      <c r="N658" s="219"/>
      <c r="O658" s="219"/>
      <c r="P658" s="219"/>
      <c r="Q658" s="221"/>
    </row>
    <row r="659" spans="2:17" x14ac:dyDescent="0.2">
      <c r="B659" s="219"/>
      <c r="C659" s="219"/>
      <c r="D659" s="219"/>
      <c r="E659" s="219"/>
      <c r="F659" s="219"/>
      <c r="G659" s="219"/>
      <c r="H659" s="219"/>
      <c r="I659" s="219"/>
      <c r="J659" s="219"/>
      <c r="K659" s="219"/>
      <c r="L659" s="219"/>
      <c r="M659" s="219"/>
      <c r="N659" s="219"/>
      <c r="O659" s="219"/>
      <c r="P659" s="219"/>
      <c r="Q659" s="221"/>
    </row>
    <row r="660" spans="2:17" x14ac:dyDescent="0.2">
      <c r="B660" s="219"/>
      <c r="C660" s="219"/>
      <c r="D660" s="219"/>
      <c r="E660" s="219"/>
      <c r="F660" s="219"/>
      <c r="G660" s="219"/>
      <c r="H660" s="219"/>
      <c r="I660" s="219"/>
      <c r="J660" s="219"/>
      <c r="K660" s="219"/>
      <c r="L660" s="219"/>
      <c r="M660" s="219"/>
      <c r="N660" s="219"/>
      <c r="O660" s="219"/>
      <c r="P660" s="219"/>
      <c r="Q660" s="221"/>
    </row>
    <row r="661" spans="2:17" x14ac:dyDescent="0.2">
      <c r="B661" s="219"/>
      <c r="C661" s="219"/>
      <c r="D661" s="219"/>
      <c r="E661" s="219"/>
      <c r="F661" s="219"/>
      <c r="G661" s="219"/>
      <c r="H661" s="219"/>
      <c r="I661" s="219"/>
      <c r="J661" s="219"/>
      <c r="K661" s="219"/>
      <c r="L661" s="219"/>
      <c r="M661" s="219"/>
      <c r="N661" s="219"/>
      <c r="O661" s="219"/>
      <c r="P661" s="219"/>
      <c r="Q661" s="221"/>
    </row>
    <row r="662" spans="2:17" x14ac:dyDescent="0.2">
      <c r="B662" s="219"/>
      <c r="C662" s="219"/>
      <c r="D662" s="219"/>
      <c r="E662" s="219"/>
      <c r="F662" s="219"/>
      <c r="G662" s="219"/>
      <c r="H662" s="219"/>
      <c r="I662" s="219"/>
      <c r="J662" s="219"/>
      <c r="K662" s="219"/>
      <c r="L662" s="219"/>
      <c r="M662" s="219"/>
      <c r="N662" s="219"/>
      <c r="O662" s="219"/>
      <c r="P662" s="219"/>
      <c r="Q662" s="221"/>
    </row>
    <row r="663" spans="2:17" x14ac:dyDescent="0.2">
      <c r="B663" s="219"/>
      <c r="C663" s="219"/>
      <c r="D663" s="219"/>
      <c r="E663" s="219"/>
      <c r="F663" s="219"/>
      <c r="G663" s="219"/>
      <c r="H663" s="219"/>
      <c r="I663" s="219"/>
      <c r="J663" s="219"/>
      <c r="K663" s="219"/>
      <c r="L663" s="219"/>
      <c r="M663" s="219"/>
      <c r="N663" s="219"/>
      <c r="O663" s="219"/>
      <c r="P663" s="219"/>
      <c r="Q663" s="221"/>
    </row>
    <row r="664" spans="2:17" x14ac:dyDescent="0.2">
      <c r="B664" s="219"/>
      <c r="C664" s="219"/>
      <c r="D664" s="219"/>
      <c r="E664" s="219"/>
      <c r="F664" s="219"/>
      <c r="G664" s="219"/>
      <c r="H664" s="219"/>
      <c r="I664" s="219"/>
      <c r="J664" s="219"/>
      <c r="K664" s="219"/>
      <c r="L664" s="219"/>
      <c r="M664" s="219"/>
      <c r="N664" s="219"/>
      <c r="O664" s="219"/>
      <c r="P664" s="219"/>
      <c r="Q664" s="221"/>
    </row>
    <row r="665" spans="2:17" x14ac:dyDescent="0.2">
      <c r="B665" s="219"/>
      <c r="C665" s="219"/>
      <c r="D665" s="219"/>
      <c r="E665" s="219"/>
      <c r="F665" s="219"/>
      <c r="G665" s="219"/>
      <c r="H665" s="219"/>
      <c r="I665" s="219"/>
      <c r="J665" s="219"/>
      <c r="K665" s="219"/>
      <c r="L665" s="219"/>
      <c r="M665" s="219"/>
      <c r="N665" s="219"/>
      <c r="O665" s="219"/>
      <c r="P665" s="219"/>
      <c r="Q665" s="221"/>
    </row>
    <row r="666" spans="2:17" x14ac:dyDescent="0.2">
      <c r="B666" s="219"/>
      <c r="C666" s="219"/>
      <c r="D666" s="219"/>
      <c r="E666" s="219"/>
      <c r="F666" s="219"/>
      <c r="G666" s="219"/>
      <c r="H666" s="219"/>
      <c r="I666" s="219"/>
      <c r="J666" s="219"/>
      <c r="K666" s="219"/>
      <c r="L666" s="219"/>
      <c r="M666" s="219"/>
      <c r="N666" s="219"/>
      <c r="O666" s="219"/>
      <c r="P666" s="219"/>
      <c r="Q666" s="221"/>
    </row>
    <row r="667" spans="2:17" x14ac:dyDescent="0.2">
      <c r="B667" s="219"/>
      <c r="C667" s="219"/>
      <c r="D667" s="219"/>
      <c r="E667" s="219"/>
      <c r="F667" s="219"/>
      <c r="G667" s="219"/>
      <c r="H667" s="219"/>
      <c r="I667" s="219"/>
      <c r="J667" s="219"/>
      <c r="K667" s="219"/>
      <c r="L667" s="219"/>
      <c r="M667" s="219"/>
      <c r="N667" s="219"/>
      <c r="O667" s="219"/>
      <c r="P667" s="219"/>
      <c r="Q667" s="221"/>
    </row>
    <row r="668" spans="2:17" x14ac:dyDescent="0.2">
      <c r="B668" s="219"/>
      <c r="C668" s="219"/>
      <c r="D668" s="219"/>
      <c r="E668" s="219"/>
      <c r="F668" s="219"/>
      <c r="G668" s="219"/>
      <c r="H668" s="219"/>
      <c r="I668" s="219"/>
      <c r="J668" s="219"/>
      <c r="K668" s="219"/>
      <c r="L668" s="219"/>
      <c r="M668" s="219"/>
      <c r="N668" s="219"/>
      <c r="O668" s="219"/>
      <c r="P668" s="219"/>
      <c r="Q668" s="221"/>
    </row>
    <row r="669" spans="2:17" x14ac:dyDescent="0.2">
      <c r="B669" s="219"/>
      <c r="C669" s="219"/>
      <c r="D669" s="219"/>
      <c r="E669" s="219"/>
      <c r="F669" s="219"/>
      <c r="G669" s="219"/>
      <c r="H669" s="219"/>
      <c r="I669" s="219"/>
      <c r="J669" s="219"/>
      <c r="K669" s="219"/>
      <c r="L669" s="219"/>
      <c r="M669" s="219"/>
      <c r="N669" s="219"/>
      <c r="O669" s="219"/>
      <c r="P669" s="219"/>
      <c r="Q669" s="221"/>
    </row>
    <row r="670" spans="2:17" x14ac:dyDescent="0.2">
      <c r="B670" s="219"/>
      <c r="C670" s="219"/>
      <c r="D670" s="219"/>
      <c r="E670" s="219"/>
      <c r="F670" s="219"/>
      <c r="G670" s="219"/>
      <c r="H670" s="219"/>
      <c r="I670" s="219"/>
      <c r="J670" s="219"/>
      <c r="K670" s="219"/>
      <c r="L670" s="219"/>
      <c r="M670" s="219"/>
      <c r="N670" s="219"/>
      <c r="O670" s="219"/>
      <c r="P670" s="219"/>
      <c r="Q670" s="221"/>
    </row>
    <row r="671" spans="2:17" x14ac:dyDescent="0.2">
      <c r="B671" s="219"/>
      <c r="C671" s="219"/>
      <c r="D671" s="219"/>
      <c r="E671" s="219"/>
      <c r="F671" s="219"/>
      <c r="G671" s="219"/>
      <c r="H671" s="219"/>
      <c r="I671" s="219"/>
      <c r="J671" s="219"/>
      <c r="K671" s="219"/>
      <c r="L671" s="219"/>
      <c r="M671" s="219"/>
      <c r="N671" s="219"/>
      <c r="O671" s="219"/>
      <c r="P671" s="219"/>
      <c r="Q671" s="221"/>
    </row>
    <row r="672" spans="2:17" x14ac:dyDescent="0.2">
      <c r="B672" s="219"/>
      <c r="C672" s="219"/>
      <c r="D672" s="219"/>
      <c r="E672" s="219"/>
      <c r="F672" s="219"/>
      <c r="G672" s="219"/>
      <c r="H672" s="219"/>
      <c r="I672" s="219"/>
      <c r="J672" s="219"/>
      <c r="K672" s="219"/>
      <c r="L672" s="219"/>
      <c r="M672" s="219"/>
      <c r="N672" s="219"/>
      <c r="O672" s="219"/>
      <c r="P672" s="219"/>
      <c r="Q672" s="221"/>
    </row>
    <row r="673" spans="2:17" x14ac:dyDescent="0.2">
      <c r="B673" s="219"/>
      <c r="C673" s="219"/>
      <c r="D673" s="219"/>
      <c r="E673" s="219"/>
      <c r="F673" s="219"/>
      <c r="G673" s="219"/>
      <c r="H673" s="219"/>
      <c r="I673" s="219"/>
      <c r="J673" s="219"/>
      <c r="K673" s="219"/>
      <c r="L673" s="219"/>
      <c r="M673" s="219"/>
      <c r="N673" s="219"/>
      <c r="O673" s="219"/>
      <c r="P673" s="219"/>
      <c r="Q673" s="221"/>
    </row>
    <row r="674" spans="2:17" x14ac:dyDescent="0.2">
      <c r="B674" s="219"/>
      <c r="C674" s="219"/>
      <c r="D674" s="219"/>
      <c r="E674" s="219"/>
      <c r="F674" s="219"/>
      <c r="G674" s="219"/>
      <c r="H674" s="219"/>
      <c r="I674" s="219"/>
      <c r="J674" s="219"/>
      <c r="K674" s="219"/>
      <c r="L674" s="219"/>
      <c r="M674" s="219"/>
      <c r="N674" s="219"/>
      <c r="O674" s="219"/>
      <c r="P674" s="219"/>
      <c r="Q674" s="221"/>
    </row>
    <row r="675" spans="2:17" x14ac:dyDescent="0.2">
      <c r="B675" s="219"/>
      <c r="C675" s="219"/>
      <c r="D675" s="219"/>
      <c r="E675" s="219"/>
      <c r="F675" s="219"/>
      <c r="G675" s="219"/>
      <c r="H675" s="219"/>
      <c r="I675" s="219"/>
      <c r="J675" s="219"/>
      <c r="K675" s="219"/>
      <c r="L675" s="219"/>
      <c r="M675" s="219"/>
      <c r="N675" s="219"/>
      <c r="O675" s="219"/>
      <c r="P675" s="219"/>
      <c r="Q675" s="221"/>
    </row>
    <row r="676" spans="2:17" x14ac:dyDescent="0.2">
      <c r="B676" s="219"/>
      <c r="C676" s="219"/>
      <c r="D676" s="219"/>
      <c r="E676" s="219"/>
      <c r="F676" s="219"/>
      <c r="G676" s="219"/>
      <c r="H676" s="219"/>
      <c r="I676" s="219"/>
      <c r="J676" s="219"/>
      <c r="K676" s="219"/>
      <c r="L676" s="219"/>
      <c r="M676" s="219"/>
      <c r="N676" s="219"/>
      <c r="O676" s="219"/>
      <c r="P676" s="219"/>
      <c r="Q676" s="221"/>
    </row>
    <row r="677" spans="2:17" x14ac:dyDescent="0.2">
      <c r="B677" s="219"/>
      <c r="C677" s="219"/>
      <c r="D677" s="219"/>
      <c r="E677" s="219"/>
      <c r="F677" s="219"/>
      <c r="G677" s="219"/>
      <c r="H677" s="219"/>
      <c r="I677" s="219"/>
      <c r="J677" s="219"/>
      <c r="K677" s="219"/>
      <c r="L677" s="219"/>
      <c r="M677" s="219"/>
      <c r="N677" s="219"/>
      <c r="O677" s="219"/>
      <c r="P677" s="219"/>
      <c r="Q677" s="221"/>
    </row>
    <row r="678" spans="2:17" x14ac:dyDescent="0.2">
      <c r="B678" s="219"/>
      <c r="C678" s="219"/>
      <c r="D678" s="219"/>
      <c r="E678" s="219"/>
      <c r="F678" s="219"/>
      <c r="G678" s="219"/>
      <c r="H678" s="219"/>
      <c r="I678" s="219"/>
      <c r="J678" s="219"/>
      <c r="K678" s="219"/>
      <c r="L678" s="219"/>
      <c r="M678" s="219"/>
      <c r="N678" s="219"/>
      <c r="O678" s="219"/>
      <c r="P678" s="219"/>
      <c r="Q678" s="221"/>
    </row>
    <row r="679" spans="2:17" x14ac:dyDescent="0.2">
      <c r="B679" s="219"/>
      <c r="C679" s="219"/>
      <c r="D679" s="219"/>
      <c r="E679" s="219"/>
      <c r="F679" s="219"/>
      <c r="G679" s="219"/>
      <c r="H679" s="219"/>
      <c r="I679" s="219"/>
      <c r="J679" s="219"/>
      <c r="K679" s="219"/>
      <c r="L679" s="219"/>
      <c r="M679" s="219"/>
      <c r="N679" s="219"/>
      <c r="O679" s="219"/>
      <c r="P679" s="219"/>
      <c r="Q679" s="221"/>
    </row>
    <row r="680" spans="2:17" x14ac:dyDescent="0.2">
      <c r="B680" s="219"/>
      <c r="C680" s="219"/>
      <c r="D680" s="219"/>
      <c r="E680" s="219"/>
      <c r="F680" s="219"/>
      <c r="G680" s="219"/>
      <c r="H680" s="219"/>
      <c r="I680" s="219"/>
      <c r="J680" s="219"/>
      <c r="K680" s="219"/>
      <c r="L680" s="219"/>
      <c r="M680" s="219"/>
      <c r="N680" s="219"/>
      <c r="O680" s="219"/>
      <c r="P680" s="219"/>
      <c r="Q680" s="221"/>
    </row>
    <row r="681" spans="2:17" x14ac:dyDescent="0.2">
      <c r="B681" s="219"/>
      <c r="C681" s="219"/>
      <c r="D681" s="219"/>
      <c r="E681" s="219"/>
      <c r="F681" s="219"/>
      <c r="G681" s="219"/>
      <c r="H681" s="219"/>
      <c r="I681" s="219"/>
      <c r="J681" s="219"/>
      <c r="K681" s="219"/>
      <c r="L681" s="219"/>
      <c r="M681" s="219"/>
      <c r="N681" s="219"/>
      <c r="O681" s="219"/>
      <c r="P681" s="219"/>
      <c r="Q681" s="221"/>
    </row>
    <row r="682" spans="2:17" x14ac:dyDescent="0.2">
      <c r="B682" s="219"/>
      <c r="C682" s="219"/>
      <c r="D682" s="219"/>
      <c r="E682" s="219"/>
      <c r="F682" s="219"/>
      <c r="G682" s="219"/>
      <c r="H682" s="219"/>
      <c r="I682" s="219"/>
      <c r="J682" s="219"/>
      <c r="K682" s="219"/>
      <c r="L682" s="219"/>
      <c r="M682" s="219"/>
      <c r="N682" s="219"/>
      <c r="O682" s="219"/>
      <c r="P682" s="219"/>
      <c r="Q682" s="221"/>
    </row>
    <row r="683" spans="2:17" x14ac:dyDescent="0.2">
      <c r="B683" s="219"/>
      <c r="C683" s="219"/>
      <c r="D683" s="219"/>
      <c r="E683" s="219"/>
      <c r="F683" s="219"/>
      <c r="G683" s="219"/>
      <c r="H683" s="219"/>
      <c r="I683" s="219"/>
      <c r="J683" s="219"/>
      <c r="K683" s="219"/>
      <c r="L683" s="219"/>
      <c r="M683" s="219"/>
      <c r="N683" s="219"/>
      <c r="O683" s="219"/>
      <c r="P683" s="219"/>
      <c r="Q683" s="221"/>
    </row>
    <row r="684" spans="2:17" x14ac:dyDescent="0.2">
      <c r="B684" s="219"/>
      <c r="C684" s="219"/>
      <c r="D684" s="219"/>
      <c r="E684" s="219"/>
      <c r="F684" s="219"/>
      <c r="G684" s="219"/>
      <c r="H684" s="219"/>
      <c r="I684" s="219"/>
      <c r="J684" s="219"/>
      <c r="K684" s="219"/>
      <c r="L684" s="219"/>
      <c r="M684" s="219"/>
      <c r="N684" s="219"/>
      <c r="O684" s="219"/>
      <c r="P684" s="219"/>
      <c r="Q684" s="221"/>
    </row>
    <row r="685" spans="2:17" x14ac:dyDescent="0.2">
      <c r="B685" s="219"/>
      <c r="C685" s="219"/>
      <c r="D685" s="219"/>
      <c r="E685" s="219"/>
      <c r="F685" s="219"/>
      <c r="G685" s="219"/>
      <c r="H685" s="219"/>
      <c r="I685" s="219"/>
      <c r="J685" s="219"/>
      <c r="K685" s="219"/>
      <c r="L685" s="219"/>
      <c r="M685" s="219"/>
      <c r="N685" s="219"/>
      <c r="O685" s="219"/>
      <c r="P685" s="219"/>
      <c r="Q685" s="221"/>
    </row>
    <row r="686" spans="2:17" x14ac:dyDescent="0.2">
      <c r="B686" s="219"/>
      <c r="C686" s="219"/>
      <c r="D686" s="219"/>
      <c r="E686" s="219"/>
      <c r="F686" s="219"/>
      <c r="G686" s="219"/>
      <c r="H686" s="219"/>
      <c r="I686" s="219"/>
      <c r="J686" s="219"/>
      <c r="K686" s="219"/>
      <c r="L686" s="219"/>
      <c r="M686" s="219"/>
      <c r="N686" s="219"/>
      <c r="O686" s="219"/>
      <c r="P686" s="219"/>
      <c r="Q686" s="221"/>
    </row>
    <row r="687" spans="2:17" x14ac:dyDescent="0.2">
      <c r="B687" s="219"/>
      <c r="C687" s="219"/>
      <c r="D687" s="219"/>
      <c r="E687" s="219"/>
      <c r="F687" s="219"/>
      <c r="G687" s="219"/>
      <c r="H687" s="219"/>
      <c r="I687" s="219"/>
      <c r="J687" s="219"/>
      <c r="K687" s="219"/>
      <c r="L687" s="219"/>
      <c r="M687" s="219"/>
      <c r="N687" s="219"/>
      <c r="O687" s="219"/>
      <c r="P687" s="219"/>
      <c r="Q687" s="221"/>
    </row>
    <row r="688" spans="2:17" x14ac:dyDescent="0.2">
      <c r="B688" s="219"/>
      <c r="C688" s="219"/>
      <c r="D688" s="219"/>
      <c r="E688" s="219"/>
      <c r="F688" s="219"/>
      <c r="G688" s="219"/>
      <c r="H688" s="219"/>
      <c r="I688" s="219"/>
      <c r="J688" s="219"/>
      <c r="K688" s="219"/>
      <c r="L688" s="219"/>
      <c r="M688" s="219"/>
      <c r="N688" s="219"/>
      <c r="O688" s="219"/>
      <c r="P688" s="219"/>
      <c r="Q688" s="221"/>
    </row>
    <row r="689" spans="2:17" x14ac:dyDescent="0.2">
      <c r="B689" s="219"/>
      <c r="C689" s="219"/>
      <c r="D689" s="219"/>
      <c r="E689" s="219"/>
      <c r="F689" s="219"/>
      <c r="G689" s="219"/>
      <c r="H689" s="219"/>
      <c r="I689" s="219"/>
      <c r="J689" s="219"/>
      <c r="K689" s="219"/>
      <c r="L689" s="219"/>
      <c r="M689" s="219"/>
      <c r="N689" s="219"/>
      <c r="O689" s="219"/>
      <c r="P689" s="219"/>
      <c r="Q689" s="221"/>
    </row>
    <row r="690" spans="2:17" x14ac:dyDescent="0.2">
      <c r="B690" s="219"/>
      <c r="C690" s="219"/>
      <c r="D690" s="219"/>
      <c r="E690" s="219"/>
      <c r="F690" s="219"/>
      <c r="G690" s="219"/>
      <c r="H690" s="219"/>
      <c r="I690" s="219"/>
      <c r="J690" s="219"/>
      <c r="K690" s="219"/>
      <c r="L690" s="219"/>
      <c r="M690" s="219"/>
      <c r="N690" s="219"/>
      <c r="O690" s="219"/>
      <c r="P690" s="219"/>
      <c r="Q690" s="221"/>
    </row>
    <row r="691" spans="2:17" x14ac:dyDescent="0.2">
      <c r="B691" s="219"/>
      <c r="C691" s="219"/>
      <c r="D691" s="219"/>
      <c r="E691" s="219"/>
      <c r="F691" s="219"/>
      <c r="G691" s="219"/>
      <c r="H691" s="219"/>
      <c r="I691" s="219"/>
      <c r="J691" s="219"/>
      <c r="K691" s="219"/>
      <c r="L691" s="219"/>
      <c r="M691" s="219"/>
      <c r="N691" s="219"/>
      <c r="O691" s="219"/>
      <c r="P691" s="219"/>
      <c r="Q691" s="221"/>
    </row>
    <row r="692" spans="2:17" x14ac:dyDescent="0.2">
      <c r="B692" s="219"/>
      <c r="C692" s="219"/>
      <c r="D692" s="219"/>
      <c r="E692" s="219"/>
      <c r="F692" s="219"/>
      <c r="G692" s="219"/>
      <c r="H692" s="219"/>
      <c r="I692" s="219"/>
      <c r="J692" s="219"/>
      <c r="K692" s="219"/>
      <c r="L692" s="219"/>
      <c r="M692" s="219"/>
      <c r="N692" s="219"/>
      <c r="O692" s="219"/>
      <c r="P692" s="219"/>
      <c r="Q692" s="221"/>
    </row>
    <row r="693" spans="2:17" x14ac:dyDescent="0.2">
      <c r="B693" s="219"/>
      <c r="C693" s="219"/>
      <c r="D693" s="219"/>
      <c r="E693" s="219"/>
      <c r="F693" s="219"/>
      <c r="G693" s="219"/>
      <c r="H693" s="219"/>
      <c r="I693" s="219"/>
      <c r="J693" s="219"/>
      <c r="K693" s="219"/>
      <c r="L693" s="219"/>
      <c r="M693" s="219"/>
      <c r="N693" s="219"/>
      <c r="O693" s="219"/>
      <c r="P693" s="219"/>
      <c r="Q693" s="221"/>
    </row>
    <row r="694" spans="2:17" x14ac:dyDescent="0.2">
      <c r="B694" s="219"/>
      <c r="C694" s="219"/>
      <c r="D694" s="219"/>
      <c r="E694" s="219"/>
      <c r="F694" s="219"/>
      <c r="G694" s="219"/>
      <c r="H694" s="219"/>
      <c r="I694" s="219"/>
      <c r="J694" s="219"/>
      <c r="K694" s="219"/>
      <c r="L694" s="219"/>
      <c r="M694" s="219"/>
      <c r="N694" s="219"/>
      <c r="O694" s="219"/>
      <c r="P694" s="219"/>
      <c r="Q694" s="221"/>
    </row>
    <row r="695" spans="2:17" x14ac:dyDescent="0.2">
      <c r="B695" s="219"/>
      <c r="C695" s="219"/>
      <c r="D695" s="219"/>
      <c r="E695" s="219"/>
      <c r="F695" s="219"/>
      <c r="G695" s="219"/>
      <c r="H695" s="219"/>
      <c r="I695" s="219"/>
      <c r="J695" s="219"/>
      <c r="K695" s="219"/>
      <c r="L695" s="219"/>
      <c r="M695" s="219"/>
      <c r="N695" s="219"/>
      <c r="O695" s="219"/>
      <c r="P695" s="219"/>
      <c r="Q695" s="221"/>
    </row>
    <row r="696" spans="2:17" x14ac:dyDescent="0.2">
      <c r="B696" s="219"/>
      <c r="C696" s="219"/>
      <c r="D696" s="219"/>
      <c r="E696" s="219"/>
      <c r="F696" s="219"/>
      <c r="G696" s="219"/>
      <c r="H696" s="219"/>
      <c r="I696" s="219"/>
      <c r="J696" s="219"/>
      <c r="K696" s="219"/>
      <c r="L696" s="219"/>
      <c r="M696" s="219"/>
      <c r="N696" s="219"/>
      <c r="O696" s="219"/>
      <c r="P696" s="219"/>
      <c r="Q696" s="221"/>
    </row>
    <row r="697" spans="2:17" x14ac:dyDescent="0.2">
      <c r="B697" s="219"/>
      <c r="C697" s="219"/>
      <c r="D697" s="219"/>
      <c r="E697" s="219"/>
      <c r="F697" s="219"/>
      <c r="G697" s="219"/>
      <c r="H697" s="219"/>
      <c r="I697" s="219"/>
      <c r="J697" s="219"/>
      <c r="K697" s="219"/>
      <c r="L697" s="219"/>
      <c r="M697" s="219"/>
      <c r="N697" s="219"/>
      <c r="O697" s="219"/>
      <c r="P697" s="219"/>
      <c r="Q697" s="221"/>
    </row>
    <row r="698" spans="2:17" x14ac:dyDescent="0.2">
      <c r="B698" s="219"/>
      <c r="C698" s="219"/>
      <c r="D698" s="219"/>
      <c r="E698" s="219"/>
      <c r="F698" s="219"/>
      <c r="G698" s="219"/>
      <c r="H698" s="219"/>
      <c r="I698" s="219"/>
      <c r="J698" s="219"/>
      <c r="K698" s="219"/>
      <c r="L698" s="219"/>
      <c r="M698" s="219"/>
      <c r="N698" s="219"/>
      <c r="O698" s="219"/>
      <c r="P698" s="219"/>
      <c r="Q698" s="221"/>
    </row>
    <row r="699" spans="2:17" x14ac:dyDescent="0.2">
      <c r="B699" s="219"/>
      <c r="C699" s="219"/>
      <c r="D699" s="219"/>
      <c r="E699" s="219"/>
      <c r="F699" s="219"/>
      <c r="G699" s="219"/>
      <c r="H699" s="219"/>
      <c r="I699" s="219"/>
      <c r="J699" s="219"/>
      <c r="K699" s="219"/>
      <c r="L699" s="219"/>
      <c r="M699" s="219"/>
      <c r="N699" s="219"/>
      <c r="O699" s="219"/>
      <c r="P699" s="219"/>
      <c r="Q699" s="221"/>
    </row>
    <row r="700" spans="2:17" x14ac:dyDescent="0.2">
      <c r="B700" s="219"/>
      <c r="C700" s="219"/>
      <c r="D700" s="219"/>
      <c r="E700" s="219"/>
      <c r="F700" s="219"/>
      <c r="G700" s="219"/>
      <c r="H700" s="219"/>
      <c r="I700" s="219"/>
      <c r="J700" s="219"/>
      <c r="K700" s="219"/>
      <c r="L700" s="219"/>
      <c r="M700" s="219"/>
      <c r="N700" s="219"/>
      <c r="O700" s="219"/>
      <c r="P700" s="219"/>
      <c r="Q700" s="221"/>
    </row>
    <row r="701" spans="2:17" x14ac:dyDescent="0.2">
      <c r="B701" s="219"/>
      <c r="C701" s="219"/>
      <c r="D701" s="219"/>
      <c r="E701" s="219"/>
      <c r="F701" s="219"/>
      <c r="G701" s="219"/>
      <c r="H701" s="219"/>
      <c r="I701" s="219"/>
      <c r="J701" s="219"/>
      <c r="K701" s="219"/>
      <c r="L701" s="219"/>
      <c r="M701" s="219"/>
      <c r="N701" s="219"/>
      <c r="O701" s="219"/>
      <c r="P701" s="219"/>
      <c r="Q701" s="221"/>
    </row>
    <row r="702" spans="2:17" x14ac:dyDescent="0.2">
      <c r="B702" s="219"/>
      <c r="C702" s="219"/>
      <c r="D702" s="219"/>
      <c r="E702" s="219"/>
      <c r="F702" s="219"/>
      <c r="G702" s="219"/>
      <c r="H702" s="219"/>
      <c r="I702" s="219"/>
      <c r="J702" s="219"/>
      <c r="K702" s="219"/>
      <c r="L702" s="219"/>
      <c r="M702" s="219"/>
      <c r="N702" s="219"/>
      <c r="O702" s="219"/>
      <c r="P702" s="219"/>
      <c r="Q702" s="221"/>
    </row>
    <row r="703" spans="2:17" x14ac:dyDescent="0.2">
      <c r="B703" s="219"/>
      <c r="C703" s="219"/>
      <c r="D703" s="219"/>
      <c r="E703" s="219"/>
      <c r="F703" s="219"/>
      <c r="G703" s="219"/>
      <c r="H703" s="219"/>
      <c r="I703" s="219"/>
      <c r="J703" s="219"/>
      <c r="K703" s="219"/>
      <c r="L703" s="219"/>
      <c r="M703" s="219"/>
      <c r="N703" s="219"/>
      <c r="O703" s="219"/>
      <c r="P703" s="219"/>
      <c r="Q703" s="221"/>
    </row>
    <row r="704" spans="2:17" x14ac:dyDescent="0.2">
      <c r="B704" s="219"/>
      <c r="C704" s="219"/>
      <c r="D704" s="219"/>
      <c r="E704" s="219"/>
      <c r="F704" s="219"/>
      <c r="G704" s="219"/>
      <c r="H704" s="219"/>
      <c r="I704" s="219"/>
      <c r="J704" s="219"/>
      <c r="K704" s="219"/>
      <c r="L704" s="219"/>
      <c r="M704" s="219"/>
      <c r="N704" s="219"/>
      <c r="O704" s="219"/>
      <c r="P704" s="219"/>
      <c r="Q704" s="221"/>
    </row>
    <row r="705" spans="2:17" x14ac:dyDescent="0.2">
      <c r="B705" s="219"/>
      <c r="C705" s="219"/>
      <c r="D705" s="219"/>
      <c r="E705" s="219"/>
      <c r="F705" s="219"/>
      <c r="G705" s="219"/>
      <c r="H705" s="219"/>
      <c r="I705" s="219"/>
      <c r="J705" s="219"/>
      <c r="K705" s="219"/>
      <c r="L705" s="219"/>
      <c r="M705" s="219"/>
      <c r="N705" s="219"/>
      <c r="O705" s="219"/>
      <c r="P705" s="219"/>
      <c r="Q705" s="221"/>
    </row>
    <row r="706" spans="2:17" x14ac:dyDescent="0.2">
      <c r="B706" s="219"/>
      <c r="C706" s="219"/>
      <c r="D706" s="219"/>
      <c r="E706" s="219"/>
      <c r="F706" s="219"/>
      <c r="G706" s="219"/>
      <c r="H706" s="219"/>
      <c r="I706" s="219"/>
      <c r="J706" s="219"/>
      <c r="K706" s="219"/>
      <c r="L706" s="219"/>
      <c r="M706" s="219"/>
      <c r="N706" s="219"/>
      <c r="O706" s="219"/>
      <c r="P706" s="219"/>
      <c r="Q706" s="221"/>
    </row>
    <row r="707" spans="2:17" x14ac:dyDescent="0.2">
      <c r="B707" s="219"/>
      <c r="C707" s="219"/>
      <c r="D707" s="219"/>
      <c r="E707" s="219"/>
      <c r="F707" s="219"/>
      <c r="G707" s="219"/>
      <c r="H707" s="219"/>
      <c r="I707" s="219"/>
      <c r="J707" s="219"/>
      <c r="K707" s="219"/>
      <c r="L707" s="219"/>
      <c r="M707" s="219"/>
      <c r="N707" s="219"/>
      <c r="O707" s="219"/>
      <c r="P707" s="219"/>
      <c r="Q707" s="221"/>
    </row>
    <row r="708" spans="2:17" x14ac:dyDescent="0.2">
      <c r="B708" s="219"/>
      <c r="C708" s="219"/>
      <c r="D708" s="219"/>
      <c r="E708" s="219"/>
      <c r="F708" s="219"/>
      <c r="G708" s="219"/>
      <c r="H708" s="219"/>
      <c r="I708" s="219"/>
      <c r="J708" s="219"/>
      <c r="K708" s="219"/>
      <c r="L708" s="219"/>
      <c r="M708" s="219"/>
      <c r="N708" s="219"/>
      <c r="O708" s="219"/>
      <c r="P708" s="219"/>
      <c r="Q708" s="221"/>
    </row>
    <row r="709" spans="2:17" x14ac:dyDescent="0.2">
      <c r="B709" s="219"/>
      <c r="C709" s="219"/>
      <c r="D709" s="219"/>
      <c r="E709" s="219"/>
      <c r="F709" s="219"/>
      <c r="G709" s="219"/>
      <c r="H709" s="219"/>
      <c r="I709" s="219"/>
      <c r="J709" s="219"/>
      <c r="K709" s="219"/>
      <c r="L709" s="219"/>
      <c r="M709" s="219"/>
      <c r="N709" s="219"/>
      <c r="O709" s="219"/>
      <c r="P709" s="219"/>
      <c r="Q709" s="221"/>
    </row>
    <row r="710" spans="2:17" x14ac:dyDescent="0.2">
      <c r="B710" s="219"/>
      <c r="C710" s="219"/>
      <c r="D710" s="219"/>
      <c r="E710" s="219"/>
      <c r="F710" s="219"/>
      <c r="G710" s="219"/>
      <c r="H710" s="219"/>
      <c r="I710" s="219"/>
      <c r="J710" s="219"/>
      <c r="K710" s="219"/>
      <c r="L710" s="219"/>
      <c r="M710" s="219"/>
      <c r="N710" s="219"/>
      <c r="O710" s="219"/>
      <c r="P710" s="219"/>
      <c r="Q710" s="221"/>
    </row>
    <row r="711" spans="2:17" x14ac:dyDescent="0.2">
      <c r="B711" s="219"/>
      <c r="C711" s="219"/>
      <c r="D711" s="219"/>
      <c r="E711" s="219"/>
      <c r="F711" s="219"/>
      <c r="G711" s="219"/>
      <c r="H711" s="219"/>
      <c r="I711" s="219"/>
      <c r="J711" s="219"/>
      <c r="K711" s="219"/>
      <c r="L711" s="219"/>
      <c r="M711" s="219"/>
      <c r="N711" s="219"/>
      <c r="O711" s="219"/>
      <c r="P711" s="219"/>
      <c r="Q711" s="221"/>
    </row>
    <row r="712" spans="2:17" x14ac:dyDescent="0.2">
      <c r="B712" s="219"/>
      <c r="C712" s="219"/>
      <c r="D712" s="219"/>
      <c r="E712" s="219"/>
      <c r="F712" s="219"/>
      <c r="G712" s="219"/>
      <c r="H712" s="219"/>
      <c r="I712" s="219"/>
      <c r="J712" s="219"/>
      <c r="K712" s="219"/>
      <c r="L712" s="219"/>
      <c r="M712" s="219"/>
      <c r="N712" s="219"/>
      <c r="O712" s="219"/>
      <c r="P712" s="219"/>
      <c r="Q712" s="221"/>
    </row>
    <row r="713" spans="2:17" x14ac:dyDescent="0.2">
      <c r="B713" s="219"/>
      <c r="C713" s="219"/>
      <c r="D713" s="219"/>
      <c r="E713" s="219"/>
      <c r="F713" s="219"/>
      <c r="G713" s="219"/>
      <c r="H713" s="219"/>
      <c r="I713" s="219"/>
      <c r="J713" s="219"/>
      <c r="K713" s="219"/>
      <c r="L713" s="219"/>
      <c r="M713" s="219"/>
      <c r="N713" s="219"/>
      <c r="O713" s="219"/>
      <c r="P713" s="219"/>
      <c r="Q713" s="221"/>
    </row>
    <row r="714" spans="2:17" x14ac:dyDescent="0.2">
      <c r="B714" s="219"/>
      <c r="C714" s="219"/>
      <c r="D714" s="219"/>
      <c r="E714" s="219"/>
      <c r="F714" s="219"/>
      <c r="G714" s="219"/>
      <c r="H714" s="219"/>
      <c r="I714" s="219"/>
      <c r="J714" s="219"/>
      <c r="K714" s="219"/>
      <c r="L714" s="219"/>
      <c r="M714" s="219"/>
      <c r="N714" s="219"/>
      <c r="O714" s="219"/>
      <c r="P714" s="219"/>
      <c r="Q714" s="221"/>
    </row>
    <row r="715" spans="2:17" x14ac:dyDescent="0.2">
      <c r="B715" s="219"/>
      <c r="C715" s="219"/>
      <c r="D715" s="219"/>
      <c r="E715" s="219"/>
      <c r="F715" s="219"/>
      <c r="G715" s="219"/>
      <c r="H715" s="219"/>
      <c r="I715" s="219"/>
      <c r="J715" s="219"/>
      <c r="K715" s="219"/>
      <c r="L715" s="219"/>
      <c r="M715" s="219"/>
      <c r="N715" s="219"/>
      <c r="O715" s="219"/>
      <c r="P715" s="219"/>
      <c r="Q715" s="221"/>
    </row>
    <row r="716" spans="2:17" x14ac:dyDescent="0.2">
      <c r="B716" s="219"/>
      <c r="C716" s="219"/>
      <c r="D716" s="219"/>
      <c r="E716" s="219"/>
      <c r="F716" s="219"/>
      <c r="G716" s="219"/>
      <c r="H716" s="219"/>
      <c r="I716" s="219"/>
      <c r="J716" s="219"/>
      <c r="K716" s="219"/>
      <c r="L716" s="219"/>
      <c r="M716" s="219"/>
      <c r="N716" s="219"/>
      <c r="O716" s="219"/>
      <c r="P716" s="219"/>
      <c r="Q716" s="221"/>
    </row>
    <row r="717" spans="2:17" x14ac:dyDescent="0.2">
      <c r="B717" s="219"/>
      <c r="C717" s="219"/>
      <c r="D717" s="219"/>
      <c r="E717" s="219"/>
      <c r="F717" s="219"/>
      <c r="G717" s="219"/>
      <c r="H717" s="219"/>
      <c r="I717" s="219"/>
      <c r="J717" s="219"/>
      <c r="K717" s="219"/>
      <c r="L717" s="219"/>
      <c r="M717" s="219"/>
      <c r="N717" s="219"/>
      <c r="O717" s="219"/>
      <c r="P717" s="219"/>
      <c r="Q717" s="221"/>
    </row>
    <row r="718" spans="2:17" x14ac:dyDescent="0.2">
      <c r="B718" s="219"/>
      <c r="C718" s="219"/>
      <c r="D718" s="219"/>
      <c r="E718" s="219"/>
      <c r="F718" s="219"/>
      <c r="G718" s="219"/>
      <c r="H718" s="219"/>
      <c r="I718" s="219"/>
      <c r="J718" s="219"/>
      <c r="K718" s="219"/>
      <c r="L718" s="219"/>
      <c r="M718" s="219"/>
      <c r="N718" s="219"/>
      <c r="O718" s="219"/>
      <c r="P718" s="219"/>
      <c r="Q718" s="221"/>
    </row>
    <row r="719" spans="2:17" x14ac:dyDescent="0.2">
      <c r="B719" s="219"/>
      <c r="C719" s="219"/>
      <c r="D719" s="219"/>
      <c r="E719" s="219"/>
      <c r="F719" s="219"/>
      <c r="G719" s="219"/>
      <c r="H719" s="219"/>
      <c r="I719" s="219"/>
      <c r="J719" s="219"/>
      <c r="K719" s="219"/>
      <c r="L719" s="219"/>
      <c r="M719" s="219"/>
      <c r="N719" s="219"/>
      <c r="O719" s="219"/>
      <c r="P719" s="219"/>
      <c r="Q719" s="221"/>
    </row>
    <row r="720" spans="2:17" x14ac:dyDescent="0.2">
      <c r="B720" s="219"/>
      <c r="C720" s="219"/>
      <c r="D720" s="219"/>
      <c r="E720" s="219"/>
      <c r="F720" s="219"/>
      <c r="G720" s="219"/>
      <c r="H720" s="219"/>
      <c r="I720" s="219"/>
      <c r="J720" s="219"/>
      <c r="K720" s="219"/>
      <c r="L720" s="219"/>
      <c r="M720" s="219"/>
      <c r="N720" s="219"/>
      <c r="O720" s="219"/>
      <c r="P720" s="219"/>
      <c r="Q720" s="221"/>
    </row>
    <row r="721" spans="2:17" x14ac:dyDescent="0.2">
      <c r="B721" s="219"/>
      <c r="C721" s="219"/>
      <c r="D721" s="219"/>
      <c r="E721" s="219"/>
      <c r="F721" s="219"/>
      <c r="G721" s="219"/>
      <c r="H721" s="219"/>
      <c r="I721" s="219"/>
      <c r="J721" s="219"/>
      <c r="K721" s="219"/>
      <c r="L721" s="219"/>
      <c r="M721" s="219"/>
      <c r="N721" s="219"/>
      <c r="O721" s="219"/>
      <c r="P721" s="219"/>
      <c r="Q721" s="221"/>
    </row>
    <row r="722" spans="2:17" x14ac:dyDescent="0.2">
      <c r="B722" s="219"/>
      <c r="C722" s="219"/>
      <c r="D722" s="219"/>
      <c r="E722" s="219"/>
      <c r="F722" s="219"/>
      <c r="G722" s="219"/>
      <c r="H722" s="219"/>
      <c r="I722" s="219"/>
      <c r="J722" s="219"/>
      <c r="K722" s="219"/>
      <c r="L722" s="219"/>
      <c r="M722" s="219"/>
      <c r="N722" s="219"/>
      <c r="O722" s="219"/>
      <c r="P722" s="219"/>
      <c r="Q722" s="221"/>
    </row>
    <row r="723" spans="2:17" x14ac:dyDescent="0.2">
      <c r="B723" s="219"/>
      <c r="C723" s="219"/>
      <c r="D723" s="219"/>
      <c r="E723" s="219"/>
      <c r="F723" s="219"/>
      <c r="G723" s="219"/>
      <c r="H723" s="219"/>
      <c r="I723" s="219"/>
      <c r="J723" s="219"/>
      <c r="K723" s="219"/>
      <c r="L723" s="219"/>
      <c r="M723" s="219"/>
      <c r="N723" s="219"/>
      <c r="O723" s="219"/>
      <c r="P723" s="219"/>
      <c r="Q723" s="221"/>
    </row>
    <row r="724" spans="2:17" x14ac:dyDescent="0.2">
      <c r="B724" s="219"/>
      <c r="C724" s="219"/>
      <c r="D724" s="219"/>
      <c r="E724" s="219"/>
      <c r="F724" s="219"/>
      <c r="G724" s="219"/>
      <c r="H724" s="219"/>
      <c r="I724" s="219"/>
      <c r="J724" s="219"/>
      <c r="K724" s="219"/>
      <c r="L724" s="219"/>
      <c r="M724" s="219"/>
      <c r="N724" s="219"/>
      <c r="O724" s="219"/>
      <c r="P724" s="219"/>
      <c r="Q724" s="221"/>
    </row>
    <row r="725" spans="2:17" x14ac:dyDescent="0.2">
      <c r="B725" s="219"/>
      <c r="C725" s="219"/>
      <c r="D725" s="219"/>
      <c r="E725" s="219"/>
      <c r="F725" s="219"/>
      <c r="G725" s="219"/>
      <c r="H725" s="219"/>
      <c r="I725" s="219"/>
      <c r="J725" s="219"/>
      <c r="K725" s="219"/>
      <c r="L725" s="219"/>
      <c r="M725" s="219"/>
      <c r="N725" s="219"/>
      <c r="O725" s="219"/>
      <c r="P725" s="219"/>
      <c r="Q725" s="221"/>
    </row>
    <row r="726" spans="2:17" x14ac:dyDescent="0.2">
      <c r="B726" s="219"/>
      <c r="C726" s="219"/>
      <c r="D726" s="219"/>
      <c r="E726" s="219"/>
      <c r="F726" s="219"/>
      <c r="G726" s="219"/>
      <c r="H726" s="219"/>
      <c r="I726" s="219"/>
      <c r="J726" s="219"/>
      <c r="K726" s="219"/>
      <c r="L726" s="219"/>
      <c r="M726" s="219"/>
      <c r="N726" s="219"/>
      <c r="O726" s="219"/>
      <c r="P726" s="219"/>
      <c r="Q726" s="221"/>
    </row>
    <row r="727" spans="2:17" x14ac:dyDescent="0.2">
      <c r="B727" s="219"/>
      <c r="C727" s="219"/>
      <c r="D727" s="219"/>
      <c r="E727" s="219"/>
      <c r="F727" s="219"/>
      <c r="G727" s="219"/>
      <c r="H727" s="219"/>
      <c r="I727" s="219"/>
      <c r="J727" s="219"/>
      <c r="K727" s="219"/>
      <c r="L727" s="219"/>
      <c r="M727" s="219"/>
      <c r="N727" s="219"/>
      <c r="O727" s="219"/>
      <c r="P727" s="219"/>
      <c r="Q727" s="221"/>
    </row>
    <row r="728" spans="2:17" x14ac:dyDescent="0.2">
      <c r="B728" s="219"/>
      <c r="C728" s="219"/>
      <c r="D728" s="219"/>
      <c r="E728" s="219"/>
      <c r="F728" s="219"/>
      <c r="G728" s="219"/>
      <c r="H728" s="219"/>
      <c r="I728" s="219"/>
      <c r="J728" s="219"/>
      <c r="K728" s="219"/>
      <c r="L728" s="219"/>
      <c r="M728" s="219"/>
      <c r="N728" s="219"/>
      <c r="O728" s="219"/>
      <c r="P728" s="219"/>
      <c r="Q728" s="221"/>
    </row>
    <row r="729" spans="2:17" x14ac:dyDescent="0.2">
      <c r="B729" s="219"/>
      <c r="C729" s="219"/>
      <c r="D729" s="219"/>
      <c r="E729" s="219"/>
      <c r="F729" s="219"/>
      <c r="G729" s="219"/>
      <c r="H729" s="219"/>
      <c r="I729" s="219"/>
      <c r="J729" s="219"/>
      <c r="K729" s="219"/>
      <c r="L729" s="219"/>
      <c r="M729" s="219"/>
      <c r="N729" s="219"/>
      <c r="O729" s="219"/>
      <c r="P729" s="219"/>
      <c r="Q729" s="221"/>
    </row>
    <row r="730" spans="2:17" x14ac:dyDescent="0.2">
      <c r="B730" s="219"/>
      <c r="C730" s="219"/>
      <c r="D730" s="219"/>
      <c r="E730" s="219"/>
      <c r="F730" s="219"/>
      <c r="G730" s="219"/>
      <c r="H730" s="219"/>
      <c r="I730" s="219"/>
      <c r="J730" s="219"/>
      <c r="K730" s="219"/>
      <c r="L730" s="219"/>
      <c r="M730" s="219"/>
      <c r="N730" s="219"/>
      <c r="O730" s="219"/>
      <c r="P730" s="219"/>
      <c r="Q730" s="221"/>
    </row>
    <row r="731" spans="2:17" x14ac:dyDescent="0.2">
      <c r="B731" s="219"/>
      <c r="C731" s="219"/>
      <c r="D731" s="219"/>
      <c r="E731" s="219"/>
      <c r="F731" s="219"/>
      <c r="G731" s="219"/>
      <c r="H731" s="219"/>
      <c r="I731" s="219"/>
      <c r="J731" s="219"/>
      <c r="K731" s="219"/>
      <c r="L731" s="219"/>
      <c r="M731" s="219"/>
      <c r="N731" s="219"/>
      <c r="O731" s="219"/>
      <c r="P731" s="219"/>
      <c r="Q731" s="221"/>
    </row>
    <row r="732" spans="2:17" x14ac:dyDescent="0.2">
      <c r="B732" s="219"/>
      <c r="C732" s="219"/>
      <c r="D732" s="219"/>
      <c r="E732" s="219"/>
      <c r="F732" s="219"/>
      <c r="G732" s="219"/>
      <c r="H732" s="219"/>
      <c r="I732" s="219"/>
      <c r="J732" s="219"/>
      <c r="K732" s="219"/>
      <c r="L732" s="219"/>
      <c r="M732" s="219"/>
      <c r="N732" s="219"/>
      <c r="O732" s="219"/>
      <c r="P732" s="219"/>
      <c r="Q732" s="221"/>
    </row>
    <row r="733" spans="2:17" x14ac:dyDescent="0.2">
      <c r="B733" s="219"/>
      <c r="C733" s="219"/>
      <c r="D733" s="219"/>
      <c r="E733" s="219"/>
      <c r="F733" s="219"/>
      <c r="G733" s="219"/>
      <c r="H733" s="219"/>
      <c r="I733" s="219"/>
      <c r="J733" s="219"/>
      <c r="K733" s="219"/>
      <c r="L733" s="219"/>
      <c r="M733" s="219"/>
      <c r="N733" s="219"/>
      <c r="O733" s="219"/>
      <c r="P733" s="219"/>
      <c r="Q733" s="221"/>
    </row>
    <row r="734" spans="2:17" x14ac:dyDescent="0.2">
      <c r="B734" s="219"/>
      <c r="C734" s="219"/>
      <c r="D734" s="219"/>
      <c r="E734" s="219"/>
      <c r="F734" s="219"/>
      <c r="G734" s="219"/>
      <c r="H734" s="219"/>
      <c r="I734" s="219"/>
      <c r="J734" s="219"/>
      <c r="K734" s="219"/>
      <c r="L734" s="219"/>
      <c r="M734" s="219"/>
      <c r="N734" s="219"/>
      <c r="O734" s="219"/>
      <c r="P734" s="219"/>
      <c r="Q734" s="221"/>
    </row>
    <row r="735" spans="2:17" x14ac:dyDescent="0.2">
      <c r="B735" s="219"/>
      <c r="C735" s="219"/>
      <c r="D735" s="219"/>
      <c r="E735" s="219"/>
      <c r="F735" s="219"/>
      <c r="G735" s="219"/>
      <c r="H735" s="219"/>
      <c r="I735" s="219"/>
      <c r="J735" s="219"/>
      <c r="K735" s="219"/>
      <c r="L735" s="219"/>
      <c r="M735" s="219"/>
      <c r="N735" s="219"/>
      <c r="O735" s="219"/>
      <c r="P735" s="219"/>
      <c r="Q735" s="221"/>
    </row>
    <row r="736" spans="2:17" x14ac:dyDescent="0.2">
      <c r="B736" s="219"/>
      <c r="C736" s="219"/>
      <c r="D736" s="219"/>
      <c r="E736" s="219"/>
      <c r="F736" s="219"/>
      <c r="G736" s="219"/>
      <c r="H736" s="219"/>
      <c r="I736" s="219"/>
      <c r="J736" s="219"/>
      <c r="K736" s="219"/>
      <c r="L736" s="219"/>
      <c r="M736" s="219"/>
      <c r="N736" s="219"/>
      <c r="O736" s="219"/>
      <c r="P736" s="219"/>
      <c r="Q736" s="221"/>
    </row>
    <row r="737" spans="2:17" x14ac:dyDescent="0.2">
      <c r="B737" s="219"/>
      <c r="C737" s="219"/>
      <c r="D737" s="219"/>
      <c r="E737" s="219"/>
      <c r="F737" s="219"/>
      <c r="G737" s="219"/>
      <c r="H737" s="219"/>
      <c r="I737" s="219"/>
      <c r="J737" s="219"/>
      <c r="K737" s="219"/>
      <c r="L737" s="219"/>
      <c r="M737" s="219"/>
      <c r="N737" s="219"/>
      <c r="O737" s="219"/>
      <c r="P737" s="219"/>
      <c r="Q737" s="221"/>
    </row>
    <row r="738" spans="2:17" x14ac:dyDescent="0.2">
      <c r="B738" s="219"/>
      <c r="C738" s="219"/>
      <c r="D738" s="219"/>
      <c r="E738" s="219"/>
      <c r="F738" s="219"/>
      <c r="G738" s="219"/>
      <c r="H738" s="219"/>
      <c r="I738" s="219"/>
      <c r="J738" s="219"/>
      <c r="K738" s="219"/>
      <c r="L738" s="219"/>
      <c r="M738" s="219"/>
      <c r="N738" s="219"/>
      <c r="O738" s="219"/>
      <c r="P738" s="219"/>
      <c r="Q738" s="221"/>
    </row>
    <row r="739" spans="2:17" x14ac:dyDescent="0.2">
      <c r="B739" s="219"/>
      <c r="C739" s="219"/>
      <c r="D739" s="219"/>
      <c r="E739" s="219"/>
      <c r="F739" s="219"/>
      <c r="G739" s="219"/>
      <c r="H739" s="219"/>
      <c r="I739" s="219"/>
      <c r="J739" s="219"/>
      <c r="K739" s="219"/>
      <c r="L739" s="219"/>
      <c r="M739" s="219"/>
      <c r="N739" s="219"/>
      <c r="O739" s="219"/>
      <c r="P739" s="219"/>
      <c r="Q739" s="221"/>
    </row>
    <row r="740" spans="2:17" x14ac:dyDescent="0.2">
      <c r="B740" s="219"/>
      <c r="C740" s="219"/>
      <c r="D740" s="219"/>
      <c r="E740" s="219"/>
      <c r="F740" s="219"/>
      <c r="G740" s="219"/>
      <c r="H740" s="219"/>
      <c r="I740" s="219"/>
      <c r="J740" s="219"/>
      <c r="K740" s="219"/>
      <c r="L740" s="219"/>
      <c r="M740" s="219"/>
      <c r="N740" s="219"/>
      <c r="O740" s="219"/>
      <c r="P740" s="219"/>
      <c r="Q740" s="221"/>
    </row>
    <row r="741" spans="2:17" x14ac:dyDescent="0.2">
      <c r="B741" s="219"/>
      <c r="C741" s="219"/>
      <c r="D741" s="219"/>
      <c r="E741" s="219"/>
      <c r="F741" s="219"/>
      <c r="G741" s="219"/>
      <c r="H741" s="219"/>
      <c r="I741" s="219"/>
      <c r="J741" s="219"/>
      <c r="K741" s="219"/>
      <c r="L741" s="219"/>
      <c r="M741" s="219"/>
      <c r="N741" s="219"/>
      <c r="O741" s="219"/>
      <c r="P741" s="219"/>
      <c r="Q741" s="221"/>
    </row>
    <row r="742" spans="2:17" x14ac:dyDescent="0.2">
      <c r="B742" s="219"/>
      <c r="C742" s="219"/>
      <c r="D742" s="219"/>
      <c r="E742" s="219"/>
      <c r="F742" s="219"/>
      <c r="G742" s="219"/>
      <c r="H742" s="219"/>
      <c r="I742" s="219"/>
      <c r="J742" s="219"/>
      <c r="K742" s="219"/>
      <c r="L742" s="219"/>
      <c r="M742" s="219"/>
      <c r="N742" s="219"/>
      <c r="O742" s="219"/>
      <c r="P742" s="219"/>
      <c r="Q742" s="221"/>
    </row>
    <row r="743" spans="2:17" x14ac:dyDescent="0.2">
      <c r="B743" s="219"/>
      <c r="C743" s="219"/>
      <c r="D743" s="219"/>
      <c r="E743" s="219"/>
      <c r="F743" s="219"/>
      <c r="G743" s="219"/>
      <c r="H743" s="219"/>
      <c r="I743" s="219"/>
      <c r="J743" s="219"/>
      <c r="K743" s="219"/>
      <c r="L743" s="219"/>
      <c r="M743" s="219"/>
      <c r="N743" s="219"/>
      <c r="O743" s="219"/>
      <c r="P743" s="219"/>
      <c r="Q743" s="221"/>
    </row>
    <row r="744" spans="2:17" x14ac:dyDescent="0.2">
      <c r="B744" s="219"/>
      <c r="C744" s="219"/>
      <c r="D744" s="219"/>
      <c r="E744" s="219"/>
      <c r="F744" s="219"/>
      <c r="G744" s="219"/>
      <c r="H744" s="219"/>
      <c r="I744" s="219"/>
      <c r="J744" s="219"/>
      <c r="K744" s="219"/>
      <c r="L744" s="219"/>
      <c r="M744" s="219"/>
      <c r="N744" s="219"/>
      <c r="O744" s="219"/>
      <c r="P744" s="219"/>
      <c r="Q744" s="221"/>
    </row>
    <row r="745" spans="2:17" x14ac:dyDescent="0.2">
      <c r="B745" s="219"/>
      <c r="C745" s="219"/>
      <c r="D745" s="219"/>
      <c r="E745" s="219"/>
      <c r="F745" s="219"/>
      <c r="G745" s="219"/>
      <c r="H745" s="219"/>
      <c r="I745" s="219"/>
      <c r="J745" s="219"/>
      <c r="K745" s="219"/>
      <c r="L745" s="219"/>
      <c r="M745" s="219"/>
      <c r="N745" s="219"/>
      <c r="O745" s="219"/>
      <c r="P745" s="219"/>
      <c r="Q745" s="221"/>
    </row>
    <row r="746" spans="2:17" x14ac:dyDescent="0.2">
      <c r="B746" s="219"/>
      <c r="C746" s="219"/>
      <c r="D746" s="219"/>
      <c r="E746" s="219"/>
      <c r="F746" s="219"/>
      <c r="G746" s="219"/>
      <c r="H746" s="219"/>
      <c r="I746" s="219"/>
      <c r="J746" s="219"/>
      <c r="K746" s="219"/>
      <c r="L746" s="219"/>
      <c r="M746" s="219"/>
      <c r="N746" s="219"/>
      <c r="O746" s="219"/>
      <c r="P746" s="219"/>
      <c r="Q746" s="221"/>
    </row>
    <row r="747" spans="2:17" x14ac:dyDescent="0.2">
      <c r="B747" s="219"/>
      <c r="C747" s="219"/>
      <c r="D747" s="219"/>
      <c r="E747" s="219"/>
      <c r="F747" s="219"/>
      <c r="G747" s="219"/>
      <c r="H747" s="219"/>
      <c r="I747" s="219"/>
      <c r="J747" s="219"/>
      <c r="K747" s="219"/>
      <c r="L747" s="219"/>
      <c r="M747" s="219"/>
      <c r="N747" s="219"/>
      <c r="O747" s="219"/>
      <c r="P747" s="219"/>
      <c r="Q747" s="221"/>
    </row>
    <row r="748" spans="2:17" x14ac:dyDescent="0.2">
      <c r="B748" s="219"/>
      <c r="C748" s="219"/>
      <c r="D748" s="219"/>
      <c r="E748" s="219"/>
      <c r="F748" s="219"/>
      <c r="G748" s="219"/>
      <c r="H748" s="219"/>
      <c r="I748" s="219"/>
      <c r="J748" s="219"/>
      <c r="K748" s="219"/>
      <c r="L748" s="219"/>
      <c r="M748" s="219"/>
      <c r="N748" s="219"/>
      <c r="O748" s="219"/>
      <c r="P748" s="219"/>
      <c r="Q748" s="221"/>
    </row>
    <row r="749" spans="2:17" x14ac:dyDescent="0.2">
      <c r="B749" s="219"/>
      <c r="C749" s="219"/>
      <c r="D749" s="219"/>
      <c r="E749" s="219"/>
      <c r="F749" s="219"/>
      <c r="G749" s="219"/>
      <c r="H749" s="219"/>
      <c r="I749" s="219"/>
      <c r="J749" s="219"/>
      <c r="K749" s="219"/>
      <c r="L749" s="219"/>
      <c r="M749" s="219"/>
      <c r="N749" s="219"/>
      <c r="O749" s="219"/>
      <c r="P749" s="219"/>
      <c r="Q749" s="221"/>
    </row>
    <row r="750" spans="2:17" x14ac:dyDescent="0.2">
      <c r="B750" s="219"/>
      <c r="C750" s="219"/>
      <c r="D750" s="219"/>
      <c r="E750" s="219"/>
      <c r="F750" s="219"/>
      <c r="G750" s="219"/>
      <c r="H750" s="219"/>
      <c r="I750" s="219"/>
      <c r="J750" s="219"/>
      <c r="K750" s="219"/>
      <c r="L750" s="219"/>
      <c r="M750" s="219"/>
      <c r="N750" s="219"/>
      <c r="O750" s="219"/>
      <c r="P750" s="219"/>
      <c r="Q750" s="221"/>
    </row>
    <row r="751" spans="2:17" x14ac:dyDescent="0.2">
      <c r="B751" s="219"/>
      <c r="C751" s="219"/>
      <c r="D751" s="219"/>
      <c r="E751" s="219"/>
      <c r="F751" s="219"/>
      <c r="G751" s="219"/>
      <c r="H751" s="219"/>
      <c r="I751" s="219"/>
      <c r="J751" s="219"/>
      <c r="K751" s="219"/>
      <c r="L751" s="219"/>
      <c r="M751" s="219"/>
      <c r="N751" s="219"/>
      <c r="O751" s="219"/>
      <c r="P751" s="219"/>
      <c r="Q751" s="221"/>
    </row>
    <row r="752" spans="2:17" x14ac:dyDescent="0.2">
      <c r="B752" s="219"/>
      <c r="C752" s="219"/>
      <c r="D752" s="219"/>
      <c r="E752" s="219"/>
      <c r="F752" s="219"/>
      <c r="G752" s="219"/>
      <c r="H752" s="219"/>
      <c r="I752" s="219"/>
      <c r="J752" s="219"/>
      <c r="K752" s="219"/>
      <c r="L752" s="219"/>
      <c r="M752" s="219"/>
      <c r="N752" s="219"/>
      <c r="O752" s="219"/>
      <c r="P752" s="219"/>
      <c r="Q752" s="221"/>
    </row>
    <row r="753" spans="2:17" x14ac:dyDescent="0.2">
      <c r="B753" s="219"/>
      <c r="C753" s="219"/>
      <c r="D753" s="219"/>
      <c r="E753" s="219"/>
      <c r="F753" s="219"/>
      <c r="G753" s="219"/>
      <c r="H753" s="219"/>
      <c r="I753" s="219"/>
      <c r="J753" s="219"/>
      <c r="K753" s="219"/>
      <c r="L753" s="219"/>
      <c r="M753" s="219"/>
      <c r="N753" s="219"/>
      <c r="O753" s="219"/>
      <c r="P753" s="219"/>
      <c r="Q753" s="221"/>
    </row>
    <row r="754" spans="2:17" x14ac:dyDescent="0.2">
      <c r="B754" s="219"/>
      <c r="C754" s="219"/>
      <c r="D754" s="219"/>
      <c r="E754" s="219"/>
      <c r="F754" s="219"/>
      <c r="G754" s="219"/>
      <c r="H754" s="219"/>
      <c r="I754" s="219"/>
      <c r="J754" s="219"/>
      <c r="K754" s="219"/>
      <c r="L754" s="219"/>
      <c r="M754" s="219"/>
      <c r="N754" s="219"/>
      <c r="O754" s="219"/>
      <c r="P754" s="219"/>
      <c r="Q754" s="221"/>
    </row>
    <row r="755" spans="2:17" x14ac:dyDescent="0.2">
      <c r="B755" s="219"/>
      <c r="C755" s="219"/>
      <c r="D755" s="219"/>
      <c r="E755" s="219"/>
      <c r="F755" s="219"/>
      <c r="G755" s="219"/>
      <c r="H755" s="219"/>
      <c r="I755" s="219"/>
      <c r="J755" s="219"/>
      <c r="K755" s="219"/>
      <c r="L755" s="219"/>
      <c r="M755" s="219"/>
      <c r="N755" s="219"/>
      <c r="O755" s="219"/>
      <c r="P755" s="219"/>
      <c r="Q755" s="221"/>
    </row>
    <row r="756" spans="2:17" x14ac:dyDescent="0.2">
      <c r="B756" s="219"/>
      <c r="C756" s="219"/>
      <c r="D756" s="219"/>
      <c r="E756" s="219"/>
      <c r="F756" s="219"/>
      <c r="G756" s="219"/>
      <c r="H756" s="219"/>
      <c r="I756" s="219"/>
      <c r="J756" s="219"/>
      <c r="K756" s="219"/>
      <c r="L756" s="219"/>
      <c r="M756" s="219"/>
      <c r="N756" s="219"/>
      <c r="O756" s="219"/>
      <c r="P756" s="219"/>
      <c r="Q756" s="221"/>
    </row>
    <row r="757" spans="2:17" x14ac:dyDescent="0.2">
      <c r="B757" s="219"/>
      <c r="C757" s="219"/>
      <c r="D757" s="219"/>
      <c r="E757" s="219"/>
      <c r="F757" s="219"/>
      <c r="G757" s="219"/>
      <c r="H757" s="219"/>
      <c r="I757" s="219"/>
      <c r="J757" s="219"/>
      <c r="K757" s="219"/>
      <c r="L757" s="219"/>
      <c r="M757" s="219"/>
      <c r="N757" s="219"/>
      <c r="O757" s="219"/>
      <c r="P757" s="219"/>
      <c r="Q757" s="221"/>
    </row>
    <row r="758" spans="2:17" x14ac:dyDescent="0.2">
      <c r="B758" s="219"/>
      <c r="C758" s="219"/>
      <c r="D758" s="219"/>
      <c r="E758" s="219"/>
      <c r="F758" s="219"/>
      <c r="G758" s="219"/>
      <c r="H758" s="219"/>
      <c r="I758" s="219"/>
      <c r="J758" s="219"/>
      <c r="K758" s="219"/>
      <c r="L758" s="219"/>
      <c r="M758" s="219"/>
      <c r="N758" s="219"/>
      <c r="O758" s="219"/>
      <c r="P758" s="219"/>
      <c r="Q758" s="221"/>
    </row>
    <row r="759" spans="2:17" x14ac:dyDescent="0.2">
      <c r="B759" s="219"/>
      <c r="C759" s="219"/>
      <c r="D759" s="219"/>
      <c r="E759" s="219"/>
      <c r="F759" s="219"/>
      <c r="G759" s="219"/>
      <c r="H759" s="219"/>
      <c r="I759" s="219"/>
      <c r="J759" s="219"/>
      <c r="K759" s="219"/>
      <c r="L759" s="219"/>
      <c r="M759" s="219"/>
      <c r="N759" s="219"/>
      <c r="O759" s="219"/>
      <c r="P759" s="219"/>
      <c r="Q759" s="221"/>
    </row>
    <row r="760" spans="2:17" x14ac:dyDescent="0.2">
      <c r="B760" s="219"/>
      <c r="C760" s="219"/>
      <c r="D760" s="219"/>
      <c r="E760" s="219"/>
      <c r="F760" s="219"/>
      <c r="G760" s="219"/>
      <c r="H760" s="219"/>
      <c r="I760" s="219"/>
      <c r="J760" s="219"/>
      <c r="K760" s="219"/>
      <c r="L760" s="219"/>
      <c r="M760" s="219"/>
      <c r="N760" s="219"/>
      <c r="O760" s="219"/>
      <c r="P760" s="219"/>
      <c r="Q760" s="221"/>
    </row>
    <row r="761" spans="2:17" x14ac:dyDescent="0.2">
      <c r="B761" s="219"/>
      <c r="C761" s="219"/>
      <c r="D761" s="219"/>
      <c r="E761" s="219"/>
      <c r="F761" s="219"/>
      <c r="G761" s="219"/>
      <c r="H761" s="219"/>
      <c r="I761" s="219"/>
      <c r="J761" s="219"/>
      <c r="K761" s="219"/>
      <c r="L761" s="219"/>
      <c r="M761" s="219"/>
      <c r="N761" s="219"/>
      <c r="O761" s="219"/>
      <c r="P761" s="219"/>
      <c r="Q761" s="221"/>
    </row>
    <row r="762" spans="2:17" x14ac:dyDescent="0.2">
      <c r="B762" s="219"/>
      <c r="C762" s="219"/>
      <c r="D762" s="219"/>
      <c r="E762" s="219"/>
      <c r="F762" s="219"/>
      <c r="G762" s="219"/>
      <c r="H762" s="219"/>
      <c r="I762" s="219"/>
      <c r="J762" s="219"/>
      <c r="K762" s="219"/>
      <c r="L762" s="219"/>
      <c r="M762" s="219"/>
      <c r="N762" s="219"/>
      <c r="O762" s="219"/>
      <c r="P762" s="219"/>
      <c r="Q762" s="221"/>
    </row>
    <row r="763" spans="2:17" x14ac:dyDescent="0.2">
      <c r="B763" s="219"/>
      <c r="C763" s="219"/>
      <c r="D763" s="219"/>
      <c r="E763" s="219"/>
      <c r="F763" s="219"/>
      <c r="G763" s="219"/>
      <c r="H763" s="219"/>
      <c r="I763" s="219"/>
      <c r="J763" s="219"/>
      <c r="K763" s="219"/>
      <c r="L763" s="219"/>
      <c r="M763" s="219"/>
      <c r="N763" s="219"/>
      <c r="O763" s="219"/>
      <c r="P763" s="219"/>
      <c r="Q763" s="221"/>
    </row>
    <row r="764" spans="2:17" x14ac:dyDescent="0.2">
      <c r="B764" s="219"/>
      <c r="C764" s="219"/>
      <c r="D764" s="219"/>
      <c r="E764" s="219"/>
      <c r="F764" s="219"/>
      <c r="G764" s="219"/>
      <c r="H764" s="219"/>
      <c r="I764" s="219"/>
      <c r="J764" s="219"/>
      <c r="K764" s="219"/>
      <c r="L764" s="219"/>
      <c r="M764" s="219"/>
      <c r="N764" s="219"/>
      <c r="O764" s="219"/>
      <c r="P764" s="219"/>
      <c r="Q764" s="221"/>
    </row>
    <row r="765" spans="2:17" x14ac:dyDescent="0.2">
      <c r="B765" s="219"/>
      <c r="C765" s="219"/>
      <c r="D765" s="219"/>
      <c r="E765" s="219"/>
      <c r="F765" s="219"/>
      <c r="G765" s="219"/>
      <c r="H765" s="219"/>
      <c r="I765" s="219"/>
      <c r="J765" s="219"/>
      <c r="K765" s="219"/>
      <c r="L765" s="219"/>
      <c r="M765" s="219"/>
      <c r="N765" s="219"/>
      <c r="O765" s="219"/>
      <c r="P765" s="219"/>
      <c r="Q765" s="221"/>
    </row>
    <row r="766" spans="2:17" x14ac:dyDescent="0.2">
      <c r="B766" s="219"/>
      <c r="C766" s="219"/>
      <c r="D766" s="219"/>
      <c r="E766" s="219"/>
      <c r="F766" s="219"/>
      <c r="G766" s="219"/>
      <c r="H766" s="219"/>
      <c r="I766" s="219"/>
      <c r="J766" s="219"/>
      <c r="K766" s="219"/>
      <c r="L766" s="219"/>
      <c r="M766" s="219"/>
      <c r="N766" s="219"/>
      <c r="O766" s="219"/>
      <c r="P766" s="219"/>
      <c r="Q766" s="221"/>
    </row>
    <row r="767" spans="2:17" x14ac:dyDescent="0.2">
      <c r="B767" s="219"/>
      <c r="C767" s="219"/>
      <c r="D767" s="219"/>
      <c r="E767" s="219"/>
      <c r="F767" s="219"/>
      <c r="G767" s="219"/>
      <c r="H767" s="219"/>
      <c r="I767" s="219"/>
      <c r="J767" s="219"/>
      <c r="K767" s="219"/>
      <c r="L767" s="219"/>
      <c r="M767" s="219"/>
      <c r="N767" s="219"/>
      <c r="O767" s="219"/>
      <c r="P767" s="219"/>
      <c r="Q767" s="221"/>
    </row>
    <row r="768" spans="2:17" x14ac:dyDescent="0.2">
      <c r="B768" s="219"/>
      <c r="C768" s="219"/>
      <c r="D768" s="219"/>
      <c r="E768" s="219"/>
      <c r="F768" s="219"/>
      <c r="G768" s="219"/>
      <c r="H768" s="219"/>
      <c r="I768" s="219"/>
      <c r="J768" s="219"/>
      <c r="K768" s="219"/>
      <c r="L768" s="219"/>
      <c r="M768" s="219"/>
      <c r="N768" s="219"/>
      <c r="O768" s="219"/>
      <c r="P768" s="219"/>
      <c r="Q768" s="221"/>
    </row>
    <row r="769" spans="2:17" x14ac:dyDescent="0.2">
      <c r="B769" s="219"/>
      <c r="C769" s="219"/>
      <c r="D769" s="219"/>
      <c r="E769" s="219"/>
      <c r="F769" s="219"/>
      <c r="G769" s="219"/>
      <c r="H769" s="219"/>
      <c r="I769" s="219"/>
      <c r="J769" s="219"/>
      <c r="K769" s="219"/>
      <c r="L769" s="219"/>
      <c r="M769" s="219"/>
      <c r="N769" s="219"/>
      <c r="O769" s="219"/>
      <c r="P769" s="219"/>
      <c r="Q769" s="221"/>
    </row>
    <row r="770" spans="2:17" x14ac:dyDescent="0.2">
      <c r="B770" s="219"/>
      <c r="C770" s="219"/>
      <c r="D770" s="219"/>
      <c r="E770" s="219"/>
      <c r="F770" s="219"/>
      <c r="G770" s="219"/>
      <c r="H770" s="219"/>
      <c r="I770" s="219"/>
      <c r="J770" s="219"/>
      <c r="K770" s="219"/>
      <c r="L770" s="219"/>
      <c r="M770" s="219"/>
      <c r="N770" s="219"/>
      <c r="O770" s="219"/>
      <c r="P770" s="219"/>
      <c r="Q770" s="221"/>
    </row>
    <row r="771" spans="2:17" x14ac:dyDescent="0.2">
      <c r="B771" s="219"/>
      <c r="C771" s="219"/>
      <c r="D771" s="219"/>
      <c r="E771" s="219"/>
      <c r="F771" s="219"/>
      <c r="G771" s="219"/>
      <c r="H771" s="219"/>
      <c r="I771" s="219"/>
      <c r="J771" s="219"/>
      <c r="K771" s="219"/>
      <c r="L771" s="219"/>
      <c r="M771" s="219"/>
      <c r="N771" s="219"/>
      <c r="O771" s="219"/>
      <c r="P771" s="219"/>
      <c r="Q771" s="221"/>
    </row>
    <row r="772" spans="2:17" x14ac:dyDescent="0.2">
      <c r="B772" s="219"/>
      <c r="C772" s="219"/>
      <c r="D772" s="219"/>
      <c r="E772" s="219"/>
      <c r="F772" s="219"/>
      <c r="G772" s="219"/>
      <c r="H772" s="219"/>
      <c r="I772" s="219"/>
      <c r="J772" s="219"/>
      <c r="K772" s="219"/>
      <c r="L772" s="219"/>
      <c r="M772" s="219"/>
      <c r="N772" s="219"/>
      <c r="O772" s="219"/>
      <c r="P772" s="219"/>
      <c r="Q772" s="221"/>
    </row>
    <row r="773" spans="2:17" x14ac:dyDescent="0.2">
      <c r="B773" s="219"/>
      <c r="C773" s="219"/>
      <c r="D773" s="219"/>
      <c r="E773" s="219"/>
      <c r="F773" s="219"/>
      <c r="G773" s="219"/>
      <c r="H773" s="219"/>
      <c r="I773" s="219"/>
      <c r="J773" s="219"/>
      <c r="K773" s="219"/>
      <c r="L773" s="219"/>
      <c r="M773" s="219"/>
      <c r="N773" s="219"/>
      <c r="O773" s="219"/>
      <c r="P773" s="219"/>
      <c r="Q773" s="221"/>
    </row>
    <row r="774" spans="2:17" x14ac:dyDescent="0.2">
      <c r="B774" s="219"/>
      <c r="C774" s="219"/>
      <c r="D774" s="219"/>
      <c r="E774" s="219"/>
      <c r="F774" s="219"/>
      <c r="G774" s="219"/>
      <c r="H774" s="219"/>
      <c r="I774" s="219"/>
      <c r="J774" s="219"/>
      <c r="K774" s="219"/>
      <c r="L774" s="219"/>
      <c r="M774" s="219"/>
      <c r="N774" s="219"/>
      <c r="O774" s="219"/>
      <c r="P774" s="219"/>
      <c r="Q774" s="221"/>
    </row>
    <row r="775" spans="2:17" x14ac:dyDescent="0.2">
      <c r="B775" s="219"/>
      <c r="C775" s="219"/>
      <c r="D775" s="219"/>
      <c r="E775" s="219"/>
      <c r="F775" s="219"/>
      <c r="G775" s="219"/>
      <c r="H775" s="219"/>
      <c r="I775" s="219"/>
      <c r="J775" s="219"/>
      <c r="K775" s="219"/>
      <c r="L775" s="219"/>
      <c r="M775" s="219"/>
      <c r="N775" s="219"/>
      <c r="O775" s="219"/>
      <c r="P775" s="219"/>
      <c r="Q775" s="221"/>
    </row>
    <row r="776" spans="2:17" x14ac:dyDescent="0.2">
      <c r="B776" s="219"/>
      <c r="C776" s="219"/>
      <c r="D776" s="219"/>
      <c r="E776" s="219"/>
      <c r="F776" s="219"/>
      <c r="G776" s="219"/>
      <c r="H776" s="219"/>
      <c r="I776" s="219"/>
      <c r="J776" s="219"/>
      <c r="K776" s="219"/>
      <c r="L776" s="219"/>
      <c r="M776" s="219"/>
      <c r="N776" s="219"/>
      <c r="O776" s="219"/>
      <c r="P776" s="219"/>
      <c r="Q776" s="221"/>
    </row>
    <row r="777" spans="2:17" x14ac:dyDescent="0.2">
      <c r="B777" s="219"/>
      <c r="C777" s="219"/>
      <c r="D777" s="219"/>
      <c r="E777" s="219"/>
      <c r="F777" s="219"/>
      <c r="G777" s="219"/>
      <c r="H777" s="219"/>
      <c r="I777" s="219"/>
      <c r="J777" s="219"/>
      <c r="K777" s="219"/>
      <c r="L777" s="219"/>
      <c r="M777" s="219"/>
      <c r="N777" s="219"/>
      <c r="O777" s="219"/>
      <c r="P777" s="219"/>
      <c r="Q777" s="221"/>
    </row>
    <row r="778" spans="2:17" x14ac:dyDescent="0.2">
      <c r="B778" s="219"/>
      <c r="C778" s="219"/>
      <c r="D778" s="219"/>
      <c r="E778" s="219"/>
      <c r="F778" s="219"/>
      <c r="G778" s="219"/>
      <c r="H778" s="219"/>
      <c r="I778" s="219"/>
      <c r="J778" s="219"/>
      <c r="K778" s="219"/>
      <c r="L778" s="219"/>
      <c r="M778" s="219"/>
      <c r="N778" s="219"/>
      <c r="O778" s="219"/>
      <c r="P778" s="219"/>
      <c r="Q778" s="221"/>
    </row>
    <row r="779" spans="2:17" x14ac:dyDescent="0.2">
      <c r="B779" s="219"/>
      <c r="C779" s="219"/>
      <c r="D779" s="219"/>
      <c r="E779" s="219"/>
      <c r="F779" s="219"/>
      <c r="G779" s="219"/>
      <c r="H779" s="219"/>
      <c r="I779" s="219"/>
      <c r="J779" s="219"/>
      <c r="K779" s="219"/>
      <c r="L779" s="219"/>
      <c r="M779" s="219"/>
      <c r="N779" s="219"/>
      <c r="O779" s="219"/>
      <c r="P779" s="219"/>
      <c r="Q779" s="221"/>
    </row>
    <row r="780" spans="2:17" x14ac:dyDescent="0.2">
      <c r="B780" s="219"/>
      <c r="C780" s="219"/>
      <c r="D780" s="219"/>
      <c r="E780" s="219"/>
      <c r="F780" s="219"/>
      <c r="G780" s="219"/>
      <c r="H780" s="219"/>
      <c r="I780" s="219"/>
      <c r="J780" s="219"/>
      <c r="K780" s="219"/>
      <c r="L780" s="219"/>
      <c r="M780" s="219"/>
      <c r="N780" s="219"/>
      <c r="O780" s="219"/>
      <c r="P780" s="219"/>
      <c r="Q780" s="221"/>
    </row>
    <row r="781" spans="2:17" x14ac:dyDescent="0.2">
      <c r="B781" s="219"/>
      <c r="C781" s="219"/>
      <c r="D781" s="219"/>
      <c r="E781" s="219"/>
      <c r="F781" s="219"/>
      <c r="G781" s="219"/>
      <c r="H781" s="219"/>
      <c r="I781" s="219"/>
      <c r="J781" s="219"/>
      <c r="K781" s="219"/>
      <c r="L781" s="219"/>
      <c r="M781" s="219"/>
      <c r="N781" s="219"/>
      <c r="O781" s="219"/>
      <c r="P781" s="219"/>
      <c r="Q781" s="221"/>
    </row>
    <row r="782" spans="2:17" x14ac:dyDescent="0.2">
      <c r="B782" s="219"/>
      <c r="C782" s="219"/>
      <c r="D782" s="219"/>
      <c r="E782" s="219"/>
      <c r="F782" s="219"/>
      <c r="G782" s="219"/>
      <c r="H782" s="219"/>
      <c r="I782" s="219"/>
      <c r="J782" s="219"/>
      <c r="K782" s="219"/>
      <c r="L782" s="219"/>
      <c r="M782" s="219"/>
      <c r="N782" s="219"/>
      <c r="O782" s="219"/>
      <c r="P782" s="219"/>
      <c r="Q782" s="221"/>
    </row>
    <row r="783" spans="2:17" x14ac:dyDescent="0.2">
      <c r="B783" s="219"/>
      <c r="C783" s="219"/>
      <c r="D783" s="219"/>
      <c r="E783" s="219"/>
      <c r="F783" s="219"/>
      <c r="G783" s="219"/>
      <c r="H783" s="219"/>
      <c r="I783" s="219"/>
      <c r="J783" s="219"/>
      <c r="K783" s="219"/>
      <c r="L783" s="219"/>
      <c r="M783" s="219"/>
      <c r="N783" s="219"/>
      <c r="O783" s="219"/>
      <c r="P783" s="219"/>
      <c r="Q783" s="221"/>
    </row>
    <row r="784" spans="2:17" x14ac:dyDescent="0.2">
      <c r="B784" s="219"/>
      <c r="C784" s="219"/>
      <c r="D784" s="219"/>
      <c r="E784" s="219"/>
      <c r="F784" s="219"/>
      <c r="G784" s="219"/>
      <c r="H784" s="219"/>
      <c r="I784" s="219"/>
      <c r="J784" s="219"/>
      <c r="K784" s="219"/>
      <c r="L784" s="219"/>
      <c r="M784" s="219"/>
      <c r="N784" s="219"/>
      <c r="O784" s="219"/>
      <c r="P784" s="219"/>
      <c r="Q784" s="221"/>
    </row>
    <row r="785" spans="2:17" x14ac:dyDescent="0.2">
      <c r="B785" s="219"/>
      <c r="C785" s="219"/>
      <c r="D785" s="219"/>
      <c r="E785" s="219"/>
      <c r="F785" s="219"/>
      <c r="G785" s="219"/>
      <c r="H785" s="219"/>
      <c r="I785" s="219"/>
      <c r="J785" s="219"/>
      <c r="K785" s="219"/>
      <c r="L785" s="219"/>
      <c r="M785" s="219"/>
      <c r="N785" s="219"/>
      <c r="O785" s="219"/>
      <c r="P785" s="219"/>
      <c r="Q785" s="221"/>
    </row>
    <row r="786" spans="2:17" x14ac:dyDescent="0.2">
      <c r="B786" s="219"/>
      <c r="C786" s="219"/>
      <c r="D786" s="219"/>
      <c r="E786" s="219"/>
      <c r="F786" s="219"/>
      <c r="G786" s="219"/>
      <c r="H786" s="219"/>
      <c r="I786" s="219"/>
      <c r="J786" s="219"/>
      <c r="K786" s="219"/>
      <c r="L786" s="219"/>
      <c r="M786" s="219"/>
      <c r="N786" s="219"/>
      <c r="O786" s="219"/>
      <c r="P786" s="219"/>
      <c r="Q786" s="221"/>
    </row>
    <row r="787" spans="2:17" x14ac:dyDescent="0.2">
      <c r="B787" s="219"/>
      <c r="C787" s="219"/>
      <c r="D787" s="219"/>
      <c r="E787" s="219"/>
      <c r="F787" s="219"/>
      <c r="G787" s="219"/>
      <c r="H787" s="219"/>
      <c r="I787" s="219"/>
      <c r="J787" s="219"/>
      <c r="K787" s="219"/>
      <c r="L787" s="219"/>
      <c r="M787" s="219"/>
      <c r="N787" s="219"/>
      <c r="O787" s="219"/>
      <c r="P787" s="219"/>
      <c r="Q787" s="221"/>
    </row>
    <row r="788" spans="2:17" x14ac:dyDescent="0.2">
      <c r="B788" s="219"/>
      <c r="C788" s="219"/>
      <c r="D788" s="219"/>
      <c r="E788" s="219"/>
      <c r="F788" s="219"/>
      <c r="G788" s="219"/>
      <c r="H788" s="219"/>
      <c r="I788" s="219"/>
      <c r="J788" s="219"/>
      <c r="K788" s="219"/>
      <c r="L788" s="219"/>
      <c r="M788" s="219"/>
      <c r="N788" s="219"/>
      <c r="O788" s="219"/>
      <c r="P788" s="219"/>
      <c r="Q788" s="221"/>
    </row>
    <row r="789" spans="2:17" x14ac:dyDescent="0.2">
      <c r="B789" s="219"/>
      <c r="C789" s="219"/>
      <c r="D789" s="219"/>
      <c r="E789" s="219"/>
      <c r="F789" s="219"/>
      <c r="G789" s="219"/>
      <c r="H789" s="219"/>
      <c r="I789" s="219"/>
      <c r="J789" s="219"/>
      <c r="K789" s="219"/>
      <c r="L789" s="219"/>
      <c r="M789" s="219"/>
      <c r="N789" s="219"/>
      <c r="O789" s="219"/>
      <c r="P789" s="219"/>
      <c r="Q789" s="221"/>
    </row>
    <row r="790" spans="2:17" x14ac:dyDescent="0.2">
      <c r="B790" s="219"/>
      <c r="C790" s="219"/>
      <c r="D790" s="219"/>
      <c r="E790" s="219"/>
      <c r="F790" s="219"/>
      <c r="G790" s="219"/>
      <c r="H790" s="219"/>
      <c r="I790" s="219"/>
      <c r="J790" s="219"/>
      <c r="K790" s="219"/>
      <c r="L790" s="219"/>
      <c r="M790" s="219"/>
      <c r="N790" s="219"/>
      <c r="O790" s="219"/>
      <c r="P790" s="219"/>
      <c r="Q790" s="221"/>
    </row>
    <row r="791" spans="2:17" x14ac:dyDescent="0.2">
      <c r="B791" s="219"/>
      <c r="C791" s="219"/>
      <c r="D791" s="219"/>
      <c r="E791" s="219"/>
      <c r="F791" s="219"/>
      <c r="G791" s="219"/>
      <c r="H791" s="219"/>
      <c r="I791" s="219"/>
      <c r="J791" s="219"/>
      <c r="K791" s="219"/>
      <c r="L791" s="219"/>
      <c r="M791" s="219"/>
      <c r="N791" s="219"/>
      <c r="O791" s="219"/>
      <c r="P791" s="219"/>
      <c r="Q791" s="221"/>
    </row>
    <row r="792" spans="2:17" x14ac:dyDescent="0.2">
      <c r="B792" s="219"/>
      <c r="C792" s="219"/>
      <c r="D792" s="219"/>
      <c r="E792" s="219"/>
      <c r="F792" s="219"/>
      <c r="G792" s="219"/>
      <c r="H792" s="219"/>
      <c r="I792" s="219"/>
      <c r="J792" s="219"/>
      <c r="K792" s="219"/>
      <c r="L792" s="219"/>
      <c r="M792" s="219"/>
      <c r="N792" s="219"/>
      <c r="O792" s="219"/>
      <c r="P792" s="219"/>
      <c r="Q792" s="221"/>
    </row>
    <row r="793" spans="2:17" x14ac:dyDescent="0.2">
      <c r="B793" s="219"/>
      <c r="C793" s="219"/>
      <c r="D793" s="219"/>
      <c r="E793" s="219"/>
      <c r="F793" s="219"/>
      <c r="G793" s="219"/>
      <c r="H793" s="219"/>
      <c r="I793" s="219"/>
      <c r="J793" s="219"/>
      <c r="K793" s="219"/>
      <c r="L793" s="219"/>
      <c r="M793" s="219"/>
      <c r="N793" s="219"/>
      <c r="O793" s="219"/>
      <c r="P793" s="219"/>
      <c r="Q793" s="221"/>
    </row>
    <row r="794" spans="2:17" x14ac:dyDescent="0.2">
      <c r="B794" s="219"/>
      <c r="C794" s="219"/>
      <c r="D794" s="219"/>
      <c r="E794" s="219"/>
      <c r="F794" s="219"/>
      <c r="G794" s="219"/>
      <c r="H794" s="219"/>
      <c r="I794" s="219"/>
      <c r="J794" s="219"/>
      <c r="K794" s="219"/>
      <c r="L794" s="219"/>
      <c r="M794" s="219"/>
      <c r="N794" s="219"/>
      <c r="O794" s="219"/>
      <c r="P794" s="219"/>
      <c r="Q794" s="221"/>
    </row>
    <row r="795" spans="2:17" x14ac:dyDescent="0.2">
      <c r="B795" s="219"/>
      <c r="C795" s="219"/>
      <c r="D795" s="219"/>
      <c r="E795" s="219"/>
      <c r="F795" s="219"/>
      <c r="G795" s="219"/>
      <c r="H795" s="219"/>
      <c r="I795" s="219"/>
      <c r="J795" s="219"/>
      <c r="K795" s="219"/>
      <c r="L795" s="219"/>
      <c r="M795" s="219"/>
      <c r="N795" s="219"/>
      <c r="O795" s="219"/>
      <c r="P795" s="219"/>
      <c r="Q795" s="221"/>
    </row>
    <row r="796" spans="2:17" x14ac:dyDescent="0.2">
      <c r="B796" s="219"/>
      <c r="C796" s="219"/>
      <c r="D796" s="219"/>
      <c r="E796" s="219"/>
      <c r="F796" s="219"/>
      <c r="G796" s="219"/>
      <c r="H796" s="219"/>
      <c r="I796" s="219"/>
      <c r="J796" s="219"/>
      <c r="K796" s="219"/>
      <c r="L796" s="219"/>
      <c r="M796" s="219"/>
      <c r="N796" s="219"/>
      <c r="O796" s="219"/>
      <c r="P796" s="219"/>
      <c r="Q796" s="221"/>
    </row>
    <row r="797" spans="2:17" x14ac:dyDescent="0.2">
      <c r="B797" s="219"/>
      <c r="C797" s="219"/>
      <c r="D797" s="219"/>
      <c r="E797" s="219"/>
      <c r="F797" s="219"/>
      <c r="G797" s="219"/>
      <c r="H797" s="219"/>
      <c r="I797" s="219"/>
      <c r="J797" s="219"/>
      <c r="K797" s="219"/>
      <c r="L797" s="219"/>
      <c r="M797" s="219"/>
      <c r="N797" s="219"/>
      <c r="O797" s="219"/>
      <c r="P797" s="219"/>
      <c r="Q797" s="221"/>
    </row>
    <row r="798" spans="2:17" x14ac:dyDescent="0.2">
      <c r="B798" s="219"/>
      <c r="C798" s="219"/>
      <c r="D798" s="219"/>
      <c r="E798" s="219"/>
      <c r="F798" s="219"/>
      <c r="G798" s="219"/>
      <c r="H798" s="219"/>
      <c r="I798" s="219"/>
      <c r="J798" s="219"/>
      <c r="K798" s="219"/>
      <c r="L798" s="219"/>
      <c r="M798" s="219"/>
      <c r="N798" s="219"/>
      <c r="O798" s="219"/>
      <c r="P798" s="219"/>
      <c r="Q798" s="221"/>
    </row>
    <row r="799" spans="2:17" x14ac:dyDescent="0.2">
      <c r="B799" s="219"/>
      <c r="C799" s="219"/>
      <c r="D799" s="219"/>
      <c r="E799" s="219"/>
      <c r="F799" s="219"/>
      <c r="G799" s="219"/>
      <c r="H799" s="219"/>
      <c r="I799" s="219"/>
      <c r="J799" s="219"/>
      <c r="K799" s="219"/>
      <c r="L799" s="219"/>
      <c r="M799" s="219"/>
      <c r="N799" s="219"/>
      <c r="O799" s="219"/>
      <c r="P799" s="219"/>
      <c r="Q799" s="221"/>
    </row>
    <row r="800" spans="2:17" x14ac:dyDescent="0.2">
      <c r="B800" s="219"/>
      <c r="C800" s="219"/>
      <c r="D800" s="219"/>
      <c r="E800" s="219"/>
      <c r="F800" s="219"/>
      <c r="G800" s="219"/>
      <c r="H800" s="219"/>
      <c r="I800" s="219"/>
      <c r="J800" s="219"/>
      <c r="K800" s="219"/>
      <c r="L800" s="219"/>
      <c r="M800" s="219"/>
      <c r="N800" s="219"/>
      <c r="O800" s="219"/>
      <c r="P800" s="219"/>
      <c r="Q800" s="221"/>
    </row>
    <row r="801" spans="2:17" x14ac:dyDescent="0.2">
      <c r="B801" s="219"/>
      <c r="C801" s="219"/>
      <c r="D801" s="219"/>
      <c r="E801" s="219"/>
      <c r="F801" s="219"/>
      <c r="G801" s="219"/>
      <c r="H801" s="219"/>
      <c r="I801" s="219"/>
      <c r="J801" s="219"/>
      <c r="K801" s="219"/>
      <c r="L801" s="219"/>
      <c r="M801" s="219"/>
      <c r="N801" s="219"/>
      <c r="O801" s="219"/>
      <c r="P801" s="219"/>
      <c r="Q801" s="221"/>
    </row>
    <row r="802" spans="2:17" x14ac:dyDescent="0.2">
      <c r="B802" s="219"/>
      <c r="C802" s="219"/>
      <c r="D802" s="219"/>
      <c r="E802" s="219"/>
      <c r="F802" s="219"/>
      <c r="G802" s="219"/>
      <c r="H802" s="219"/>
      <c r="I802" s="219"/>
      <c r="J802" s="219"/>
      <c r="K802" s="219"/>
      <c r="L802" s="219"/>
      <c r="M802" s="219"/>
      <c r="N802" s="219"/>
      <c r="O802" s="219"/>
      <c r="P802" s="219"/>
      <c r="Q802" s="221"/>
    </row>
    <row r="803" spans="2:17" x14ac:dyDescent="0.2">
      <c r="B803" s="219"/>
      <c r="C803" s="219"/>
      <c r="D803" s="219"/>
      <c r="E803" s="219"/>
      <c r="F803" s="219"/>
      <c r="G803" s="219"/>
      <c r="H803" s="219"/>
      <c r="I803" s="219"/>
      <c r="J803" s="219"/>
      <c r="K803" s="219"/>
      <c r="L803" s="219"/>
      <c r="M803" s="219"/>
      <c r="N803" s="219"/>
      <c r="O803" s="219"/>
      <c r="P803" s="219"/>
      <c r="Q803" s="221"/>
    </row>
    <row r="804" spans="2:17" x14ac:dyDescent="0.2">
      <c r="B804" s="219"/>
      <c r="C804" s="219"/>
      <c r="D804" s="219"/>
      <c r="E804" s="219"/>
      <c r="F804" s="219"/>
      <c r="G804" s="219"/>
      <c r="H804" s="219"/>
      <c r="I804" s="219"/>
      <c r="J804" s="219"/>
      <c r="K804" s="219"/>
      <c r="L804" s="219"/>
      <c r="M804" s="219"/>
      <c r="N804" s="219"/>
      <c r="O804" s="219"/>
      <c r="P804" s="219"/>
      <c r="Q804" s="221"/>
    </row>
    <row r="805" spans="2:17" x14ac:dyDescent="0.2">
      <c r="B805" s="219"/>
      <c r="C805" s="219"/>
      <c r="D805" s="219"/>
      <c r="E805" s="219"/>
      <c r="F805" s="219"/>
      <c r="G805" s="219"/>
      <c r="H805" s="219"/>
      <c r="I805" s="219"/>
      <c r="J805" s="219"/>
      <c r="K805" s="219"/>
      <c r="L805" s="219"/>
      <c r="M805" s="219"/>
      <c r="N805" s="219"/>
      <c r="O805" s="219"/>
      <c r="P805" s="219"/>
      <c r="Q805" s="221"/>
    </row>
    <row r="806" spans="2:17" x14ac:dyDescent="0.2">
      <c r="B806" s="219"/>
      <c r="C806" s="219"/>
      <c r="D806" s="219"/>
      <c r="E806" s="219"/>
      <c r="F806" s="219"/>
      <c r="G806" s="219"/>
      <c r="H806" s="219"/>
      <c r="I806" s="219"/>
      <c r="J806" s="219"/>
      <c r="K806" s="219"/>
      <c r="L806" s="219"/>
      <c r="M806" s="219"/>
      <c r="N806" s="219"/>
      <c r="O806" s="219"/>
      <c r="P806" s="219"/>
      <c r="Q806" s="221"/>
    </row>
    <row r="807" spans="2:17" x14ac:dyDescent="0.2">
      <c r="B807" s="219"/>
      <c r="C807" s="219"/>
      <c r="D807" s="219"/>
      <c r="E807" s="219"/>
      <c r="F807" s="219"/>
      <c r="G807" s="219"/>
      <c r="H807" s="219"/>
      <c r="I807" s="219"/>
      <c r="J807" s="219"/>
      <c r="K807" s="219"/>
      <c r="L807" s="219"/>
      <c r="M807" s="219"/>
      <c r="N807" s="219"/>
      <c r="O807" s="219"/>
      <c r="P807" s="219"/>
      <c r="Q807" s="221"/>
    </row>
    <row r="808" spans="2:17" x14ac:dyDescent="0.2">
      <c r="B808" s="219"/>
      <c r="C808" s="219"/>
      <c r="D808" s="219"/>
      <c r="E808" s="219"/>
      <c r="F808" s="219"/>
      <c r="G808" s="219"/>
      <c r="H808" s="219"/>
      <c r="I808" s="219"/>
      <c r="J808" s="219"/>
      <c r="K808" s="219"/>
      <c r="L808" s="219"/>
      <c r="M808" s="219"/>
      <c r="N808" s="219"/>
      <c r="O808" s="219"/>
      <c r="P808" s="219"/>
      <c r="Q808" s="221"/>
    </row>
    <row r="809" spans="2:17" x14ac:dyDescent="0.2">
      <c r="B809" s="219"/>
      <c r="C809" s="219"/>
      <c r="D809" s="219"/>
      <c r="E809" s="219"/>
      <c r="F809" s="219"/>
      <c r="G809" s="219"/>
      <c r="H809" s="219"/>
      <c r="I809" s="219"/>
      <c r="J809" s="219"/>
      <c r="K809" s="219"/>
      <c r="L809" s="219"/>
      <c r="M809" s="219"/>
      <c r="N809" s="219"/>
      <c r="O809" s="219"/>
      <c r="P809" s="219"/>
      <c r="Q809" s="221"/>
    </row>
    <row r="810" spans="2:17" x14ac:dyDescent="0.2">
      <c r="B810" s="219"/>
      <c r="C810" s="219"/>
      <c r="D810" s="219"/>
      <c r="E810" s="219"/>
      <c r="F810" s="219"/>
      <c r="G810" s="219"/>
      <c r="H810" s="219"/>
      <c r="I810" s="219"/>
      <c r="J810" s="219"/>
      <c r="K810" s="219"/>
      <c r="L810" s="219"/>
      <c r="M810" s="219"/>
      <c r="N810" s="219"/>
      <c r="O810" s="219"/>
      <c r="P810" s="219"/>
      <c r="Q810" s="221"/>
    </row>
    <row r="811" spans="2:17" x14ac:dyDescent="0.2">
      <c r="B811" s="219"/>
      <c r="C811" s="219"/>
      <c r="D811" s="219"/>
      <c r="E811" s="219"/>
      <c r="F811" s="219"/>
      <c r="G811" s="219"/>
      <c r="H811" s="219"/>
      <c r="I811" s="219"/>
      <c r="J811" s="219"/>
      <c r="K811" s="219"/>
      <c r="L811" s="219"/>
      <c r="M811" s="219"/>
      <c r="N811" s="219"/>
      <c r="O811" s="219"/>
      <c r="P811" s="219"/>
      <c r="Q811" s="221"/>
    </row>
    <row r="812" spans="2:17" x14ac:dyDescent="0.2">
      <c r="B812" s="219"/>
      <c r="C812" s="219"/>
      <c r="D812" s="219"/>
      <c r="E812" s="219"/>
      <c r="F812" s="219"/>
      <c r="G812" s="219"/>
      <c r="H812" s="219"/>
      <c r="I812" s="219"/>
      <c r="J812" s="219"/>
      <c r="K812" s="219"/>
      <c r="L812" s="219"/>
      <c r="M812" s="219"/>
      <c r="N812" s="219"/>
      <c r="O812" s="219"/>
      <c r="P812" s="219"/>
      <c r="Q812" s="221"/>
    </row>
    <row r="813" spans="2:17" x14ac:dyDescent="0.2">
      <c r="B813" s="219"/>
      <c r="C813" s="219"/>
      <c r="D813" s="219"/>
      <c r="E813" s="219"/>
      <c r="F813" s="219"/>
      <c r="G813" s="219"/>
      <c r="H813" s="219"/>
      <c r="I813" s="219"/>
      <c r="J813" s="219"/>
      <c r="K813" s="219"/>
      <c r="L813" s="219"/>
      <c r="M813" s="219"/>
      <c r="N813" s="219"/>
      <c r="O813" s="219"/>
      <c r="P813" s="219"/>
      <c r="Q813" s="221"/>
    </row>
    <row r="814" spans="2:17" x14ac:dyDescent="0.2">
      <c r="B814" s="219"/>
      <c r="C814" s="219"/>
      <c r="D814" s="219"/>
      <c r="E814" s="219"/>
      <c r="F814" s="219"/>
      <c r="G814" s="219"/>
      <c r="H814" s="219"/>
      <c r="I814" s="219"/>
      <c r="J814" s="219"/>
      <c r="K814" s="219"/>
      <c r="L814" s="219"/>
      <c r="M814" s="219"/>
      <c r="N814" s="219"/>
      <c r="O814" s="219"/>
      <c r="P814" s="219"/>
      <c r="Q814" s="221"/>
    </row>
    <row r="815" spans="2:17" x14ac:dyDescent="0.2">
      <c r="B815" s="219"/>
      <c r="C815" s="219"/>
      <c r="D815" s="219"/>
      <c r="E815" s="219"/>
      <c r="F815" s="219"/>
      <c r="G815" s="219"/>
      <c r="H815" s="219"/>
      <c r="I815" s="219"/>
      <c r="J815" s="219"/>
      <c r="K815" s="219"/>
      <c r="L815" s="219"/>
      <c r="M815" s="219"/>
      <c r="N815" s="219"/>
      <c r="O815" s="219"/>
      <c r="P815" s="219"/>
      <c r="Q815" s="221"/>
    </row>
    <row r="816" spans="2:17" x14ac:dyDescent="0.2">
      <c r="B816" s="219"/>
      <c r="C816" s="219"/>
      <c r="D816" s="219"/>
      <c r="E816" s="219"/>
      <c r="F816" s="219"/>
      <c r="G816" s="219"/>
      <c r="H816" s="219"/>
      <c r="I816" s="219"/>
      <c r="J816" s="219"/>
      <c r="K816" s="219"/>
      <c r="L816" s="219"/>
      <c r="M816" s="219"/>
      <c r="N816" s="219"/>
      <c r="O816" s="219"/>
      <c r="P816" s="219"/>
      <c r="Q816" s="221"/>
    </row>
    <row r="817" spans="2:17" x14ac:dyDescent="0.2">
      <c r="B817" s="219"/>
      <c r="C817" s="219"/>
      <c r="D817" s="219"/>
      <c r="E817" s="219"/>
      <c r="F817" s="219"/>
      <c r="G817" s="219"/>
      <c r="H817" s="219"/>
      <c r="I817" s="219"/>
      <c r="J817" s="219"/>
      <c r="K817" s="219"/>
      <c r="L817" s="219"/>
      <c r="M817" s="219"/>
      <c r="N817" s="219"/>
      <c r="O817" s="219"/>
      <c r="P817" s="219"/>
      <c r="Q817" s="221"/>
    </row>
    <row r="818" spans="2:17" x14ac:dyDescent="0.2">
      <c r="B818" s="219"/>
      <c r="C818" s="219"/>
      <c r="D818" s="219"/>
      <c r="E818" s="219"/>
      <c r="F818" s="219"/>
      <c r="G818" s="219"/>
      <c r="H818" s="219"/>
      <c r="I818" s="219"/>
      <c r="J818" s="219"/>
      <c r="K818" s="219"/>
      <c r="L818" s="219"/>
      <c r="M818" s="219"/>
      <c r="N818" s="219"/>
      <c r="O818" s="219"/>
      <c r="P818" s="219"/>
      <c r="Q818" s="221"/>
    </row>
    <row r="819" spans="2:17" x14ac:dyDescent="0.2">
      <c r="B819" s="219"/>
      <c r="C819" s="219"/>
      <c r="D819" s="219"/>
      <c r="E819" s="219"/>
      <c r="F819" s="219"/>
      <c r="G819" s="219"/>
      <c r="H819" s="219"/>
      <c r="I819" s="219"/>
      <c r="J819" s="219"/>
      <c r="K819" s="219"/>
      <c r="L819" s="219"/>
      <c r="M819" s="219"/>
      <c r="N819" s="219"/>
      <c r="O819" s="219"/>
      <c r="P819" s="219"/>
      <c r="Q819" s="221"/>
    </row>
    <row r="820" spans="2:17" x14ac:dyDescent="0.2">
      <c r="B820" s="219"/>
      <c r="C820" s="219"/>
      <c r="D820" s="219"/>
      <c r="E820" s="219"/>
      <c r="F820" s="219"/>
      <c r="G820" s="219"/>
      <c r="H820" s="219"/>
      <c r="I820" s="219"/>
      <c r="J820" s="219"/>
      <c r="K820" s="219"/>
      <c r="L820" s="219"/>
      <c r="M820" s="219"/>
      <c r="N820" s="219"/>
      <c r="O820" s="219"/>
      <c r="P820" s="219"/>
      <c r="Q820" s="221"/>
    </row>
    <row r="821" spans="2:17" x14ac:dyDescent="0.2">
      <c r="B821" s="219"/>
      <c r="C821" s="219"/>
      <c r="D821" s="219"/>
      <c r="E821" s="219"/>
      <c r="F821" s="219"/>
      <c r="G821" s="219"/>
      <c r="H821" s="219"/>
      <c r="I821" s="219"/>
      <c r="J821" s="219"/>
      <c r="K821" s="219"/>
      <c r="L821" s="219"/>
      <c r="M821" s="219"/>
      <c r="N821" s="219"/>
      <c r="O821" s="219"/>
      <c r="P821" s="219"/>
      <c r="Q821" s="221"/>
    </row>
    <row r="822" spans="2:17" x14ac:dyDescent="0.2">
      <c r="B822" s="219"/>
      <c r="C822" s="219"/>
      <c r="D822" s="219"/>
      <c r="E822" s="219"/>
      <c r="F822" s="219"/>
      <c r="G822" s="219"/>
      <c r="H822" s="219"/>
      <c r="I822" s="219"/>
      <c r="J822" s="219"/>
      <c r="K822" s="219"/>
      <c r="L822" s="219"/>
      <c r="M822" s="219"/>
      <c r="N822" s="219"/>
      <c r="O822" s="219"/>
      <c r="P822" s="219"/>
      <c r="Q822" s="221"/>
    </row>
    <row r="823" spans="2:17" x14ac:dyDescent="0.2">
      <c r="B823" s="219"/>
      <c r="C823" s="219"/>
      <c r="D823" s="219"/>
      <c r="E823" s="219"/>
      <c r="F823" s="219"/>
      <c r="G823" s="219"/>
      <c r="H823" s="219"/>
      <c r="I823" s="219"/>
      <c r="J823" s="219"/>
      <c r="K823" s="219"/>
      <c r="L823" s="219"/>
      <c r="M823" s="219"/>
      <c r="N823" s="219"/>
      <c r="O823" s="219"/>
      <c r="P823" s="219"/>
      <c r="Q823" s="221"/>
    </row>
    <row r="824" spans="2:17" x14ac:dyDescent="0.2">
      <c r="B824" s="219"/>
      <c r="C824" s="219"/>
      <c r="D824" s="219"/>
      <c r="E824" s="219"/>
      <c r="F824" s="219"/>
      <c r="G824" s="219"/>
      <c r="H824" s="219"/>
      <c r="I824" s="219"/>
      <c r="J824" s="219"/>
      <c r="K824" s="219"/>
      <c r="L824" s="219"/>
      <c r="M824" s="219"/>
      <c r="N824" s="219"/>
      <c r="O824" s="219"/>
      <c r="P824" s="219"/>
      <c r="Q824" s="221"/>
    </row>
    <row r="825" spans="2:17" x14ac:dyDescent="0.2">
      <c r="B825" s="219"/>
      <c r="C825" s="219"/>
      <c r="D825" s="219"/>
      <c r="E825" s="219"/>
      <c r="F825" s="219"/>
      <c r="G825" s="219"/>
      <c r="H825" s="219"/>
      <c r="I825" s="219"/>
      <c r="J825" s="219"/>
      <c r="K825" s="219"/>
      <c r="L825" s="219"/>
      <c r="M825" s="219"/>
      <c r="N825" s="219"/>
      <c r="O825" s="219"/>
      <c r="P825" s="219"/>
      <c r="Q825" s="221"/>
    </row>
    <row r="826" spans="2:17" x14ac:dyDescent="0.2">
      <c r="B826" s="219"/>
      <c r="C826" s="219"/>
      <c r="D826" s="219"/>
      <c r="E826" s="219"/>
      <c r="F826" s="219"/>
      <c r="G826" s="219"/>
      <c r="H826" s="219"/>
      <c r="I826" s="219"/>
      <c r="J826" s="219"/>
      <c r="K826" s="219"/>
      <c r="L826" s="219"/>
      <c r="M826" s="219"/>
      <c r="N826" s="219"/>
      <c r="O826" s="219"/>
      <c r="P826" s="219"/>
      <c r="Q826" s="221"/>
    </row>
    <row r="827" spans="2:17" x14ac:dyDescent="0.2">
      <c r="B827" s="219"/>
      <c r="C827" s="219"/>
      <c r="D827" s="219"/>
      <c r="E827" s="219"/>
      <c r="F827" s="219"/>
      <c r="G827" s="219"/>
      <c r="H827" s="219"/>
      <c r="I827" s="219"/>
      <c r="J827" s="219"/>
      <c r="K827" s="219"/>
      <c r="L827" s="219"/>
      <c r="M827" s="219"/>
      <c r="N827" s="219"/>
      <c r="O827" s="219"/>
      <c r="P827" s="219"/>
      <c r="Q827" s="221"/>
    </row>
    <row r="828" spans="2:17" x14ac:dyDescent="0.2">
      <c r="B828" s="219"/>
      <c r="C828" s="219"/>
      <c r="D828" s="219"/>
      <c r="E828" s="219"/>
      <c r="F828" s="219"/>
      <c r="G828" s="219"/>
      <c r="H828" s="219"/>
      <c r="I828" s="219"/>
      <c r="J828" s="219"/>
      <c r="K828" s="219"/>
      <c r="L828" s="219"/>
      <c r="M828" s="219"/>
      <c r="N828" s="219"/>
      <c r="O828" s="219"/>
      <c r="P828" s="219"/>
      <c r="Q828" s="221"/>
    </row>
    <row r="829" spans="2:17" x14ac:dyDescent="0.2">
      <c r="B829" s="219"/>
      <c r="C829" s="219"/>
      <c r="D829" s="219"/>
      <c r="E829" s="219"/>
      <c r="F829" s="219"/>
      <c r="G829" s="219"/>
      <c r="H829" s="219"/>
      <c r="I829" s="219"/>
      <c r="J829" s="219"/>
      <c r="K829" s="219"/>
      <c r="L829" s="219"/>
      <c r="M829" s="219"/>
      <c r="N829" s="219"/>
      <c r="O829" s="219"/>
      <c r="P829" s="219"/>
      <c r="Q829" s="221"/>
    </row>
    <row r="830" spans="2:17" x14ac:dyDescent="0.2">
      <c r="B830" s="219"/>
      <c r="C830" s="219"/>
      <c r="D830" s="219"/>
      <c r="E830" s="219"/>
      <c r="F830" s="219"/>
      <c r="G830" s="219"/>
      <c r="H830" s="219"/>
      <c r="I830" s="219"/>
      <c r="J830" s="219"/>
      <c r="K830" s="219"/>
      <c r="L830" s="219"/>
      <c r="M830" s="219"/>
      <c r="N830" s="219"/>
      <c r="O830" s="219"/>
      <c r="P830" s="219"/>
      <c r="Q830" s="221"/>
    </row>
    <row r="831" spans="2:17" x14ac:dyDescent="0.2">
      <c r="B831" s="219"/>
      <c r="C831" s="219"/>
      <c r="D831" s="219"/>
      <c r="E831" s="219"/>
      <c r="F831" s="219"/>
      <c r="G831" s="219"/>
      <c r="H831" s="219"/>
      <c r="I831" s="219"/>
      <c r="J831" s="219"/>
      <c r="K831" s="219"/>
      <c r="L831" s="219"/>
      <c r="M831" s="219"/>
      <c r="N831" s="219"/>
      <c r="O831" s="219"/>
      <c r="P831" s="219"/>
      <c r="Q831" s="221"/>
    </row>
    <row r="832" spans="2:17" x14ac:dyDescent="0.2">
      <c r="B832" s="219"/>
      <c r="C832" s="219"/>
      <c r="D832" s="219"/>
      <c r="E832" s="219"/>
      <c r="F832" s="219"/>
      <c r="G832" s="219"/>
      <c r="H832" s="219"/>
      <c r="I832" s="219"/>
      <c r="J832" s="219"/>
      <c r="K832" s="219"/>
      <c r="L832" s="219"/>
      <c r="M832" s="219"/>
      <c r="N832" s="219"/>
      <c r="O832" s="219"/>
      <c r="P832" s="219"/>
      <c r="Q832" s="221"/>
    </row>
    <row r="833" spans="2:17" x14ac:dyDescent="0.2">
      <c r="B833" s="219"/>
      <c r="C833" s="219"/>
      <c r="D833" s="219"/>
      <c r="E833" s="219"/>
      <c r="F833" s="219"/>
      <c r="G833" s="219"/>
      <c r="H833" s="219"/>
      <c r="I833" s="219"/>
      <c r="J833" s="219"/>
      <c r="K833" s="219"/>
      <c r="L833" s="219"/>
      <c r="M833" s="219"/>
      <c r="N833" s="219"/>
      <c r="O833" s="219"/>
      <c r="P833" s="219"/>
      <c r="Q833" s="221"/>
    </row>
    <row r="834" spans="2:17" x14ac:dyDescent="0.2">
      <c r="B834" s="219"/>
      <c r="C834" s="219"/>
      <c r="D834" s="219"/>
      <c r="E834" s="219"/>
      <c r="F834" s="219"/>
      <c r="G834" s="219"/>
      <c r="H834" s="219"/>
      <c r="I834" s="219"/>
      <c r="J834" s="219"/>
      <c r="K834" s="219"/>
      <c r="L834" s="219"/>
      <c r="M834" s="219"/>
      <c r="N834" s="219"/>
      <c r="O834" s="219"/>
      <c r="P834" s="219"/>
      <c r="Q834" s="221"/>
    </row>
    <row r="835" spans="2:17" x14ac:dyDescent="0.2">
      <c r="B835" s="219"/>
      <c r="C835" s="219"/>
      <c r="D835" s="219"/>
      <c r="E835" s="219"/>
      <c r="F835" s="219"/>
      <c r="G835" s="219"/>
      <c r="H835" s="219"/>
      <c r="I835" s="219"/>
      <c r="J835" s="219"/>
      <c r="K835" s="219"/>
      <c r="L835" s="219"/>
      <c r="M835" s="219"/>
      <c r="N835" s="219"/>
      <c r="O835" s="219"/>
      <c r="P835" s="219"/>
      <c r="Q835" s="221"/>
    </row>
    <row r="836" spans="2:17" x14ac:dyDescent="0.2">
      <c r="B836" s="219"/>
      <c r="C836" s="219"/>
      <c r="D836" s="219"/>
      <c r="E836" s="219"/>
      <c r="F836" s="219"/>
      <c r="G836" s="219"/>
      <c r="H836" s="219"/>
      <c r="I836" s="219"/>
      <c r="J836" s="219"/>
      <c r="K836" s="219"/>
      <c r="L836" s="219"/>
      <c r="M836" s="219"/>
      <c r="N836" s="219"/>
      <c r="O836" s="219"/>
      <c r="P836" s="219"/>
      <c r="Q836" s="221"/>
    </row>
    <row r="837" spans="2:17" x14ac:dyDescent="0.2">
      <c r="B837" s="219"/>
      <c r="C837" s="219"/>
      <c r="D837" s="219"/>
      <c r="E837" s="219"/>
      <c r="F837" s="219"/>
      <c r="G837" s="219"/>
      <c r="H837" s="219"/>
      <c r="I837" s="219"/>
      <c r="J837" s="219"/>
      <c r="K837" s="219"/>
      <c r="L837" s="219"/>
      <c r="M837" s="219"/>
      <c r="N837" s="219"/>
      <c r="O837" s="219"/>
      <c r="P837" s="219"/>
      <c r="Q837" s="221"/>
    </row>
    <row r="838" spans="2:17" x14ac:dyDescent="0.2">
      <c r="B838" s="219"/>
      <c r="C838" s="219"/>
      <c r="D838" s="219"/>
      <c r="E838" s="219"/>
      <c r="F838" s="219"/>
      <c r="G838" s="219"/>
      <c r="H838" s="219"/>
      <c r="I838" s="219"/>
      <c r="J838" s="219"/>
      <c r="K838" s="219"/>
      <c r="L838" s="219"/>
      <c r="M838" s="219"/>
      <c r="N838" s="219"/>
      <c r="O838" s="219"/>
      <c r="P838" s="219"/>
      <c r="Q838" s="221"/>
    </row>
    <row r="839" spans="2:17" x14ac:dyDescent="0.2">
      <c r="B839" s="219"/>
      <c r="C839" s="219"/>
      <c r="D839" s="219"/>
      <c r="E839" s="219"/>
      <c r="F839" s="219"/>
      <c r="G839" s="219"/>
      <c r="H839" s="219"/>
      <c r="I839" s="219"/>
      <c r="J839" s="219"/>
      <c r="K839" s="219"/>
      <c r="L839" s="219"/>
      <c r="M839" s="219"/>
      <c r="N839" s="219"/>
      <c r="O839" s="219"/>
      <c r="P839" s="219"/>
      <c r="Q839" s="221"/>
    </row>
    <row r="840" spans="2:17" x14ac:dyDescent="0.2">
      <c r="B840" s="219"/>
      <c r="C840" s="219"/>
      <c r="D840" s="219"/>
      <c r="E840" s="219"/>
      <c r="F840" s="219"/>
      <c r="G840" s="219"/>
      <c r="H840" s="219"/>
      <c r="I840" s="219"/>
      <c r="J840" s="219"/>
      <c r="K840" s="219"/>
      <c r="L840" s="219"/>
      <c r="M840" s="219"/>
      <c r="N840" s="219"/>
      <c r="O840" s="219"/>
      <c r="P840" s="219"/>
      <c r="Q840" s="221"/>
    </row>
    <row r="841" spans="2:17" x14ac:dyDescent="0.2">
      <c r="B841" s="219"/>
      <c r="C841" s="219"/>
      <c r="D841" s="219"/>
      <c r="E841" s="219"/>
      <c r="F841" s="219"/>
      <c r="G841" s="219"/>
      <c r="H841" s="219"/>
      <c r="I841" s="219"/>
      <c r="J841" s="219"/>
      <c r="K841" s="219"/>
      <c r="L841" s="219"/>
      <c r="M841" s="219"/>
      <c r="N841" s="219"/>
      <c r="O841" s="219"/>
      <c r="P841" s="219"/>
      <c r="Q841" s="221"/>
    </row>
    <row r="842" spans="2:17" x14ac:dyDescent="0.2">
      <c r="B842" s="219"/>
      <c r="C842" s="219"/>
      <c r="D842" s="219"/>
      <c r="E842" s="219"/>
      <c r="F842" s="219"/>
      <c r="G842" s="219"/>
      <c r="H842" s="219"/>
      <c r="I842" s="219"/>
      <c r="J842" s="219"/>
      <c r="K842" s="219"/>
      <c r="L842" s="219"/>
      <c r="M842" s="219"/>
      <c r="N842" s="219"/>
      <c r="O842" s="219"/>
      <c r="P842" s="219"/>
      <c r="Q842" s="221"/>
    </row>
    <row r="843" spans="2:17" x14ac:dyDescent="0.2">
      <c r="B843" s="219"/>
      <c r="C843" s="219"/>
      <c r="D843" s="219"/>
      <c r="E843" s="219"/>
      <c r="F843" s="219"/>
      <c r="G843" s="219"/>
      <c r="H843" s="219"/>
      <c r="I843" s="219"/>
      <c r="J843" s="219"/>
      <c r="K843" s="219"/>
      <c r="L843" s="219"/>
      <c r="M843" s="219"/>
      <c r="N843" s="219"/>
      <c r="O843" s="219"/>
      <c r="P843" s="219"/>
      <c r="Q843" s="221"/>
    </row>
    <row r="844" spans="2:17" x14ac:dyDescent="0.2">
      <c r="B844" s="219"/>
      <c r="C844" s="219"/>
      <c r="D844" s="219"/>
      <c r="E844" s="219"/>
      <c r="F844" s="219"/>
      <c r="G844" s="219"/>
      <c r="H844" s="219"/>
      <c r="I844" s="219"/>
      <c r="J844" s="219"/>
      <c r="K844" s="219"/>
      <c r="L844" s="219"/>
      <c r="M844" s="219"/>
      <c r="N844" s="219"/>
      <c r="O844" s="219"/>
      <c r="P844" s="219"/>
      <c r="Q844" s="221"/>
    </row>
    <row r="845" spans="2:17" x14ac:dyDescent="0.2">
      <c r="B845" s="219"/>
      <c r="C845" s="219"/>
      <c r="D845" s="219"/>
      <c r="E845" s="219"/>
      <c r="F845" s="219"/>
      <c r="G845" s="219"/>
      <c r="H845" s="219"/>
      <c r="I845" s="219"/>
      <c r="J845" s="219"/>
      <c r="K845" s="219"/>
      <c r="L845" s="219"/>
      <c r="M845" s="219"/>
      <c r="N845" s="219"/>
      <c r="O845" s="219"/>
      <c r="P845" s="219"/>
      <c r="Q845" s="221"/>
    </row>
    <row r="846" spans="2:17" x14ac:dyDescent="0.2">
      <c r="B846" s="219"/>
      <c r="C846" s="219"/>
      <c r="D846" s="219"/>
      <c r="E846" s="219"/>
      <c r="F846" s="219"/>
      <c r="G846" s="219"/>
      <c r="H846" s="219"/>
      <c r="I846" s="219"/>
      <c r="J846" s="219"/>
      <c r="K846" s="219"/>
      <c r="L846" s="219"/>
      <c r="M846" s="219"/>
      <c r="N846" s="219"/>
      <c r="O846" s="219"/>
      <c r="P846" s="219"/>
      <c r="Q846" s="221"/>
    </row>
    <row r="847" spans="2:17" x14ac:dyDescent="0.2">
      <c r="B847" s="219"/>
      <c r="C847" s="219"/>
      <c r="D847" s="219"/>
      <c r="E847" s="219"/>
      <c r="F847" s="219"/>
      <c r="G847" s="219"/>
      <c r="H847" s="219"/>
      <c r="I847" s="219"/>
      <c r="J847" s="219"/>
      <c r="K847" s="219"/>
      <c r="L847" s="219"/>
      <c r="M847" s="219"/>
      <c r="N847" s="219"/>
      <c r="O847" s="219"/>
      <c r="P847" s="219"/>
      <c r="Q847" s="221"/>
    </row>
    <row r="848" spans="2:17" x14ac:dyDescent="0.2">
      <c r="B848" s="219"/>
      <c r="C848" s="219"/>
      <c r="D848" s="219"/>
      <c r="E848" s="219"/>
      <c r="F848" s="219"/>
      <c r="G848" s="219"/>
      <c r="H848" s="219"/>
      <c r="I848" s="219"/>
      <c r="J848" s="219"/>
      <c r="K848" s="219"/>
      <c r="L848" s="219"/>
      <c r="M848" s="219"/>
      <c r="N848" s="219"/>
      <c r="O848" s="219"/>
      <c r="P848" s="219"/>
      <c r="Q848" s="221"/>
    </row>
    <row r="849" spans="2:17" x14ac:dyDescent="0.2">
      <c r="B849" s="219"/>
      <c r="C849" s="219"/>
      <c r="D849" s="219"/>
      <c r="E849" s="219"/>
      <c r="F849" s="219"/>
      <c r="G849" s="219"/>
      <c r="H849" s="219"/>
      <c r="I849" s="219"/>
      <c r="J849" s="219"/>
      <c r="K849" s="219"/>
      <c r="L849" s="219"/>
      <c r="M849" s="219"/>
      <c r="N849" s="219"/>
      <c r="O849" s="219"/>
      <c r="P849" s="219"/>
      <c r="Q849" s="221"/>
    </row>
    <row r="850" spans="2:17" x14ac:dyDescent="0.2">
      <c r="B850" s="219"/>
      <c r="C850" s="219"/>
      <c r="D850" s="219"/>
      <c r="E850" s="219"/>
      <c r="F850" s="219"/>
      <c r="G850" s="219"/>
      <c r="H850" s="219"/>
      <c r="I850" s="219"/>
      <c r="J850" s="219"/>
      <c r="K850" s="219"/>
      <c r="L850" s="219"/>
      <c r="M850" s="219"/>
      <c r="N850" s="219"/>
      <c r="O850" s="219"/>
      <c r="P850" s="219"/>
      <c r="Q850" s="221"/>
    </row>
    <row r="851" spans="2:17" x14ac:dyDescent="0.2">
      <c r="B851" s="219"/>
      <c r="C851" s="219"/>
      <c r="D851" s="219"/>
      <c r="E851" s="219"/>
      <c r="F851" s="219"/>
      <c r="G851" s="219"/>
      <c r="H851" s="219"/>
      <c r="I851" s="219"/>
      <c r="J851" s="219"/>
      <c r="K851" s="219"/>
      <c r="L851" s="219"/>
      <c r="M851" s="219"/>
      <c r="N851" s="219"/>
      <c r="O851" s="219"/>
      <c r="P851" s="219"/>
      <c r="Q851" s="221"/>
    </row>
    <row r="852" spans="2:17" x14ac:dyDescent="0.2">
      <c r="B852" s="219"/>
      <c r="C852" s="219"/>
      <c r="D852" s="219"/>
      <c r="E852" s="219"/>
      <c r="F852" s="219"/>
      <c r="G852" s="219"/>
      <c r="H852" s="219"/>
      <c r="I852" s="219"/>
      <c r="J852" s="219"/>
      <c r="K852" s="219"/>
      <c r="L852" s="219"/>
      <c r="M852" s="219"/>
      <c r="N852" s="219"/>
      <c r="O852" s="219"/>
      <c r="P852" s="219"/>
      <c r="Q852" s="221"/>
    </row>
    <row r="853" spans="2:17" x14ac:dyDescent="0.2">
      <c r="B853" s="219"/>
      <c r="C853" s="219"/>
      <c r="D853" s="219"/>
      <c r="E853" s="219"/>
      <c r="F853" s="219"/>
      <c r="G853" s="219"/>
      <c r="H853" s="219"/>
      <c r="I853" s="219"/>
      <c r="J853" s="219"/>
      <c r="K853" s="219"/>
      <c r="L853" s="219"/>
      <c r="M853" s="219"/>
      <c r="N853" s="219"/>
      <c r="O853" s="219"/>
      <c r="P853" s="219"/>
      <c r="Q853" s="221"/>
    </row>
    <row r="854" spans="2:17" x14ac:dyDescent="0.2">
      <c r="B854" s="219"/>
      <c r="C854" s="219"/>
      <c r="D854" s="219"/>
      <c r="E854" s="219"/>
      <c r="F854" s="219"/>
      <c r="G854" s="219"/>
      <c r="H854" s="219"/>
      <c r="I854" s="219"/>
      <c r="J854" s="219"/>
      <c r="K854" s="219"/>
      <c r="L854" s="219"/>
      <c r="M854" s="219"/>
      <c r="N854" s="219"/>
      <c r="O854" s="219"/>
      <c r="P854" s="219"/>
      <c r="Q854" s="221"/>
    </row>
    <row r="855" spans="2:17" x14ac:dyDescent="0.2">
      <c r="B855" s="219"/>
      <c r="C855" s="219"/>
      <c r="D855" s="219"/>
      <c r="E855" s="219"/>
      <c r="F855" s="219"/>
      <c r="G855" s="219"/>
      <c r="H855" s="219"/>
      <c r="I855" s="219"/>
      <c r="J855" s="219"/>
      <c r="K855" s="219"/>
      <c r="L855" s="219"/>
      <c r="M855" s="219"/>
      <c r="N855" s="219"/>
      <c r="O855" s="219"/>
      <c r="P855" s="219"/>
      <c r="Q855" s="221"/>
    </row>
    <row r="856" spans="2:17" x14ac:dyDescent="0.2">
      <c r="B856" s="219"/>
      <c r="C856" s="219"/>
      <c r="D856" s="219"/>
      <c r="E856" s="219"/>
      <c r="F856" s="219"/>
      <c r="G856" s="219"/>
      <c r="H856" s="219"/>
      <c r="I856" s="219"/>
      <c r="J856" s="219"/>
      <c r="K856" s="219"/>
      <c r="L856" s="219"/>
      <c r="M856" s="219"/>
      <c r="N856" s="219"/>
      <c r="O856" s="219"/>
      <c r="P856" s="219"/>
      <c r="Q856" s="221"/>
    </row>
    <row r="857" spans="2:17" x14ac:dyDescent="0.2">
      <c r="B857" s="219"/>
      <c r="C857" s="219"/>
      <c r="D857" s="219"/>
      <c r="E857" s="219"/>
      <c r="F857" s="219"/>
      <c r="G857" s="219"/>
      <c r="H857" s="219"/>
      <c r="I857" s="219"/>
      <c r="J857" s="219"/>
      <c r="K857" s="219"/>
      <c r="L857" s="219"/>
      <c r="M857" s="219"/>
      <c r="N857" s="219"/>
      <c r="O857" s="219"/>
      <c r="P857" s="219"/>
      <c r="Q857" s="221"/>
    </row>
    <row r="858" spans="2:17" x14ac:dyDescent="0.2">
      <c r="B858" s="219"/>
      <c r="C858" s="219"/>
      <c r="D858" s="219"/>
      <c r="E858" s="219"/>
      <c r="F858" s="219"/>
      <c r="G858" s="219"/>
      <c r="H858" s="219"/>
      <c r="I858" s="219"/>
      <c r="J858" s="219"/>
      <c r="K858" s="219"/>
      <c r="L858" s="219"/>
      <c r="M858" s="219"/>
      <c r="N858" s="219"/>
      <c r="O858" s="219"/>
      <c r="P858" s="219"/>
      <c r="Q858" s="221"/>
    </row>
    <row r="859" spans="2:17" x14ac:dyDescent="0.2">
      <c r="B859" s="219"/>
      <c r="C859" s="219"/>
      <c r="D859" s="219"/>
      <c r="E859" s="219"/>
      <c r="F859" s="219"/>
      <c r="G859" s="219"/>
      <c r="H859" s="219"/>
      <c r="I859" s="219"/>
      <c r="J859" s="219"/>
      <c r="K859" s="219"/>
      <c r="L859" s="219"/>
      <c r="M859" s="219"/>
      <c r="N859" s="219"/>
      <c r="O859" s="219"/>
      <c r="P859" s="219"/>
      <c r="Q859" s="221"/>
    </row>
    <row r="860" spans="2:17" x14ac:dyDescent="0.2">
      <c r="B860" s="219"/>
      <c r="C860" s="219"/>
      <c r="D860" s="219"/>
      <c r="E860" s="219"/>
      <c r="F860" s="219"/>
      <c r="G860" s="219"/>
      <c r="H860" s="219"/>
      <c r="I860" s="219"/>
      <c r="J860" s="219"/>
      <c r="K860" s="219"/>
      <c r="L860" s="219"/>
      <c r="M860" s="219"/>
      <c r="N860" s="219"/>
      <c r="O860" s="219"/>
      <c r="P860" s="219"/>
      <c r="Q860" s="221"/>
    </row>
    <row r="861" spans="2:17" x14ac:dyDescent="0.2">
      <c r="B861" s="219"/>
      <c r="C861" s="219"/>
      <c r="D861" s="219"/>
      <c r="E861" s="219"/>
      <c r="F861" s="219"/>
      <c r="G861" s="219"/>
      <c r="H861" s="219"/>
      <c r="I861" s="219"/>
      <c r="J861" s="219"/>
      <c r="K861" s="219"/>
      <c r="L861" s="219"/>
      <c r="M861" s="219"/>
      <c r="N861" s="219"/>
      <c r="O861" s="219"/>
      <c r="P861" s="219"/>
      <c r="Q861" s="221"/>
    </row>
    <row r="862" spans="2:17" x14ac:dyDescent="0.2">
      <c r="B862" s="219"/>
      <c r="C862" s="219"/>
      <c r="D862" s="219"/>
      <c r="E862" s="219"/>
      <c r="F862" s="219"/>
      <c r="G862" s="219"/>
      <c r="H862" s="219"/>
      <c r="I862" s="219"/>
      <c r="J862" s="219"/>
      <c r="K862" s="219"/>
      <c r="L862" s="219"/>
      <c r="M862" s="219"/>
      <c r="N862" s="219"/>
      <c r="O862" s="219"/>
      <c r="P862" s="219"/>
      <c r="Q862" s="221"/>
    </row>
    <row r="863" spans="2:17" x14ac:dyDescent="0.2">
      <c r="B863" s="219"/>
      <c r="C863" s="219"/>
      <c r="D863" s="219"/>
      <c r="E863" s="219"/>
      <c r="F863" s="219"/>
      <c r="G863" s="219"/>
      <c r="H863" s="219"/>
      <c r="I863" s="219"/>
      <c r="J863" s="219"/>
      <c r="K863" s="219"/>
      <c r="L863" s="219"/>
      <c r="M863" s="219"/>
      <c r="N863" s="219"/>
      <c r="O863" s="219"/>
      <c r="P863" s="219"/>
      <c r="Q863" s="221"/>
    </row>
    <row r="864" spans="2:17" x14ac:dyDescent="0.2">
      <c r="B864" s="219"/>
      <c r="C864" s="219"/>
      <c r="D864" s="219"/>
      <c r="E864" s="219"/>
      <c r="F864" s="219"/>
      <c r="G864" s="219"/>
      <c r="H864" s="219"/>
      <c r="I864" s="219"/>
      <c r="J864" s="219"/>
      <c r="K864" s="219"/>
      <c r="L864" s="219"/>
      <c r="M864" s="219"/>
      <c r="N864" s="219"/>
      <c r="O864" s="219"/>
      <c r="P864" s="219"/>
      <c r="Q864" s="221"/>
    </row>
    <row r="865" spans="2:17" x14ac:dyDescent="0.2">
      <c r="B865" s="219"/>
      <c r="C865" s="219"/>
      <c r="D865" s="219"/>
      <c r="E865" s="219"/>
      <c r="F865" s="219"/>
      <c r="G865" s="219"/>
      <c r="H865" s="219"/>
      <c r="I865" s="219"/>
      <c r="J865" s="219"/>
      <c r="K865" s="219"/>
      <c r="L865" s="219"/>
      <c r="M865" s="219"/>
      <c r="N865" s="219"/>
      <c r="O865" s="219"/>
      <c r="P865" s="219"/>
      <c r="Q865" s="221"/>
    </row>
    <row r="866" spans="2:17" x14ac:dyDescent="0.2">
      <c r="B866" s="219"/>
      <c r="C866" s="219"/>
      <c r="D866" s="219"/>
      <c r="E866" s="219"/>
      <c r="F866" s="219"/>
      <c r="G866" s="219"/>
      <c r="H866" s="219"/>
      <c r="I866" s="219"/>
      <c r="J866" s="219"/>
      <c r="K866" s="219"/>
      <c r="L866" s="219"/>
      <c r="M866" s="219"/>
      <c r="N866" s="219"/>
      <c r="O866" s="219"/>
      <c r="P866" s="219"/>
      <c r="Q866" s="221"/>
    </row>
    <row r="867" spans="2:17" x14ac:dyDescent="0.2">
      <c r="B867" s="219"/>
      <c r="C867" s="219"/>
      <c r="D867" s="219"/>
      <c r="E867" s="219"/>
      <c r="F867" s="219"/>
      <c r="G867" s="219"/>
      <c r="H867" s="219"/>
      <c r="I867" s="219"/>
      <c r="J867" s="219"/>
      <c r="K867" s="219"/>
      <c r="L867" s="219"/>
      <c r="M867" s="219"/>
      <c r="N867" s="219"/>
      <c r="O867" s="219"/>
      <c r="P867" s="219"/>
      <c r="Q867" s="221"/>
    </row>
    <row r="868" spans="2:17" x14ac:dyDescent="0.2">
      <c r="B868" s="219"/>
      <c r="C868" s="219"/>
      <c r="D868" s="219"/>
      <c r="E868" s="219"/>
      <c r="F868" s="219"/>
      <c r="G868" s="219"/>
      <c r="H868" s="219"/>
      <c r="I868" s="219"/>
      <c r="J868" s="219"/>
      <c r="K868" s="219"/>
      <c r="L868" s="219"/>
      <c r="M868" s="219"/>
      <c r="N868" s="219"/>
      <c r="O868" s="219"/>
      <c r="P868" s="219"/>
      <c r="Q868" s="221"/>
    </row>
    <row r="869" spans="2:17" x14ac:dyDescent="0.2">
      <c r="B869" s="219"/>
      <c r="C869" s="219"/>
      <c r="D869" s="219"/>
      <c r="E869" s="219"/>
      <c r="F869" s="219"/>
      <c r="G869" s="219"/>
      <c r="H869" s="219"/>
      <c r="I869" s="219"/>
      <c r="J869" s="219"/>
      <c r="K869" s="219"/>
      <c r="L869" s="219"/>
      <c r="M869" s="219"/>
      <c r="N869" s="219"/>
      <c r="O869" s="219"/>
      <c r="P869" s="219"/>
      <c r="Q869" s="221"/>
    </row>
    <row r="870" spans="2:17" x14ac:dyDescent="0.2">
      <c r="B870" s="219"/>
      <c r="C870" s="219"/>
      <c r="D870" s="219"/>
      <c r="E870" s="219"/>
      <c r="F870" s="219"/>
      <c r="G870" s="219"/>
      <c r="H870" s="219"/>
      <c r="I870" s="219"/>
      <c r="J870" s="219"/>
      <c r="K870" s="219"/>
      <c r="L870" s="219"/>
      <c r="M870" s="219"/>
      <c r="N870" s="219"/>
      <c r="O870" s="219"/>
      <c r="P870" s="219"/>
      <c r="Q870" s="221"/>
    </row>
    <row r="871" spans="2:17" x14ac:dyDescent="0.2">
      <c r="B871" s="219"/>
      <c r="C871" s="219"/>
      <c r="D871" s="219"/>
      <c r="E871" s="219"/>
      <c r="F871" s="219"/>
      <c r="G871" s="219"/>
      <c r="H871" s="219"/>
      <c r="I871" s="219"/>
      <c r="J871" s="219"/>
      <c r="K871" s="219"/>
      <c r="L871" s="219"/>
      <c r="M871" s="219"/>
      <c r="N871" s="219"/>
      <c r="O871" s="219"/>
      <c r="P871" s="219"/>
      <c r="Q871" s="221"/>
    </row>
    <row r="872" spans="2:17" x14ac:dyDescent="0.2">
      <c r="B872" s="219"/>
      <c r="C872" s="219"/>
      <c r="D872" s="219"/>
      <c r="E872" s="219"/>
      <c r="F872" s="219"/>
      <c r="G872" s="219"/>
      <c r="H872" s="219"/>
      <c r="I872" s="219"/>
      <c r="J872" s="219"/>
      <c r="K872" s="219"/>
      <c r="L872" s="219"/>
      <c r="M872" s="219"/>
      <c r="N872" s="219"/>
      <c r="O872" s="219"/>
      <c r="P872" s="219"/>
      <c r="Q872" s="221"/>
    </row>
    <row r="873" spans="2:17" x14ac:dyDescent="0.2">
      <c r="B873" s="219"/>
      <c r="C873" s="219"/>
      <c r="D873" s="219"/>
      <c r="E873" s="219"/>
      <c r="F873" s="219"/>
      <c r="G873" s="219"/>
      <c r="H873" s="219"/>
      <c r="I873" s="219"/>
      <c r="J873" s="219"/>
      <c r="K873" s="219"/>
      <c r="L873" s="219"/>
      <c r="M873" s="219"/>
      <c r="N873" s="219"/>
      <c r="O873" s="219"/>
      <c r="P873" s="219"/>
      <c r="Q873" s="221"/>
    </row>
    <row r="874" spans="2:17" x14ac:dyDescent="0.2">
      <c r="B874" s="219"/>
      <c r="C874" s="219"/>
      <c r="D874" s="219"/>
      <c r="E874" s="219"/>
      <c r="F874" s="219"/>
      <c r="G874" s="219"/>
      <c r="H874" s="219"/>
      <c r="I874" s="219"/>
      <c r="J874" s="219"/>
      <c r="K874" s="219"/>
      <c r="L874" s="219"/>
      <c r="M874" s="219"/>
      <c r="N874" s="219"/>
      <c r="O874" s="219"/>
      <c r="P874" s="219"/>
      <c r="Q874" s="221"/>
    </row>
    <row r="875" spans="2:17" x14ac:dyDescent="0.2">
      <c r="B875" s="219"/>
      <c r="C875" s="219"/>
      <c r="D875" s="219"/>
      <c r="E875" s="219"/>
      <c r="F875" s="219"/>
      <c r="G875" s="219"/>
      <c r="H875" s="219"/>
      <c r="I875" s="219"/>
      <c r="J875" s="219"/>
      <c r="K875" s="219"/>
      <c r="L875" s="219"/>
      <c r="M875" s="219"/>
      <c r="N875" s="219"/>
      <c r="O875" s="219"/>
      <c r="P875" s="219"/>
      <c r="Q875" s="221"/>
    </row>
    <row r="876" spans="2:17" x14ac:dyDescent="0.2">
      <c r="B876" s="219"/>
      <c r="C876" s="219"/>
      <c r="D876" s="219"/>
      <c r="E876" s="219"/>
      <c r="F876" s="219"/>
      <c r="G876" s="219"/>
      <c r="H876" s="219"/>
      <c r="I876" s="219"/>
      <c r="J876" s="219"/>
      <c r="K876" s="219"/>
      <c r="L876" s="219"/>
      <c r="M876" s="219"/>
      <c r="N876" s="219"/>
      <c r="O876" s="219"/>
      <c r="P876" s="219"/>
      <c r="Q876" s="221"/>
    </row>
    <row r="877" spans="2:17" x14ac:dyDescent="0.2">
      <c r="B877" s="219"/>
      <c r="C877" s="219"/>
      <c r="D877" s="219"/>
      <c r="E877" s="219"/>
      <c r="F877" s="219"/>
      <c r="G877" s="219"/>
      <c r="H877" s="219"/>
      <c r="I877" s="219"/>
      <c r="J877" s="219"/>
      <c r="K877" s="219"/>
      <c r="L877" s="219"/>
      <c r="M877" s="219"/>
      <c r="N877" s="219"/>
      <c r="O877" s="219"/>
      <c r="P877" s="219"/>
      <c r="Q877" s="221"/>
    </row>
    <row r="878" spans="2:17" x14ac:dyDescent="0.2">
      <c r="B878" s="219"/>
      <c r="C878" s="219"/>
      <c r="D878" s="219"/>
      <c r="E878" s="219"/>
      <c r="F878" s="219"/>
      <c r="G878" s="219"/>
      <c r="H878" s="219"/>
      <c r="I878" s="219"/>
      <c r="J878" s="219"/>
      <c r="K878" s="219"/>
      <c r="L878" s="219"/>
      <c r="M878" s="219"/>
      <c r="N878" s="219"/>
      <c r="O878" s="219"/>
      <c r="P878" s="219"/>
      <c r="Q878" s="221"/>
    </row>
    <row r="879" spans="2:17" x14ac:dyDescent="0.2">
      <c r="B879" s="219"/>
      <c r="C879" s="219"/>
      <c r="D879" s="219"/>
      <c r="E879" s="219"/>
      <c r="F879" s="219"/>
      <c r="G879" s="219"/>
      <c r="H879" s="219"/>
      <c r="I879" s="219"/>
      <c r="J879" s="219"/>
      <c r="K879" s="219"/>
      <c r="L879" s="219"/>
      <c r="M879" s="219"/>
      <c r="N879" s="219"/>
      <c r="O879" s="219"/>
      <c r="P879" s="219"/>
      <c r="Q879" s="221"/>
    </row>
    <row r="880" spans="2:17" x14ac:dyDescent="0.2">
      <c r="B880" s="219"/>
      <c r="C880" s="219"/>
      <c r="D880" s="219"/>
      <c r="E880" s="219"/>
      <c r="F880" s="219"/>
      <c r="G880" s="219"/>
      <c r="H880" s="219"/>
      <c r="I880" s="219"/>
      <c r="J880" s="219"/>
      <c r="K880" s="219"/>
      <c r="L880" s="219"/>
      <c r="M880" s="219"/>
      <c r="N880" s="219"/>
      <c r="O880" s="219"/>
      <c r="P880" s="219"/>
      <c r="Q880" s="221"/>
    </row>
    <row r="881" spans="2:17" x14ac:dyDescent="0.2">
      <c r="B881" s="219"/>
      <c r="C881" s="219"/>
      <c r="D881" s="219"/>
      <c r="E881" s="219"/>
      <c r="F881" s="219"/>
      <c r="G881" s="219"/>
      <c r="H881" s="219"/>
      <c r="I881" s="219"/>
      <c r="J881" s="219"/>
      <c r="K881" s="219"/>
      <c r="L881" s="219"/>
      <c r="M881" s="219"/>
      <c r="N881" s="219"/>
      <c r="O881" s="219"/>
      <c r="P881" s="219"/>
      <c r="Q881" s="221"/>
    </row>
    <row r="882" spans="2:17" x14ac:dyDescent="0.2">
      <c r="B882" s="219"/>
      <c r="C882" s="219"/>
      <c r="D882" s="219"/>
      <c r="E882" s="219"/>
      <c r="F882" s="219"/>
      <c r="G882" s="219"/>
      <c r="H882" s="219"/>
      <c r="I882" s="219"/>
      <c r="J882" s="219"/>
      <c r="K882" s="219"/>
      <c r="L882" s="219"/>
      <c r="M882" s="219"/>
      <c r="N882" s="219"/>
      <c r="O882" s="219"/>
      <c r="P882" s="219"/>
      <c r="Q882" s="221"/>
    </row>
    <row r="883" spans="2:17" x14ac:dyDescent="0.2">
      <c r="B883" s="219"/>
      <c r="C883" s="219"/>
      <c r="D883" s="219"/>
      <c r="E883" s="219"/>
      <c r="F883" s="219"/>
      <c r="G883" s="219"/>
      <c r="H883" s="219"/>
      <c r="I883" s="219"/>
      <c r="J883" s="219"/>
      <c r="K883" s="219"/>
      <c r="L883" s="219"/>
      <c r="M883" s="219"/>
      <c r="N883" s="219"/>
      <c r="O883" s="219"/>
      <c r="P883" s="219"/>
      <c r="Q883" s="221"/>
    </row>
    <row r="884" spans="2:17" x14ac:dyDescent="0.2">
      <c r="B884" s="219"/>
      <c r="C884" s="219"/>
      <c r="D884" s="219"/>
      <c r="E884" s="219"/>
      <c r="F884" s="219"/>
      <c r="G884" s="219"/>
      <c r="H884" s="219"/>
      <c r="I884" s="219"/>
      <c r="J884" s="219"/>
      <c r="K884" s="219"/>
      <c r="L884" s="219"/>
      <c r="M884" s="219"/>
      <c r="N884" s="219"/>
      <c r="O884" s="219"/>
      <c r="P884" s="219"/>
      <c r="Q884" s="221"/>
    </row>
    <row r="885" spans="2:17" x14ac:dyDescent="0.2">
      <c r="B885" s="219"/>
      <c r="C885" s="219"/>
      <c r="D885" s="219"/>
      <c r="E885" s="219"/>
      <c r="F885" s="219"/>
      <c r="G885" s="219"/>
      <c r="H885" s="219"/>
      <c r="I885" s="219"/>
      <c r="J885" s="219"/>
      <c r="K885" s="219"/>
      <c r="L885" s="219"/>
      <c r="M885" s="219"/>
      <c r="N885" s="219"/>
      <c r="O885" s="219"/>
      <c r="P885" s="219"/>
      <c r="Q885" s="221"/>
    </row>
    <row r="886" spans="2:17" x14ac:dyDescent="0.2">
      <c r="B886" s="219"/>
      <c r="C886" s="219"/>
      <c r="D886" s="219"/>
      <c r="E886" s="219"/>
      <c r="F886" s="219"/>
      <c r="G886" s="219"/>
      <c r="H886" s="219"/>
      <c r="I886" s="219"/>
      <c r="J886" s="219"/>
      <c r="K886" s="219"/>
      <c r="L886" s="219"/>
      <c r="M886" s="219"/>
      <c r="N886" s="219"/>
      <c r="O886" s="219"/>
      <c r="P886" s="219"/>
      <c r="Q886" s="221"/>
    </row>
    <row r="887" spans="2:17" x14ac:dyDescent="0.2">
      <c r="B887" s="219"/>
      <c r="C887" s="219"/>
      <c r="D887" s="219"/>
      <c r="E887" s="219"/>
      <c r="F887" s="219"/>
      <c r="G887" s="219"/>
      <c r="H887" s="219"/>
      <c r="I887" s="219"/>
      <c r="J887" s="219"/>
      <c r="K887" s="219"/>
      <c r="L887" s="219"/>
      <c r="M887" s="219"/>
      <c r="N887" s="219"/>
      <c r="O887" s="219"/>
      <c r="P887" s="219"/>
      <c r="Q887" s="221"/>
    </row>
    <row r="888" spans="2:17" x14ac:dyDescent="0.2">
      <c r="B888" s="219"/>
      <c r="C888" s="219"/>
      <c r="D888" s="219"/>
      <c r="E888" s="219"/>
      <c r="F888" s="219"/>
      <c r="G888" s="219"/>
      <c r="H888" s="219"/>
      <c r="I888" s="219"/>
      <c r="J888" s="219"/>
      <c r="K888" s="219"/>
      <c r="L888" s="219"/>
      <c r="M888" s="219"/>
      <c r="N888" s="219"/>
      <c r="O888" s="219"/>
      <c r="P888" s="219"/>
      <c r="Q888" s="221"/>
    </row>
    <row r="889" spans="2:17" x14ac:dyDescent="0.2">
      <c r="B889" s="219"/>
      <c r="C889" s="219"/>
      <c r="D889" s="219"/>
      <c r="E889" s="219"/>
      <c r="F889" s="219"/>
      <c r="G889" s="219"/>
      <c r="H889" s="219"/>
      <c r="I889" s="219"/>
      <c r="J889" s="219"/>
      <c r="K889" s="219"/>
      <c r="L889" s="219"/>
      <c r="M889" s="219"/>
      <c r="N889" s="219"/>
      <c r="O889" s="219"/>
      <c r="P889" s="219"/>
      <c r="Q889" s="221"/>
    </row>
    <row r="890" spans="2:17" x14ac:dyDescent="0.2">
      <c r="B890" s="219"/>
      <c r="C890" s="219"/>
      <c r="D890" s="219"/>
      <c r="E890" s="219"/>
      <c r="F890" s="219"/>
      <c r="G890" s="219"/>
      <c r="H890" s="219"/>
      <c r="I890" s="219"/>
      <c r="J890" s="219"/>
      <c r="K890" s="219"/>
      <c r="L890" s="219"/>
      <c r="M890" s="219"/>
      <c r="N890" s="219"/>
      <c r="O890" s="219"/>
      <c r="P890" s="219"/>
      <c r="Q890" s="221"/>
    </row>
    <row r="891" spans="2:17" x14ac:dyDescent="0.2">
      <c r="B891" s="219"/>
      <c r="C891" s="219"/>
      <c r="D891" s="219"/>
      <c r="E891" s="219"/>
      <c r="F891" s="219"/>
      <c r="G891" s="219"/>
      <c r="H891" s="219"/>
      <c r="I891" s="219"/>
      <c r="J891" s="219"/>
      <c r="K891" s="219"/>
      <c r="L891" s="219"/>
      <c r="M891" s="219"/>
      <c r="N891" s="219"/>
      <c r="O891" s="219"/>
      <c r="P891" s="219"/>
      <c r="Q891" s="221"/>
    </row>
    <row r="892" spans="2:17" x14ac:dyDescent="0.2">
      <c r="B892" s="219"/>
      <c r="C892" s="219"/>
      <c r="D892" s="219"/>
      <c r="E892" s="219"/>
      <c r="F892" s="219"/>
      <c r="G892" s="219"/>
      <c r="H892" s="219"/>
      <c r="I892" s="219"/>
      <c r="J892" s="219"/>
      <c r="K892" s="219"/>
      <c r="L892" s="219"/>
      <c r="M892" s="219"/>
      <c r="N892" s="219"/>
      <c r="O892" s="219"/>
      <c r="P892" s="219"/>
      <c r="Q892" s="221"/>
    </row>
    <row r="893" spans="2:17" x14ac:dyDescent="0.2">
      <c r="B893" s="219"/>
      <c r="C893" s="219"/>
      <c r="D893" s="219"/>
      <c r="E893" s="219"/>
      <c r="F893" s="219"/>
      <c r="G893" s="219"/>
      <c r="H893" s="219"/>
      <c r="I893" s="219"/>
      <c r="J893" s="219"/>
      <c r="K893" s="219"/>
      <c r="L893" s="219"/>
      <c r="M893" s="219"/>
      <c r="N893" s="219"/>
      <c r="O893" s="219"/>
      <c r="P893" s="219"/>
      <c r="Q893" s="221"/>
    </row>
    <row r="894" spans="2:17" x14ac:dyDescent="0.2">
      <c r="B894" s="219"/>
      <c r="C894" s="219"/>
      <c r="D894" s="219"/>
      <c r="E894" s="219"/>
      <c r="F894" s="219"/>
      <c r="G894" s="219"/>
      <c r="H894" s="219"/>
      <c r="I894" s="219"/>
      <c r="J894" s="219"/>
      <c r="K894" s="219"/>
      <c r="L894" s="219"/>
      <c r="M894" s="219"/>
      <c r="N894" s="219"/>
      <c r="O894" s="219"/>
      <c r="P894" s="219"/>
      <c r="Q894" s="221"/>
    </row>
    <row r="895" spans="2:17" x14ac:dyDescent="0.2">
      <c r="B895" s="219"/>
      <c r="C895" s="219"/>
      <c r="D895" s="219"/>
      <c r="E895" s="219"/>
      <c r="F895" s="219"/>
      <c r="G895" s="219"/>
      <c r="H895" s="219"/>
      <c r="I895" s="219"/>
      <c r="J895" s="219"/>
      <c r="K895" s="219"/>
      <c r="L895" s="219"/>
      <c r="M895" s="219"/>
      <c r="N895" s="219"/>
      <c r="O895" s="219"/>
      <c r="P895" s="219"/>
      <c r="Q895" s="221"/>
    </row>
    <row r="896" spans="2:17" x14ac:dyDescent="0.2">
      <c r="B896" s="219"/>
      <c r="C896" s="219"/>
      <c r="D896" s="219"/>
      <c r="E896" s="219"/>
      <c r="F896" s="219"/>
      <c r="G896" s="219"/>
      <c r="H896" s="219"/>
      <c r="I896" s="219"/>
      <c r="J896" s="219"/>
      <c r="K896" s="219"/>
      <c r="L896" s="219"/>
      <c r="M896" s="219"/>
      <c r="N896" s="219"/>
      <c r="O896" s="219"/>
      <c r="P896" s="219"/>
      <c r="Q896" s="221"/>
    </row>
    <row r="897" spans="2:17" x14ac:dyDescent="0.2">
      <c r="B897" s="219"/>
      <c r="C897" s="219"/>
      <c r="D897" s="219"/>
      <c r="E897" s="219"/>
      <c r="F897" s="219"/>
      <c r="G897" s="219"/>
      <c r="H897" s="219"/>
      <c r="I897" s="219"/>
      <c r="J897" s="219"/>
      <c r="K897" s="219"/>
      <c r="L897" s="219"/>
      <c r="M897" s="219"/>
      <c r="N897" s="219"/>
      <c r="O897" s="219"/>
      <c r="P897" s="219"/>
      <c r="Q897" s="221"/>
    </row>
    <row r="898" spans="2:17" x14ac:dyDescent="0.2">
      <c r="B898" s="219"/>
      <c r="C898" s="219"/>
      <c r="D898" s="219"/>
      <c r="E898" s="219"/>
      <c r="F898" s="219"/>
      <c r="G898" s="219"/>
      <c r="H898" s="219"/>
      <c r="I898" s="219"/>
      <c r="J898" s="219"/>
      <c r="K898" s="219"/>
      <c r="L898" s="219"/>
      <c r="M898" s="219"/>
      <c r="N898" s="219"/>
      <c r="O898" s="219"/>
      <c r="P898" s="219"/>
      <c r="Q898" s="221"/>
    </row>
    <row r="899" spans="2:17" x14ac:dyDescent="0.2">
      <c r="B899" s="219"/>
      <c r="C899" s="219"/>
      <c r="D899" s="219"/>
      <c r="E899" s="219"/>
      <c r="F899" s="219"/>
      <c r="G899" s="219"/>
      <c r="H899" s="219"/>
      <c r="I899" s="219"/>
      <c r="J899" s="219"/>
      <c r="K899" s="219"/>
      <c r="L899" s="219"/>
      <c r="M899" s="219"/>
      <c r="N899" s="219"/>
      <c r="O899" s="219"/>
      <c r="P899" s="219"/>
      <c r="Q899" s="221"/>
    </row>
    <row r="900" spans="2:17" x14ac:dyDescent="0.2">
      <c r="B900" s="219"/>
      <c r="C900" s="219"/>
      <c r="D900" s="219"/>
      <c r="E900" s="219"/>
      <c r="F900" s="219"/>
      <c r="G900" s="219"/>
      <c r="H900" s="219"/>
      <c r="I900" s="219"/>
      <c r="J900" s="219"/>
      <c r="K900" s="219"/>
      <c r="L900" s="219"/>
      <c r="M900" s="219"/>
      <c r="N900" s="219"/>
      <c r="O900" s="219"/>
      <c r="P900" s="219"/>
      <c r="Q900" s="221"/>
    </row>
    <row r="901" spans="2:17" x14ac:dyDescent="0.2">
      <c r="B901" s="219"/>
      <c r="C901" s="219"/>
      <c r="D901" s="219"/>
      <c r="E901" s="219"/>
      <c r="F901" s="219"/>
      <c r="G901" s="219"/>
      <c r="H901" s="219"/>
      <c r="I901" s="219"/>
      <c r="J901" s="219"/>
      <c r="K901" s="219"/>
      <c r="L901" s="219"/>
      <c r="M901" s="219"/>
      <c r="N901" s="219"/>
      <c r="O901" s="219"/>
      <c r="P901" s="219"/>
      <c r="Q901" s="221"/>
    </row>
    <row r="902" spans="2:17" x14ac:dyDescent="0.2">
      <c r="B902" s="219"/>
      <c r="C902" s="219"/>
      <c r="D902" s="219"/>
      <c r="E902" s="219"/>
      <c r="F902" s="219"/>
      <c r="G902" s="219"/>
      <c r="H902" s="219"/>
      <c r="I902" s="219"/>
      <c r="J902" s="219"/>
      <c r="K902" s="219"/>
      <c r="L902" s="219"/>
      <c r="M902" s="219"/>
      <c r="N902" s="219"/>
      <c r="O902" s="219"/>
      <c r="P902" s="219"/>
      <c r="Q902" s="221"/>
    </row>
    <row r="903" spans="2:17" x14ac:dyDescent="0.2">
      <c r="B903" s="219"/>
      <c r="C903" s="219"/>
      <c r="D903" s="219"/>
      <c r="E903" s="219"/>
      <c r="F903" s="219"/>
      <c r="G903" s="219"/>
      <c r="H903" s="219"/>
      <c r="I903" s="219"/>
      <c r="J903" s="219"/>
      <c r="K903" s="219"/>
      <c r="L903" s="219"/>
      <c r="M903" s="219"/>
      <c r="N903" s="219"/>
      <c r="O903" s="219"/>
      <c r="P903" s="219"/>
      <c r="Q903" s="221"/>
    </row>
    <row r="904" spans="2:17" x14ac:dyDescent="0.2">
      <c r="B904" s="219"/>
      <c r="C904" s="219"/>
      <c r="D904" s="219"/>
      <c r="E904" s="219"/>
      <c r="F904" s="219"/>
      <c r="G904" s="219"/>
      <c r="H904" s="219"/>
      <c r="I904" s="219"/>
      <c r="J904" s="219"/>
      <c r="K904" s="219"/>
      <c r="L904" s="219"/>
      <c r="M904" s="219"/>
      <c r="N904" s="219"/>
      <c r="O904" s="219"/>
      <c r="P904" s="219"/>
      <c r="Q904" s="221"/>
    </row>
    <row r="905" spans="2:17" x14ac:dyDescent="0.2">
      <c r="B905" s="219"/>
      <c r="C905" s="219"/>
      <c r="D905" s="219"/>
      <c r="E905" s="219"/>
      <c r="F905" s="219"/>
      <c r="G905" s="219"/>
      <c r="H905" s="219"/>
      <c r="I905" s="219"/>
      <c r="J905" s="219"/>
      <c r="K905" s="219"/>
      <c r="L905" s="219"/>
      <c r="M905" s="219"/>
      <c r="N905" s="219"/>
      <c r="O905" s="219"/>
      <c r="P905" s="219"/>
      <c r="Q905" s="221"/>
    </row>
    <row r="906" spans="2:17" x14ac:dyDescent="0.2">
      <c r="B906" s="219"/>
      <c r="C906" s="219"/>
      <c r="D906" s="219"/>
      <c r="E906" s="219"/>
      <c r="F906" s="219"/>
      <c r="G906" s="219"/>
      <c r="H906" s="219"/>
      <c r="I906" s="219"/>
      <c r="J906" s="219"/>
      <c r="K906" s="219"/>
      <c r="L906" s="219"/>
      <c r="M906" s="219"/>
      <c r="N906" s="219"/>
      <c r="O906" s="219"/>
      <c r="P906" s="219"/>
      <c r="Q906" s="221"/>
    </row>
    <row r="907" spans="2:17" x14ac:dyDescent="0.2">
      <c r="B907" s="219"/>
      <c r="C907" s="219"/>
      <c r="D907" s="219"/>
      <c r="E907" s="219"/>
      <c r="F907" s="219"/>
      <c r="G907" s="219"/>
      <c r="H907" s="219"/>
      <c r="I907" s="219"/>
      <c r="J907" s="219"/>
      <c r="K907" s="219"/>
      <c r="L907" s="219"/>
      <c r="M907" s="219"/>
      <c r="N907" s="219"/>
      <c r="O907" s="219"/>
      <c r="P907" s="219"/>
      <c r="Q907" s="221"/>
    </row>
    <row r="908" spans="2:17" x14ac:dyDescent="0.2">
      <c r="B908" s="219"/>
      <c r="C908" s="219"/>
      <c r="D908" s="219"/>
      <c r="E908" s="219"/>
      <c r="F908" s="219"/>
      <c r="G908" s="219"/>
      <c r="H908" s="219"/>
      <c r="I908" s="219"/>
      <c r="J908" s="219"/>
      <c r="K908" s="219"/>
      <c r="L908" s="219"/>
      <c r="M908" s="219"/>
      <c r="N908" s="219"/>
      <c r="O908" s="219"/>
      <c r="P908" s="219"/>
      <c r="Q908" s="221"/>
    </row>
    <row r="909" spans="2:17" x14ac:dyDescent="0.2">
      <c r="B909" s="219"/>
      <c r="C909" s="219"/>
      <c r="D909" s="219"/>
      <c r="E909" s="219"/>
      <c r="F909" s="219"/>
      <c r="G909" s="219"/>
      <c r="H909" s="219"/>
      <c r="I909" s="219"/>
      <c r="J909" s="219"/>
      <c r="K909" s="219"/>
      <c r="L909" s="219"/>
      <c r="M909" s="219"/>
      <c r="N909" s="219"/>
      <c r="O909" s="219"/>
      <c r="P909" s="219"/>
      <c r="Q909" s="221"/>
    </row>
    <row r="910" spans="2:17" x14ac:dyDescent="0.2">
      <c r="B910" s="219"/>
      <c r="C910" s="219"/>
      <c r="D910" s="219"/>
      <c r="E910" s="219"/>
      <c r="F910" s="219"/>
      <c r="G910" s="219"/>
      <c r="H910" s="219"/>
      <c r="I910" s="219"/>
      <c r="J910" s="219"/>
      <c r="K910" s="219"/>
      <c r="L910" s="219"/>
      <c r="M910" s="219"/>
      <c r="N910" s="219"/>
      <c r="O910" s="219"/>
      <c r="P910" s="219"/>
      <c r="Q910" s="221"/>
    </row>
    <row r="911" spans="2:17" x14ac:dyDescent="0.2">
      <c r="B911" s="219"/>
      <c r="C911" s="219"/>
      <c r="D911" s="219"/>
      <c r="E911" s="219"/>
      <c r="F911" s="219"/>
      <c r="G911" s="219"/>
      <c r="H911" s="219"/>
      <c r="I911" s="219"/>
      <c r="J911" s="219"/>
      <c r="K911" s="219"/>
      <c r="L911" s="219"/>
      <c r="M911" s="219"/>
      <c r="N911" s="219"/>
      <c r="O911" s="219"/>
      <c r="P911" s="219"/>
      <c r="Q911" s="221"/>
    </row>
    <row r="912" spans="2:17" x14ac:dyDescent="0.2">
      <c r="B912" s="219"/>
      <c r="C912" s="219"/>
      <c r="D912" s="219"/>
      <c r="E912" s="219"/>
      <c r="F912" s="219"/>
      <c r="G912" s="219"/>
      <c r="H912" s="219"/>
      <c r="I912" s="219"/>
      <c r="J912" s="219"/>
      <c r="K912" s="219"/>
      <c r="L912" s="219"/>
      <c r="M912" s="219"/>
      <c r="N912" s="219"/>
      <c r="O912" s="219"/>
      <c r="P912" s="219"/>
      <c r="Q912" s="221"/>
    </row>
    <row r="913" spans="2:17" x14ac:dyDescent="0.2">
      <c r="B913" s="219"/>
      <c r="C913" s="219"/>
      <c r="D913" s="219"/>
      <c r="E913" s="219"/>
      <c r="F913" s="219"/>
      <c r="G913" s="219"/>
      <c r="H913" s="219"/>
      <c r="I913" s="219"/>
      <c r="J913" s="219"/>
      <c r="K913" s="219"/>
      <c r="L913" s="219"/>
      <c r="M913" s="219"/>
      <c r="N913" s="219"/>
      <c r="O913" s="219"/>
      <c r="P913" s="219"/>
      <c r="Q913" s="221"/>
    </row>
    <row r="914" spans="2:17" x14ac:dyDescent="0.2">
      <c r="B914" s="219"/>
      <c r="C914" s="219"/>
      <c r="D914" s="219"/>
      <c r="E914" s="219"/>
      <c r="F914" s="219"/>
      <c r="G914" s="219"/>
      <c r="H914" s="219"/>
      <c r="I914" s="219"/>
      <c r="J914" s="219"/>
      <c r="K914" s="219"/>
      <c r="L914" s="219"/>
      <c r="M914" s="219"/>
      <c r="N914" s="219"/>
      <c r="O914" s="219"/>
      <c r="P914" s="219"/>
      <c r="Q914" s="221"/>
    </row>
    <row r="915" spans="2:17" x14ac:dyDescent="0.2">
      <c r="B915" s="219"/>
      <c r="C915" s="219"/>
      <c r="D915" s="219"/>
      <c r="E915" s="219"/>
      <c r="F915" s="219"/>
      <c r="G915" s="219"/>
      <c r="H915" s="219"/>
      <c r="I915" s="219"/>
      <c r="J915" s="219"/>
      <c r="K915" s="219"/>
      <c r="L915" s="219"/>
      <c r="M915" s="219"/>
      <c r="N915" s="219"/>
      <c r="O915" s="219"/>
      <c r="P915" s="219"/>
      <c r="Q915" s="221"/>
    </row>
    <row r="916" spans="2:17" x14ac:dyDescent="0.2">
      <c r="B916" s="219"/>
      <c r="C916" s="219"/>
      <c r="D916" s="219"/>
      <c r="E916" s="219"/>
      <c r="F916" s="219"/>
      <c r="G916" s="219"/>
      <c r="H916" s="219"/>
      <c r="I916" s="219"/>
      <c r="J916" s="219"/>
      <c r="K916" s="219"/>
      <c r="L916" s="219"/>
      <c r="M916" s="219"/>
      <c r="N916" s="219"/>
      <c r="O916" s="219"/>
      <c r="P916" s="219"/>
      <c r="Q916" s="221"/>
    </row>
    <row r="917" spans="2:17" x14ac:dyDescent="0.2">
      <c r="B917" s="219"/>
      <c r="C917" s="219"/>
      <c r="D917" s="219"/>
      <c r="E917" s="219"/>
      <c r="F917" s="219"/>
      <c r="G917" s="219"/>
      <c r="H917" s="219"/>
      <c r="I917" s="219"/>
      <c r="J917" s="219"/>
      <c r="K917" s="219"/>
      <c r="L917" s="219"/>
      <c r="M917" s="219"/>
      <c r="N917" s="219"/>
      <c r="O917" s="219"/>
      <c r="P917" s="219"/>
      <c r="Q917" s="221"/>
    </row>
    <row r="918" spans="2:17" x14ac:dyDescent="0.2">
      <c r="B918" s="219"/>
      <c r="C918" s="219"/>
      <c r="D918" s="219"/>
      <c r="E918" s="219"/>
      <c r="F918" s="219"/>
      <c r="G918" s="219"/>
      <c r="H918" s="219"/>
      <c r="I918" s="219"/>
      <c r="J918" s="219"/>
      <c r="K918" s="219"/>
      <c r="L918" s="219"/>
      <c r="M918" s="219"/>
      <c r="N918" s="219"/>
      <c r="O918" s="219"/>
      <c r="P918" s="219"/>
      <c r="Q918" s="221"/>
    </row>
    <row r="919" spans="2:17" x14ac:dyDescent="0.2">
      <c r="B919" s="219"/>
      <c r="C919" s="219"/>
      <c r="D919" s="219"/>
      <c r="E919" s="219"/>
      <c r="F919" s="219"/>
      <c r="G919" s="219"/>
      <c r="H919" s="219"/>
      <c r="I919" s="219"/>
      <c r="J919" s="219"/>
      <c r="K919" s="219"/>
      <c r="L919" s="219"/>
      <c r="M919" s="219"/>
      <c r="N919" s="219"/>
      <c r="O919" s="219"/>
      <c r="P919" s="219"/>
      <c r="Q919" s="221"/>
    </row>
    <row r="920" spans="2:17" x14ac:dyDescent="0.2">
      <c r="B920" s="219"/>
      <c r="C920" s="219"/>
      <c r="D920" s="219"/>
      <c r="E920" s="219"/>
      <c r="F920" s="219"/>
      <c r="G920" s="219"/>
      <c r="H920" s="219"/>
      <c r="I920" s="219"/>
      <c r="J920" s="219"/>
      <c r="K920" s="219"/>
      <c r="L920" s="219"/>
      <c r="M920" s="219"/>
      <c r="N920" s="219"/>
      <c r="O920" s="219"/>
      <c r="P920" s="219"/>
      <c r="Q920" s="221"/>
    </row>
    <row r="921" spans="2:17" x14ac:dyDescent="0.2">
      <c r="B921" s="219"/>
      <c r="C921" s="219"/>
      <c r="D921" s="219"/>
      <c r="E921" s="219"/>
      <c r="F921" s="219"/>
      <c r="G921" s="219"/>
      <c r="H921" s="219"/>
      <c r="I921" s="219"/>
      <c r="J921" s="219"/>
      <c r="K921" s="219"/>
      <c r="L921" s="219"/>
      <c r="M921" s="219"/>
      <c r="N921" s="219"/>
      <c r="O921" s="219"/>
      <c r="P921" s="219"/>
      <c r="Q921" s="221"/>
    </row>
    <row r="922" spans="2:17" x14ac:dyDescent="0.2">
      <c r="B922" s="219"/>
      <c r="C922" s="219"/>
      <c r="D922" s="219"/>
      <c r="E922" s="219"/>
      <c r="F922" s="219"/>
      <c r="G922" s="219"/>
      <c r="H922" s="219"/>
      <c r="I922" s="219"/>
      <c r="J922" s="219"/>
      <c r="K922" s="219"/>
      <c r="L922" s="219"/>
      <c r="M922" s="219"/>
      <c r="N922" s="219"/>
      <c r="O922" s="219"/>
      <c r="P922" s="219"/>
      <c r="Q922" s="221"/>
    </row>
    <row r="923" spans="2:17" x14ac:dyDescent="0.2">
      <c r="B923" s="219"/>
      <c r="C923" s="219"/>
      <c r="D923" s="219"/>
      <c r="E923" s="219"/>
      <c r="F923" s="219"/>
      <c r="G923" s="219"/>
      <c r="H923" s="219"/>
      <c r="I923" s="219"/>
      <c r="J923" s="219"/>
      <c r="K923" s="219"/>
      <c r="L923" s="219"/>
      <c r="M923" s="219"/>
      <c r="N923" s="219"/>
      <c r="O923" s="219"/>
      <c r="P923" s="219"/>
      <c r="Q923" s="221"/>
    </row>
    <row r="924" spans="2:17" x14ac:dyDescent="0.2">
      <c r="B924" s="219"/>
      <c r="C924" s="219"/>
      <c r="D924" s="219"/>
      <c r="E924" s="219"/>
      <c r="F924" s="219"/>
      <c r="G924" s="219"/>
      <c r="H924" s="219"/>
      <c r="I924" s="219"/>
      <c r="J924" s="219"/>
      <c r="K924" s="219"/>
      <c r="L924" s="219"/>
      <c r="M924" s="219"/>
      <c r="N924" s="219"/>
      <c r="O924" s="219"/>
      <c r="P924" s="219"/>
      <c r="Q924" s="221"/>
    </row>
    <row r="925" spans="2:17" x14ac:dyDescent="0.2">
      <c r="B925" s="219"/>
      <c r="C925" s="219"/>
      <c r="D925" s="219"/>
      <c r="E925" s="219"/>
      <c r="F925" s="219"/>
      <c r="G925" s="219"/>
      <c r="H925" s="219"/>
      <c r="I925" s="219"/>
      <c r="J925" s="219"/>
      <c r="K925" s="219"/>
      <c r="L925" s="219"/>
      <c r="M925" s="219"/>
      <c r="N925" s="219"/>
      <c r="O925" s="219"/>
      <c r="P925" s="219"/>
      <c r="Q925" s="221"/>
    </row>
    <row r="926" spans="2:17" x14ac:dyDescent="0.2">
      <c r="B926" s="219"/>
      <c r="C926" s="219"/>
      <c r="D926" s="219"/>
      <c r="E926" s="219"/>
      <c r="F926" s="219"/>
      <c r="G926" s="219"/>
      <c r="H926" s="219"/>
      <c r="I926" s="219"/>
      <c r="J926" s="219"/>
      <c r="K926" s="219"/>
      <c r="L926" s="219"/>
      <c r="M926" s="219"/>
      <c r="N926" s="219"/>
      <c r="O926" s="219"/>
      <c r="P926" s="219"/>
      <c r="Q926" s="221"/>
    </row>
    <row r="927" spans="2:17" x14ac:dyDescent="0.2">
      <c r="B927" s="219"/>
      <c r="C927" s="219"/>
      <c r="D927" s="219"/>
      <c r="E927" s="219"/>
      <c r="F927" s="219"/>
      <c r="G927" s="219"/>
      <c r="H927" s="219"/>
      <c r="I927" s="219"/>
      <c r="J927" s="219"/>
      <c r="K927" s="219"/>
      <c r="L927" s="219"/>
      <c r="M927" s="219"/>
      <c r="N927" s="219"/>
      <c r="O927" s="219"/>
      <c r="P927" s="219"/>
      <c r="Q927" s="221"/>
    </row>
    <row r="928" spans="2:17" x14ac:dyDescent="0.2">
      <c r="B928" s="219"/>
      <c r="C928" s="219"/>
      <c r="D928" s="219"/>
      <c r="E928" s="219"/>
      <c r="F928" s="219"/>
      <c r="G928" s="219"/>
      <c r="H928" s="219"/>
      <c r="I928" s="219"/>
      <c r="J928" s="219"/>
      <c r="K928" s="219"/>
      <c r="L928" s="219"/>
      <c r="M928" s="219"/>
      <c r="N928" s="219"/>
      <c r="O928" s="219"/>
      <c r="P928" s="219"/>
      <c r="Q928" s="221"/>
    </row>
    <row r="929" spans="2:17" x14ac:dyDescent="0.2">
      <c r="B929" s="219"/>
      <c r="C929" s="219"/>
      <c r="D929" s="219"/>
      <c r="E929" s="219"/>
      <c r="F929" s="219"/>
      <c r="G929" s="219"/>
      <c r="H929" s="219"/>
      <c r="I929" s="219"/>
      <c r="J929" s="219"/>
      <c r="K929" s="219"/>
      <c r="L929" s="219"/>
      <c r="M929" s="219"/>
      <c r="N929" s="219"/>
      <c r="O929" s="219"/>
      <c r="P929" s="219"/>
      <c r="Q929" s="221"/>
    </row>
    <row r="930" spans="2:17" x14ac:dyDescent="0.2">
      <c r="B930" s="219"/>
      <c r="C930" s="219"/>
      <c r="D930" s="219"/>
      <c r="E930" s="219"/>
      <c r="F930" s="219"/>
      <c r="G930" s="219"/>
      <c r="H930" s="219"/>
      <c r="I930" s="219"/>
      <c r="J930" s="219"/>
      <c r="K930" s="219"/>
      <c r="L930" s="219"/>
      <c r="M930" s="219"/>
      <c r="N930" s="219"/>
      <c r="O930" s="219"/>
      <c r="P930" s="219"/>
      <c r="Q930" s="221"/>
    </row>
    <row r="931" spans="2:17" x14ac:dyDescent="0.2">
      <c r="B931" s="219"/>
      <c r="C931" s="219"/>
      <c r="D931" s="219"/>
      <c r="E931" s="219"/>
      <c r="F931" s="219"/>
      <c r="G931" s="219"/>
      <c r="H931" s="219"/>
      <c r="I931" s="219"/>
      <c r="J931" s="219"/>
      <c r="K931" s="219"/>
      <c r="L931" s="219"/>
      <c r="M931" s="219"/>
      <c r="N931" s="219"/>
      <c r="O931" s="219"/>
      <c r="P931" s="219"/>
      <c r="Q931" s="221"/>
    </row>
    <row r="932" spans="2:17" x14ac:dyDescent="0.2">
      <c r="B932" s="219"/>
      <c r="C932" s="219"/>
      <c r="D932" s="219"/>
      <c r="E932" s="219"/>
      <c r="F932" s="219"/>
      <c r="G932" s="219"/>
      <c r="H932" s="219"/>
      <c r="I932" s="219"/>
      <c r="J932" s="219"/>
      <c r="K932" s="219"/>
      <c r="L932" s="219"/>
      <c r="M932" s="219"/>
      <c r="N932" s="219"/>
      <c r="O932" s="219"/>
      <c r="P932" s="219"/>
      <c r="Q932" s="221"/>
    </row>
    <row r="933" spans="2:17" x14ac:dyDescent="0.2">
      <c r="B933" s="219"/>
      <c r="C933" s="219"/>
      <c r="D933" s="219"/>
      <c r="E933" s="219"/>
      <c r="F933" s="219"/>
      <c r="G933" s="219"/>
      <c r="H933" s="219"/>
      <c r="I933" s="219"/>
      <c r="J933" s="219"/>
      <c r="K933" s="219"/>
      <c r="L933" s="219"/>
      <c r="M933" s="219"/>
      <c r="N933" s="219"/>
      <c r="O933" s="219"/>
      <c r="P933" s="219"/>
      <c r="Q933" s="221"/>
    </row>
    <row r="934" spans="2:17" x14ac:dyDescent="0.2">
      <c r="B934" s="219"/>
      <c r="C934" s="219"/>
      <c r="D934" s="219"/>
      <c r="E934" s="219"/>
      <c r="F934" s="219"/>
      <c r="G934" s="219"/>
      <c r="H934" s="219"/>
      <c r="I934" s="219"/>
      <c r="J934" s="219"/>
      <c r="K934" s="219"/>
      <c r="L934" s="219"/>
      <c r="M934" s="219"/>
      <c r="N934" s="219"/>
      <c r="O934" s="219"/>
      <c r="P934" s="219"/>
      <c r="Q934" s="221"/>
    </row>
    <row r="935" spans="2:17" x14ac:dyDescent="0.2">
      <c r="B935" s="219"/>
      <c r="C935" s="219"/>
      <c r="D935" s="219"/>
      <c r="E935" s="219"/>
      <c r="F935" s="219"/>
      <c r="G935" s="219"/>
      <c r="H935" s="219"/>
      <c r="I935" s="219"/>
      <c r="J935" s="219"/>
      <c r="K935" s="219"/>
      <c r="L935" s="219"/>
      <c r="M935" s="219"/>
      <c r="N935" s="219"/>
      <c r="O935" s="219"/>
      <c r="P935" s="219"/>
      <c r="Q935" s="221"/>
    </row>
    <row r="936" spans="2:17" x14ac:dyDescent="0.2">
      <c r="B936" s="219"/>
      <c r="C936" s="219"/>
      <c r="D936" s="219"/>
      <c r="E936" s="219"/>
      <c r="F936" s="219"/>
      <c r="G936" s="219"/>
      <c r="H936" s="219"/>
      <c r="I936" s="219"/>
      <c r="J936" s="219"/>
      <c r="K936" s="219"/>
      <c r="L936" s="219"/>
      <c r="M936" s="219"/>
      <c r="N936" s="219"/>
      <c r="O936" s="219"/>
      <c r="P936" s="219"/>
      <c r="Q936" s="221"/>
    </row>
    <row r="937" spans="2:17" x14ac:dyDescent="0.2">
      <c r="B937" s="219"/>
      <c r="C937" s="219"/>
      <c r="D937" s="219"/>
      <c r="E937" s="219"/>
      <c r="F937" s="219"/>
      <c r="G937" s="219"/>
      <c r="H937" s="219"/>
      <c r="I937" s="219"/>
      <c r="J937" s="219"/>
      <c r="K937" s="219"/>
      <c r="L937" s="219"/>
      <c r="M937" s="219"/>
      <c r="N937" s="219"/>
      <c r="O937" s="219"/>
      <c r="P937" s="219"/>
      <c r="Q937" s="221"/>
    </row>
    <row r="938" spans="2:17" x14ac:dyDescent="0.2">
      <c r="B938" s="219"/>
      <c r="C938" s="219"/>
      <c r="D938" s="219"/>
      <c r="E938" s="219"/>
      <c r="F938" s="219"/>
      <c r="G938" s="219"/>
      <c r="H938" s="219"/>
      <c r="I938" s="219"/>
      <c r="J938" s="219"/>
      <c r="K938" s="219"/>
      <c r="L938" s="219"/>
      <c r="M938" s="219"/>
      <c r="N938" s="219"/>
      <c r="O938" s="219"/>
      <c r="P938" s="219"/>
      <c r="Q938" s="221"/>
    </row>
    <row r="939" spans="2:17" x14ac:dyDescent="0.2">
      <c r="B939" s="219"/>
      <c r="C939" s="219"/>
      <c r="D939" s="219"/>
      <c r="E939" s="219"/>
      <c r="F939" s="219"/>
      <c r="G939" s="219"/>
      <c r="H939" s="219"/>
      <c r="I939" s="219"/>
      <c r="J939" s="219"/>
      <c r="K939" s="219"/>
      <c r="L939" s="219"/>
      <c r="M939" s="219"/>
      <c r="N939" s="219"/>
      <c r="O939" s="219"/>
      <c r="P939" s="219"/>
      <c r="Q939" s="221"/>
    </row>
    <row r="940" spans="2:17" x14ac:dyDescent="0.2">
      <c r="B940" s="219"/>
      <c r="C940" s="219"/>
      <c r="D940" s="219"/>
      <c r="E940" s="219"/>
      <c r="F940" s="219"/>
      <c r="G940" s="219"/>
      <c r="H940" s="219"/>
      <c r="I940" s="219"/>
      <c r="J940" s="219"/>
      <c r="K940" s="219"/>
      <c r="L940" s="219"/>
      <c r="M940" s="219"/>
      <c r="N940" s="219"/>
      <c r="O940" s="219"/>
      <c r="P940" s="219"/>
      <c r="Q940" s="221"/>
    </row>
    <row r="941" spans="2:17" x14ac:dyDescent="0.2">
      <c r="B941" s="219"/>
      <c r="C941" s="219"/>
      <c r="D941" s="219"/>
      <c r="E941" s="219"/>
      <c r="F941" s="219"/>
      <c r="G941" s="219"/>
      <c r="H941" s="219"/>
      <c r="I941" s="219"/>
      <c r="J941" s="219"/>
      <c r="K941" s="219"/>
      <c r="L941" s="219"/>
      <c r="M941" s="219"/>
      <c r="N941" s="219"/>
      <c r="O941" s="219"/>
      <c r="P941" s="219"/>
      <c r="Q941" s="221"/>
    </row>
    <row r="942" spans="2:17" x14ac:dyDescent="0.2">
      <c r="B942" s="219"/>
      <c r="C942" s="219"/>
      <c r="D942" s="219"/>
      <c r="E942" s="219"/>
      <c r="F942" s="219"/>
      <c r="G942" s="219"/>
      <c r="H942" s="219"/>
      <c r="I942" s="219"/>
      <c r="J942" s="219"/>
      <c r="K942" s="219"/>
      <c r="L942" s="219"/>
      <c r="M942" s="219"/>
      <c r="N942" s="219"/>
      <c r="O942" s="219"/>
      <c r="P942" s="219"/>
      <c r="Q942" s="221"/>
    </row>
    <row r="943" spans="2:17" x14ac:dyDescent="0.2">
      <c r="B943" s="219"/>
      <c r="C943" s="219"/>
      <c r="D943" s="219"/>
      <c r="E943" s="219"/>
      <c r="F943" s="219"/>
      <c r="G943" s="219"/>
      <c r="H943" s="219"/>
      <c r="I943" s="219"/>
      <c r="J943" s="219"/>
      <c r="K943" s="219"/>
      <c r="L943" s="219"/>
      <c r="M943" s="219"/>
      <c r="N943" s="219"/>
      <c r="O943" s="219"/>
      <c r="P943" s="219"/>
      <c r="Q943" s="221"/>
    </row>
    <row r="944" spans="2:17" x14ac:dyDescent="0.2">
      <c r="B944" s="219"/>
      <c r="C944" s="219"/>
      <c r="D944" s="219"/>
      <c r="E944" s="219"/>
      <c r="F944" s="219"/>
      <c r="G944" s="219"/>
      <c r="H944" s="219"/>
      <c r="I944" s="219"/>
      <c r="J944" s="219"/>
      <c r="K944" s="219"/>
      <c r="L944" s="219"/>
      <c r="M944" s="219"/>
      <c r="N944" s="219"/>
      <c r="O944" s="219"/>
      <c r="P944" s="219"/>
      <c r="Q944" s="221"/>
    </row>
    <row r="945" spans="2:17" x14ac:dyDescent="0.2">
      <c r="B945" s="219"/>
      <c r="C945" s="219"/>
      <c r="D945" s="219"/>
      <c r="E945" s="219"/>
      <c r="F945" s="219"/>
      <c r="G945" s="219"/>
      <c r="H945" s="219"/>
      <c r="I945" s="219"/>
      <c r="J945" s="219"/>
      <c r="K945" s="219"/>
      <c r="L945" s="219"/>
      <c r="M945" s="219"/>
      <c r="N945" s="219"/>
      <c r="O945" s="219"/>
      <c r="P945" s="219"/>
      <c r="Q945" s="221"/>
    </row>
    <row r="946" spans="2:17" x14ac:dyDescent="0.2">
      <c r="B946" s="219"/>
      <c r="C946" s="219"/>
      <c r="D946" s="219"/>
      <c r="E946" s="219"/>
      <c r="F946" s="219"/>
      <c r="G946" s="219"/>
      <c r="H946" s="219"/>
      <c r="I946" s="219"/>
      <c r="J946" s="219"/>
      <c r="K946" s="219"/>
      <c r="L946" s="219"/>
      <c r="M946" s="219"/>
      <c r="N946" s="219"/>
      <c r="O946" s="219"/>
      <c r="P946" s="219"/>
      <c r="Q946" s="221"/>
    </row>
    <row r="947" spans="2:17" x14ac:dyDescent="0.2">
      <c r="B947" s="219"/>
      <c r="C947" s="219"/>
      <c r="D947" s="219"/>
      <c r="E947" s="219"/>
      <c r="F947" s="219"/>
      <c r="G947" s="219"/>
      <c r="H947" s="219"/>
      <c r="I947" s="219"/>
      <c r="J947" s="219"/>
      <c r="K947" s="219"/>
      <c r="L947" s="219"/>
      <c r="M947" s="219"/>
      <c r="N947" s="219"/>
      <c r="O947" s="219"/>
      <c r="P947" s="219"/>
      <c r="Q947" s="221"/>
    </row>
    <row r="948" spans="2:17" x14ac:dyDescent="0.2">
      <c r="B948" s="219"/>
      <c r="C948" s="219"/>
      <c r="D948" s="219"/>
      <c r="E948" s="219"/>
      <c r="F948" s="219"/>
      <c r="G948" s="219"/>
      <c r="H948" s="219"/>
      <c r="I948" s="219"/>
      <c r="J948" s="219"/>
      <c r="K948" s="219"/>
      <c r="L948" s="219"/>
      <c r="M948" s="219"/>
      <c r="N948" s="219"/>
      <c r="O948" s="219"/>
      <c r="P948" s="219"/>
      <c r="Q948" s="221"/>
    </row>
    <row r="949" spans="2:17" x14ac:dyDescent="0.2">
      <c r="B949" s="219"/>
      <c r="C949" s="219"/>
      <c r="D949" s="219"/>
      <c r="E949" s="219"/>
      <c r="F949" s="219"/>
      <c r="G949" s="219"/>
      <c r="H949" s="219"/>
      <c r="I949" s="219"/>
      <c r="J949" s="219"/>
      <c r="K949" s="219"/>
      <c r="L949" s="219"/>
      <c r="M949" s="219"/>
      <c r="N949" s="219"/>
      <c r="O949" s="219"/>
      <c r="P949" s="219"/>
      <c r="Q949" s="221"/>
    </row>
    <row r="950" spans="2:17" x14ac:dyDescent="0.2">
      <c r="B950" s="219"/>
      <c r="C950" s="219"/>
      <c r="D950" s="219"/>
      <c r="E950" s="219"/>
      <c r="F950" s="219"/>
      <c r="G950" s="219"/>
      <c r="H950" s="219"/>
      <c r="I950" s="219"/>
      <c r="J950" s="219"/>
      <c r="K950" s="219"/>
      <c r="L950" s="219"/>
      <c r="M950" s="219"/>
      <c r="N950" s="219"/>
      <c r="O950" s="219"/>
      <c r="P950" s="219"/>
      <c r="Q950" s="221"/>
    </row>
    <row r="951" spans="2:17" x14ac:dyDescent="0.2">
      <c r="B951" s="219"/>
      <c r="C951" s="219"/>
      <c r="D951" s="219"/>
      <c r="E951" s="219"/>
      <c r="F951" s="219"/>
      <c r="G951" s="219"/>
      <c r="H951" s="219"/>
      <c r="I951" s="219"/>
      <c r="J951" s="219"/>
      <c r="K951" s="219"/>
      <c r="L951" s="219"/>
      <c r="M951" s="219"/>
      <c r="N951" s="219"/>
      <c r="O951" s="219"/>
      <c r="P951" s="219"/>
      <c r="Q951" s="221"/>
    </row>
    <row r="952" spans="2:17" x14ac:dyDescent="0.2">
      <c r="B952" s="219"/>
      <c r="C952" s="219"/>
      <c r="D952" s="219"/>
      <c r="E952" s="219"/>
      <c r="F952" s="219"/>
      <c r="G952" s="219"/>
      <c r="H952" s="219"/>
      <c r="I952" s="219"/>
      <c r="J952" s="219"/>
      <c r="K952" s="219"/>
      <c r="L952" s="219"/>
      <c r="M952" s="219"/>
      <c r="N952" s="219"/>
      <c r="O952" s="219"/>
      <c r="P952" s="219"/>
      <c r="Q952" s="221"/>
    </row>
    <row r="953" spans="2:17" x14ac:dyDescent="0.2">
      <c r="B953" s="219"/>
      <c r="C953" s="219"/>
      <c r="D953" s="219"/>
      <c r="E953" s="219"/>
      <c r="F953" s="219"/>
      <c r="G953" s="219"/>
      <c r="H953" s="219"/>
      <c r="I953" s="219"/>
      <c r="J953" s="219"/>
      <c r="K953" s="219"/>
      <c r="L953" s="219"/>
      <c r="M953" s="219"/>
      <c r="N953" s="219"/>
      <c r="O953" s="219"/>
      <c r="P953" s="219"/>
      <c r="Q953" s="221"/>
    </row>
    <row r="954" spans="2:17" x14ac:dyDescent="0.2">
      <c r="B954" s="219"/>
      <c r="C954" s="219"/>
      <c r="D954" s="219"/>
      <c r="E954" s="219"/>
      <c r="F954" s="219"/>
      <c r="G954" s="219"/>
      <c r="H954" s="219"/>
      <c r="I954" s="219"/>
      <c r="J954" s="219"/>
      <c r="K954" s="219"/>
      <c r="L954" s="219"/>
      <c r="M954" s="219"/>
      <c r="N954" s="219"/>
      <c r="O954" s="219"/>
      <c r="P954" s="219"/>
      <c r="Q954" s="221"/>
    </row>
    <row r="955" spans="2:17" x14ac:dyDescent="0.2">
      <c r="B955" s="219"/>
      <c r="C955" s="219"/>
      <c r="D955" s="219"/>
      <c r="E955" s="219"/>
      <c r="F955" s="219"/>
      <c r="G955" s="219"/>
      <c r="H955" s="219"/>
      <c r="I955" s="219"/>
      <c r="J955" s="219"/>
      <c r="K955" s="219"/>
      <c r="L955" s="219"/>
      <c r="M955" s="219"/>
      <c r="N955" s="219"/>
      <c r="O955" s="219"/>
      <c r="P955" s="219"/>
      <c r="Q955" s="221"/>
    </row>
    <row r="956" spans="2:17" x14ac:dyDescent="0.2">
      <c r="B956" s="219"/>
      <c r="C956" s="219"/>
      <c r="D956" s="219"/>
      <c r="E956" s="219"/>
      <c r="F956" s="219"/>
      <c r="G956" s="219"/>
      <c r="H956" s="219"/>
      <c r="I956" s="219"/>
      <c r="J956" s="219"/>
      <c r="K956" s="219"/>
      <c r="L956" s="219"/>
      <c r="M956" s="219"/>
      <c r="N956" s="219"/>
      <c r="O956" s="219"/>
      <c r="P956" s="219"/>
      <c r="Q956" s="221"/>
    </row>
    <row r="957" spans="2:17" x14ac:dyDescent="0.2">
      <c r="B957" s="219"/>
      <c r="C957" s="219"/>
      <c r="D957" s="219"/>
      <c r="E957" s="219"/>
      <c r="F957" s="219"/>
      <c r="G957" s="219"/>
      <c r="H957" s="219"/>
      <c r="I957" s="219"/>
      <c r="J957" s="219"/>
      <c r="K957" s="219"/>
      <c r="L957" s="219"/>
      <c r="M957" s="219"/>
      <c r="N957" s="219"/>
      <c r="O957" s="219"/>
      <c r="P957" s="219"/>
      <c r="Q957" s="221"/>
    </row>
    <row r="958" spans="2:17" x14ac:dyDescent="0.2">
      <c r="B958" s="219"/>
      <c r="C958" s="219"/>
      <c r="D958" s="219"/>
      <c r="E958" s="219"/>
      <c r="F958" s="219"/>
      <c r="G958" s="219"/>
      <c r="H958" s="219"/>
      <c r="I958" s="219"/>
      <c r="J958" s="219"/>
      <c r="K958" s="219"/>
      <c r="L958" s="219"/>
      <c r="M958" s="219"/>
      <c r="N958" s="219"/>
      <c r="O958" s="219"/>
      <c r="P958" s="219"/>
      <c r="Q958" s="221"/>
    </row>
    <row r="959" spans="2:17" x14ac:dyDescent="0.2">
      <c r="B959" s="219"/>
      <c r="C959" s="219"/>
      <c r="D959" s="219"/>
      <c r="E959" s="219"/>
      <c r="F959" s="219"/>
      <c r="G959" s="219"/>
      <c r="H959" s="219"/>
      <c r="I959" s="219"/>
      <c r="J959" s="219"/>
      <c r="K959" s="219"/>
      <c r="L959" s="219"/>
      <c r="M959" s="219"/>
      <c r="N959" s="219"/>
      <c r="O959" s="219"/>
      <c r="P959" s="219"/>
      <c r="Q959" s="221"/>
    </row>
    <row r="960" spans="2:17" x14ac:dyDescent="0.2">
      <c r="B960" s="219"/>
      <c r="C960" s="219"/>
      <c r="D960" s="219"/>
      <c r="E960" s="219"/>
      <c r="F960" s="219"/>
      <c r="G960" s="219"/>
      <c r="H960" s="219"/>
      <c r="I960" s="219"/>
      <c r="J960" s="219"/>
      <c r="K960" s="219"/>
      <c r="L960" s="219"/>
      <c r="M960" s="219"/>
      <c r="N960" s="219"/>
      <c r="O960" s="219"/>
      <c r="P960" s="219"/>
      <c r="Q960" s="221"/>
    </row>
    <row r="961" spans="2:17" x14ac:dyDescent="0.2">
      <c r="B961" s="219"/>
      <c r="C961" s="219"/>
      <c r="D961" s="219"/>
      <c r="E961" s="219"/>
      <c r="F961" s="219"/>
      <c r="G961" s="219"/>
      <c r="H961" s="219"/>
      <c r="I961" s="219"/>
      <c r="J961" s="219"/>
      <c r="K961" s="219"/>
      <c r="L961" s="219"/>
      <c r="M961" s="219"/>
      <c r="N961" s="219"/>
      <c r="O961" s="219"/>
      <c r="P961" s="219"/>
      <c r="Q961" s="221"/>
    </row>
    <row r="962" spans="2:17" x14ac:dyDescent="0.2">
      <c r="B962" s="219"/>
      <c r="C962" s="219"/>
      <c r="D962" s="219"/>
      <c r="E962" s="219"/>
      <c r="F962" s="219"/>
      <c r="G962" s="219"/>
      <c r="H962" s="219"/>
      <c r="I962" s="219"/>
      <c r="J962" s="219"/>
      <c r="K962" s="219"/>
      <c r="L962" s="219"/>
      <c r="M962" s="219"/>
      <c r="N962" s="219"/>
      <c r="O962" s="219"/>
      <c r="P962" s="219"/>
      <c r="Q962" s="221"/>
    </row>
    <row r="963" spans="2:17" x14ac:dyDescent="0.2">
      <c r="B963" s="219"/>
      <c r="C963" s="219"/>
      <c r="D963" s="219"/>
      <c r="E963" s="219"/>
      <c r="F963" s="219"/>
      <c r="G963" s="219"/>
      <c r="H963" s="219"/>
      <c r="I963" s="219"/>
      <c r="J963" s="219"/>
      <c r="K963" s="219"/>
      <c r="L963" s="219"/>
      <c r="M963" s="219"/>
      <c r="N963" s="219"/>
      <c r="O963" s="219"/>
      <c r="P963" s="219"/>
      <c r="Q963" s="221"/>
    </row>
    <row r="964" spans="2:17" x14ac:dyDescent="0.2">
      <c r="B964" s="219"/>
      <c r="C964" s="219"/>
      <c r="D964" s="219"/>
      <c r="E964" s="219"/>
      <c r="F964" s="219"/>
      <c r="G964" s="219"/>
      <c r="H964" s="219"/>
      <c r="I964" s="219"/>
      <c r="J964" s="219"/>
      <c r="K964" s="219"/>
      <c r="L964" s="219"/>
      <c r="M964" s="219"/>
      <c r="N964" s="219"/>
      <c r="O964" s="219"/>
      <c r="P964" s="219"/>
      <c r="Q964" s="221"/>
    </row>
    <row r="965" spans="2:17" x14ac:dyDescent="0.2">
      <c r="B965" s="219"/>
      <c r="C965" s="219"/>
      <c r="D965" s="219"/>
      <c r="E965" s="219"/>
      <c r="F965" s="219"/>
      <c r="G965" s="219"/>
      <c r="H965" s="219"/>
      <c r="I965" s="219"/>
      <c r="J965" s="219"/>
      <c r="K965" s="219"/>
      <c r="L965" s="219"/>
      <c r="M965" s="219"/>
      <c r="N965" s="219"/>
      <c r="O965" s="219"/>
      <c r="P965" s="219"/>
      <c r="Q965" s="221"/>
    </row>
    <row r="966" spans="2:17" x14ac:dyDescent="0.2">
      <c r="B966" s="219"/>
      <c r="C966" s="219"/>
      <c r="D966" s="219"/>
      <c r="E966" s="219"/>
      <c r="F966" s="219"/>
      <c r="G966" s="219"/>
      <c r="H966" s="219"/>
      <c r="I966" s="219"/>
      <c r="J966" s="219"/>
      <c r="K966" s="219"/>
      <c r="L966" s="219"/>
      <c r="M966" s="219"/>
      <c r="N966" s="219"/>
      <c r="O966" s="219"/>
      <c r="P966" s="219"/>
      <c r="Q966" s="221"/>
    </row>
    <row r="967" spans="2:17" x14ac:dyDescent="0.2">
      <c r="B967" s="219"/>
      <c r="C967" s="219"/>
      <c r="D967" s="219"/>
      <c r="E967" s="219"/>
      <c r="F967" s="219"/>
      <c r="G967" s="219"/>
      <c r="H967" s="219"/>
      <c r="I967" s="219"/>
      <c r="J967" s="219"/>
      <c r="K967" s="219"/>
      <c r="L967" s="219"/>
      <c r="M967" s="219"/>
      <c r="N967" s="219"/>
      <c r="O967" s="219"/>
      <c r="P967" s="219"/>
      <c r="Q967" s="221"/>
    </row>
    <row r="968" spans="2:17" x14ac:dyDescent="0.2">
      <c r="B968" s="219"/>
      <c r="C968" s="219"/>
      <c r="D968" s="219"/>
      <c r="E968" s="219"/>
      <c r="F968" s="219"/>
      <c r="G968" s="219"/>
      <c r="H968" s="219"/>
      <c r="I968" s="219"/>
      <c r="J968" s="219"/>
      <c r="K968" s="219"/>
      <c r="L968" s="219"/>
      <c r="M968" s="219"/>
      <c r="N968" s="219"/>
      <c r="O968" s="219"/>
      <c r="P968" s="219"/>
      <c r="Q968" s="221"/>
    </row>
    <row r="969" spans="2:17" x14ac:dyDescent="0.2">
      <c r="B969" s="219"/>
      <c r="C969" s="219"/>
      <c r="D969" s="219"/>
      <c r="E969" s="219"/>
      <c r="F969" s="219"/>
      <c r="G969" s="219"/>
      <c r="H969" s="219"/>
      <c r="I969" s="219"/>
      <c r="J969" s="219"/>
      <c r="K969" s="219"/>
      <c r="L969" s="219"/>
      <c r="M969" s="219"/>
      <c r="N969" s="219"/>
      <c r="O969" s="219"/>
      <c r="P969" s="219"/>
      <c r="Q969" s="221"/>
    </row>
    <row r="970" spans="2:17" x14ac:dyDescent="0.2">
      <c r="B970" s="219"/>
      <c r="C970" s="219"/>
      <c r="D970" s="219"/>
      <c r="E970" s="219"/>
      <c r="F970" s="219"/>
      <c r="G970" s="219"/>
      <c r="H970" s="219"/>
      <c r="I970" s="219"/>
      <c r="J970" s="219"/>
      <c r="K970" s="219"/>
      <c r="L970" s="219"/>
      <c r="M970" s="219"/>
      <c r="N970" s="219"/>
      <c r="O970" s="219"/>
      <c r="P970" s="219"/>
      <c r="Q970" s="221"/>
    </row>
    <row r="971" spans="2:17" x14ac:dyDescent="0.2">
      <c r="B971" s="219"/>
      <c r="C971" s="219"/>
      <c r="D971" s="219"/>
      <c r="E971" s="219"/>
      <c r="F971" s="219"/>
      <c r="G971" s="219"/>
      <c r="H971" s="219"/>
      <c r="I971" s="219"/>
      <c r="J971" s="219"/>
      <c r="K971" s="219"/>
      <c r="L971" s="219"/>
      <c r="M971" s="219"/>
      <c r="N971" s="219"/>
      <c r="O971" s="219"/>
      <c r="P971" s="219"/>
      <c r="Q971" s="221"/>
    </row>
    <row r="972" spans="2:17" x14ac:dyDescent="0.2">
      <c r="B972" s="219"/>
      <c r="C972" s="219"/>
      <c r="D972" s="219"/>
      <c r="E972" s="219"/>
      <c r="F972" s="219"/>
      <c r="G972" s="219"/>
      <c r="H972" s="219"/>
      <c r="I972" s="219"/>
      <c r="J972" s="219"/>
      <c r="K972" s="219"/>
      <c r="L972" s="219"/>
      <c r="M972" s="219"/>
      <c r="N972" s="219"/>
      <c r="O972" s="219"/>
      <c r="P972" s="219"/>
      <c r="Q972" s="221"/>
    </row>
    <row r="973" spans="2:17" x14ac:dyDescent="0.2">
      <c r="B973" s="219"/>
      <c r="C973" s="219"/>
      <c r="D973" s="219"/>
      <c r="E973" s="219"/>
      <c r="F973" s="219"/>
      <c r="G973" s="219"/>
      <c r="H973" s="219"/>
      <c r="I973" s="219"/>
      <c r="J973" s="219"/>
      <c r="K973" s="219"/>
      <c r="L973" s="219"/>
      <c r="M973" s="219"/>
      <c r="N973" s="219"/>
      <c r="O973" s="219"/>
      <c r="P973" s="219"/>
      <c r="Q973" s="221"/>
    </row>
    <row r="974" spans="2:17" x14ac:dyDescent="0.2">
      <c r="B974" s="219"/>
      <c r="C974" s="219"/>
      <c r="D974" s="219"/>
      <c r="E974" s="219"/>
      <c r="F974" s="219"/>
      <c r="G974" s="219"/>
      <c r="H974" s="219"/>
      <c r="I974" s="219"/>
      <c r="J974" s="219"/>
      <c r="K974" s="219"/>
      <c r="L974" s="219"/>
      <c r="M974" s="219"/>
      <c r="N974" s="219"/>
      <c r="O974" s="219"/>
      <c r="P974" s="219"/>
      <c r="Q974" s="221"/>
    </row>
    <row r="975" spans="2:17" x14ac:dyDescent="0.2">
      <c r="B975" s="219"/>
      <c r="C975" s="219"/>
      <c r="D975" s="219"/>
      <c r="E975" s="219"/>
      <c r="F975" s="219"/>
      <c r="G975" s="219"/>
      <c r="H975" s="219"/>
      <c r="I975" s="219"/>
      <c r="J975" s="219"/>
      <c r="K975" s="219"/>
      <c r="L975" s="219"/>
      <c r="M975" s="219"/>
      <c r="N975" s="219"/>
      <c r="O975" s="219"/>
      <c r="P975" s="219"/>
      <c r="Q975" s="221"/>
    </row>
    <row r="976" spans="2:17" x14ac:dyDescent="0.2">
      <c r="B976" s="219"/>
      <c r="C976" s="219"/>
      <c r="D976" s="219"/>
      <c r="E976" s="219"/>
      <c r="F976" s="219"/>
      <c r="G976" s="219"/>
      <c r="H976" s="219"/>
      <c r="I976" s="219"/>
      <c r="J976" s="219"/>
      <c r="K976" s="219"/>
      <c r="L976" s="219"/>
      <c r="M976" s="219"/>
      <c r="N976" s="219"/>
      <c r="O976" s="219"/>
      <c r="P976" s="219"/>
      <c r="Q976" s="221"/>
    </row>
    <row r="977" spans="2:17" x14ac:dyDescent="0.2">
      <c r="B977" s="219"/>
      <c r="C977" s="219"/>
      <c r="D977" s="219"/>
      <c r="E977" s="219"/>
      <c r="F977" s="219"/>
      <c r="G977" s="219"/>
      <c r="H977" s="219"/>
      <c r="I977" s="219"/>
      <c r="J977" s="219"/>
      <c r="K977" s="219"/>
      <c r="L977" s="219"/>
      <c r="M977" s="219"/>
      <c r="N977" s="219"/>
      <c r="O977" s="219"/>
      <c r="P977" s="219"/>
      <c r="Q977" s="221"/>
    </row>
    <row r="978" spans="2:17" x14ac:dyDescent="0.2">
      <c r="B978" s="219"/>
      <c r="C978" s="219"/>
      <c r="D978" s="219"/>
      <c r="E978" s="219"/>
      <c r="F978" s="219"/>
      <c r="G978" s="219"/>
      <c r="H978" s="219"/>
      <c r="I978" s="219"/>
      <c r="J978" s="219"/>
      <c r="K978" s="219"/>
      <c r="L978" s="219"/>
      <c r="M978" s="219"/>
      <c r="N978" s="219"/>
      <c r="O978" s="219"/>
      <c r="P978" s="219"/>
      <c r="Q978" s="221"/>
    </row>
    <row r="979" spans="2:17" x14ac:dyDescent="0.2">
      <c r="B979" s="219"/>
      <c r="C979" s="219"/>
      <c r="D979" s="219"/>
      <c r="E979" s="219"/>
      <c r="F979" s="219"/>
      <c r="G979" s="219"/>
      <c r="H979" s="219"/>
      <c r="I979" s="219"/>
      <c r="J979" s="219"/>
      <c r="K979" s="219"/>
      <c r="L979" s="219"/>
      <c r="M979" s="219"/>
      <c r="N979" s="219"/>
      <c r="O979" s="219"/>
      <c r="P979" s="219"/>
      <c r="Q979" s="221"/>
    </row>
    <row r="980" spans="2:17" x14ac:dyDescent="0.2">
      <c r="B980" s="219"/>
      <c r="C980" s="219"/>
      <c r="D980" s="219"/>
      <c r="E980" s="219"/>
      <c r="F980" s="219"/>
      <c r="G980" s="219"/>
      <c r="H980" s="219"/>
      <c r="I980" s="219"/>
      <c r="J980" s="219"/>
      <c r="K980" s="219"/>
      <c r="L980" s="219"/>
      <c r="M980" s="219"/>
      <c r="N980" s="219"/>
      <c r="O980" s="219"/>
      <c r="P980" s="219"/>
      <c r="Q980" s="221"/>
    </row>
    <row r="981" spans="2:17" x14ac:dyDescent="0.2">
      <c r="B981" s="219"/>
      <c r="C981" s="219"/>
      <c r="D981" s="219"/>
      <c r="E981" s="219"/>
      <c r="F981" s="219"/>
      <c r="G981" s="219"/>
      <c r="H981" s="219"/>
      <c r="I981" s="219"/>
      <c r="J981" s="219"/>
      <c r="K981" s="219"/>
      <c r="L981" s="219"/>
      <c r="M981" s="219"/>
      <c r="N981" s="219"/>
      <c r="O981" s="219"/>
      <c r="P981" s="219"/>
      <c r="Q981" s="221"/>
    </row>
    <row r="982" spans="2:17" x14ac:dyDescent="0.2">
      <c r="B982" s="219"/>
      <c r="C982" s="219"/>
      <c r="D982" s="219"/>
      <c r="E982" s="219"/>
      <c r="F982" s="219"/>
      <c r="G982" s="219"/>
      <c r="H982" s="219"/>
      <c r="I982" s="219"/>
      <c r="J982" s="219"/>
      <c r="K982" s="219"/>
      <c r="L982" s="219"/>
      <c r="M982" s="219"/>
      <c r="N982" s="219"/>
      <c r="O982" s="219"/>
      <c r="P982" s="219"/>
      <c r="Q982" s="221"/>
    </row>
    <row r="983" spans="2:17" x14ac:dyDescent="0.2">
      <c r="B983" s="219"/>
      <c r="C983" s="219"/>
      <c r="D983" s="219"/>
      <c r="E983" s="219"/>
      <c r="F983" s="219"/>
      <c r="G983" s="219"/>
      <c r="H983" s="219"/>
      <c r="I983" s="219"/>
      <c r="J983" s="219"/>
      <c r="K983" s="219"/>
      <c r="L983" s="219"/>
      <c r="M983" s="219"/>
      <c r="N983" s="219"/>
      <c r="O983" s="219"/>
      <c r="P983" s="219"/>
      <c r="Q983" s="221"/>
    </row>
    <row r="984" spans="2:17" x14ac:dyDescent="0.2">
      <c r="B984" s="219"/>
      <c r="C984" s="219"/>
      <c r="D984" s="219"/>
      <c r="E984" s="219"/>
      <c r="F984" s="219"/>
      <c r="G984" s="219"/>
      <c r="H984" s="219"/>
      <c r="I984" s="219"/>
      <c r="J984" s="219"/>
      <c r="K984" s="219"/>
      <c r="L984" s="219"/>
      <c r="M984" s="219"/>
      <c r="N984" s="219"/>
      <c r="O984" s="219"/>
      <c r="P984" s="219"/>
      <c r="Q984" s="221"/>
    </row>
    <row r="985" spans="2:17" x14ac:dyDescent="0.2">
      <c r="B985" s="219"/>
      <c r="C985" s="219"/>
      <c r="D985" s="219"/>
      <c r="E985" s="219"/>
      <c r="F985" s="219"/>
      <c r="G985" s="219"/>
      <c r="H985" s="219"/>
      <c r="I985" s="219"/>
      <c r="J985" s="219"/>
      <c r="K985" s="219"/>
      <c r="L985" s="219"/>
      <c r="M985" s="219"/>
      <c r="N985" s="219"/>
      <c r="O985" s="219"/>
      <c r="P985" s="219"/>
      <c r="Q985" s="221"/>
    </row>
    <row r="986" spans="2:17" x14ac:dyDescent="0.2">
      <c r="B986" s="219"/>
      <c r="C986" s="219"/>
      <c r="D986" s="219"/>
      <c r="E986" s="219"/>
      <c r="F986" s="219"/>
      <c r="G986" s="219"/>
      <c r="H986" s="219"/>
      <c r="I986" s="219"/>
      <c r="J986" s="219"/>
      <c r="K986" s="219"/>
      <c r="L986" s="219"/>
      <c r="M986" s="219"/>
      <c r="N986" s="219"/>
      <c r="O986" s="219"/>
      <c r="P986" s="219"/>
      <c r="Q986" s="221"/>
    </row>
    <row r="987" spans="2:17" x14ac:dyDescent="0.2">
      <c r="B987" s="219"/>
      <c r="C987" s="219"/>
      <c r="D987" s="219"/>
      <c r="E987" s="219"/>
      <c r="F987" s="219"/>
      <c r="G987" s="219"/>
      <c r="H987" s="219"/>
      <c r="I987" s="219"/>
      <c r="J987" s="219"/>
      <c r="K987" s="219"/>
      <c r="L987" s="219"/>
      <c r="M987" s="219"/>
      <c r="N987" s="219"/>
      <c r="O987" s="219"/>
      <c r="P987" s="219"/>
      <c r="Q987" s="221"/>
    </row>
    <row r="988" spans="2:17" x14ac:dyDescent="0.2">
      <c r="B988" s="219"/>
      <c r="C988" s="219"/>
      <c r="D988" s="219"/>
      <c r="E988" s="219"/>
      <c r="F988" s="219"/>
      <c r="G988" s="219"/>
      <c r="H988" s="219"/>
      <c r="I988" s="219"/>
      <c r="J988" s="219"/>
      <c r="K988" s="219"/>
      <c r="L988" s="219"/>
      <c r="M988" s="219"/>
      <c r="N988" s="219"/>
      <c r="O988" s="219"/>
      <c r="P988" s="219"/>
      <c r="Q988" s="221"/>
    </row>
    <row r="989" spans="2:17" x14ac:dyDescent="0.2">
      <c r="B989" s="219"/>
      <c r="C989" s="219"/>
      <c r="D989" s="219"/>
      <c r="E989" s="219"/>
      <c r="F989" s="219"/>
      <c r="G989" s="219"/>
      <c r="H989" s="219"/>
      <c r="I989" s="219"/>
      <c r="J989" s="219"/>
      <c r="K989" s="219"/>
      <c r="L989" s="219"/>
      <c r="M989" s="219"/>
      <c r="N989" s="219"/>
      <c r="O989" s="219"/>
      <c r="P989" s="219"/>
      <c r="Q989" s="221"/>
    </row>
    <row r="990" spans="2:17" x14ac:dyDescent="0.2">
      <c r="B990" s="219"/>
      <c r="C990" s="219"/>
      <c r="D990" s="219"/>
      <c r="E990" s="219"/>
      <c r="F990" s="219"/>
      <c r="G990" s="219"/>
      <c r="H990" s="219"/>
      <c r="I990" s="219"/>
      <c r="J990" s="219"/>
      <c r="K990" s="219"/>
      <c r="L990" s="219"/>
      <c r="M990" s="219"/>
      <c r="N990" s="219"/>
      <c r="O990" s="219"/>
      <c r="P990" s="219"/>
      <c r="Q990" s="221"/>
    </row>
    <row r="991" spans="2:17" x14ac:dyDescent="0.2">
      <c r="B991" s="219"/>
      <c r="C991" s="219"/>
      <c r="D991" s="219"/>
      <c r="E991" s="219"/>
      <c r="F991" s="219"/>
      <c r="G991" s="219"/>
      <c r="H991" s="219"/>
      <c r="I991" s="219"/>
      <c r="J991" s="219"/>
      <c r="K991" s="219"/>
      <c r="L991" s="219"/>
      <c r="M991" s="219"/>
      <c r="N991" s="219"/>
      <c r="O991" s="219"/>
      <c r="P991" s="219"/>
      <c r="Q991" s="221"/>
    </row>
    <row r="992" spans="2:17" x14ac:dyDescent="0.2">
      <c r="B992" s="219"/>
      <c r="C992" s="219"/>
      <c r="D992" s="219"/>
      <c r="E992" s="219"/>
      <c r="F992" s="219"/>
      <c r="G992" s="219"/>
      <c r="H992" s="219"/>
      <c r="I992" s="219"/>
      <c r="J992" s="219"/>
      <c r="K992" s="219"/>
      <c r="L992" s="219"/>
      <c r="M992" s="219"/>
      <c r="N992" s="219"/>
      <c r="O992" s="219"/>
      <c r="P992" s="219"/>
      <c r="Q992" s="221"/>
    </row>
    <row r="993" spans="2:17" x14ac:dyDescent="0.2">
      <c r="B993" s="219"/>
      <c r="C993" s="219"/>
      <c r="D993" s="219"/>
      <c r="E993" s="219"/>
      <c r="F993" s="219"/>
      <c r="G993" s="219"/>
      <c r="H993" s="219"/>
      <c r="I993" s="219"/>
      <c r="J993" s="219"/>
      <c r="K993" s="219"/>
      <c r="L993" s="219"/>
      <c r="M993" s="219"/>
      <c r="N993" s="219"/>
      <c r="O993" s="219"/>
      <c r="P993" s="219"/>
      <c r="Q993" s="221"/>
    </row>
    <row r="994" spans="2:17" x14ac:dyDescent="0.2">
      <c r="B994" s="219"/>
      <c r="C994" s="219"/>
      <c r="D994" s="219"/>
      <c r="E994" s="219"/>
      <c r="F994" s="219"/>
      <c r="G994" s="219"/>
      <c r="H994" s="219"/>
      <c r="I994" s="219"/>
      <c r="J994" s="219"/>
      <c r="K994" s="219"/>
      <c r="L994" s="219"/>
      <c r="M994" s="219"/>
      <c r="N994" s="219"/>
      <c r="O994" s="219"/>
      <c r="P994" s="219"/>
      <c r="Q994" s="221"/>
    </row>
    <row r="995" spans="2:17" x14ac:dyDescent="0.2">
      <c r="B995" s="219"/>
      <c r="C995" s="219"/>
      <c r="D995" s="219"/>
      <c r="E995" s="219"/>
      <c r="F995" s="219"/>
      <c r="G995" s="219"/>
      <c r="H995" s="219"/>
      <c r="I995" s="219"/>
      <c r="J995" s="219"/>
      <c r="K995" s="219"/>
      <c r="L995" s="219"/>
      <c r="M995" s="219"/>
      <c r="N995" s="219"/>
      <c r="O995" s="219"/>
      <c r="P995" s="219"/>
      <c r="Q995" s="221"/>
    </row>
    <row r="996" spans="2:17" x14ac:dyDescent="0.2">
      <c r="B996" s="219"/>
      <c r="C996" s="219"/>
      <c r="D996" s="219"/>
      <c r="E996" s="219"/>
      <c r="F996" s="219"/>
      <c r="G996" s="219"/>
      <c r="H996" s="219"/>
      <c r="I996" s="219"/>
      <c r="J996" s="219"/>
      <c r="K996" s="219"/>
      <c r="L996" s="219"/>
      <c r="M996" s="219"/>
      <c r="N996" s="219"/>
      <c r="O996" s="219"/>
      <c r="P996" s="219"/>
      <c r="Q996" s="221"/>
    </row>
    <row r="997" spans="2:17" x14ac:dyDescent="0.2">
      <c r="B997" s="219"/>
      <c r="C997" s="219"/>
      <c r="D997" s="219"/>
      <c r="E997" s="219"/>
      <c r="F997" s="219"/>
      <c r="G997" s="219"/>
      <c r="H997" s="219"/>
      <c r="I997" s="219"/>
      <c r="J997" s="219"/>
      <c r="K997" s="219"/>
      <c r="L997" s="219"/>
      <c r="M997" s="219"/>
      <c r="N997" s="219"/>
      <c r="O997" s="219"/>
      <c r="P997" s="219"/>
      <c r="Q997" s="221"/>
    </row>
    <row r="998" spans="2:17" x14ac:dyDescent="0.2">
      <c r="B998" s="219"/>
      <c r="C998" s="219"/>
      <c r="D998" s="219"/>
      <c r="E998" s="219"/>
      <c r="F998" s="219"/>
      <c r="G998" s="219"/>
      <c r="H998" s="219"/>
      <c r="I998" s="219"/>
      <c r="J998" s="219"/>
      <c r="K998" s="219"/>
      <c r="L998" s="219"/>
      <c r="M998" s="219"/>
      <c r="N998" s="219"/>
      <c r="O998" s="219"/>
      <c r="P998" s="219"/>
      <c r="Q998" s="221"/>
    </row>
    <row r="999" spans="2:17" x14ac:dyDescent="0.2">
      <c r="B999" s="219"/>
      <c r="C999" s="219"/>
      <c r="D999" s="219"/>
      <c r="E999" s="219"/>
      <c r="F999" s="219"/>
      <c r="G999" s="219"/>
      <c r="H999" s="219"/>
      <c r="I999" s="219"/>
      <c r="J999" s="219"/>
      <c r="K999" s="219"/>
      <c r="L999" s="219"/>
      <c r="M999" s="219"/>
      <c r="N999" s="219"/>
      <c r="O999" s="219"/>
      <c r="P999" s="219"/>
      <c r="Q999" s="221"/>
    </row>
    <row r="1000" spans="2:17" x14ac:dyDescent="0.2">
      <c r="B1000" s="219"/>
      <c r="C1000" s="219"/>
      <c r="D1000" s="219"/>
      <c r="E1000" s="219"/>
      <c r="F1000" s="219"/>
      <c r="G1000" s="219"/>
      <c r="H1000" s="219"/>
      <c r="I1000" s="219"/>
      <c r="J1000" s="219"/>
      <c r="K1000" s="219"/>
      <c r="L1000" s="219"/>
      <c r="M1000" s="219"/>
      <c r="N1000" s="219"/>
      <c r="O1000" s="219"/>
      <c r="P1000" s="219"/>
      <c r="Q1000" s="221"/>
    </row>
    <row r="1001" spans="2:17" x14ac:dyDescent="0.2">
      <c r="B1001" s="219"/>
      <c r="C1001" s="219"/>
      <c r="D1001" s="219"/>
      <c r="E1001" s="219"/>
      <c r="F1001" s="219"/>
      <c r="G1001" s="219"/>
      <c r="H1001" s="219"/>
      <c r="I1001" s="219"/>
      <c r="J1001" s="219"/>
      <c r="K1001" s="219"/>
      <c r="L1001" s="219"/>
      <c r="M1001" s="219"/>
      <c r="N1001" s="219"/>
      <c r="O1001" s="219"/>
      <c r="P1001" s="219"/>
      <c r="Q1001" s="221"/>
    </row>
    <row r="1002" spans="2:17" x14ac:dyDescent="0.2">
      <c r="B1002" s="219"/>
      <c r="C1002" s="219"/>
      <c r="D1002" s="219"/>
      <c r="E1002" s="219"/>
      <c r="F1002" s="219"/>
      <c r="G1002" s="219"/>
      <c r="H1002" s="219"/>
      <c r="I1002" s="219"/>
      <c r="J1002" s="219"/>
      <c r="K1002" s="219"/>
      <c r="L1002" s="219"/>
      <c r="M1002" s="219"/>
      <c r="N1002" s="219"/>
      <c r="O1002" s="219"/>
      <c r="P1002" s="219"/>
      <c r="Q1002" s="221"/>
    </row>
    <row r="1003" spans="2:17" x14ac:dyDescent="0.2">
      <c r="B1003" s="219"/>
      <c r="C1003" s="219"/>
      <c r="D1003" s="219"/>
      <c r="E1003" s="219"/>
      <c r="F1003" s="219"/>
      <c r="G1003" s="219"/>
      <c r="H1003" s="219"/>
      <c r="I1003" s="219"/>
      <c r="J1003" s="219"/>
      <c r="K1003" s="219"/>
      <c r="L1003" s="219"/>
      <c r="M1003" s="219"/>
      <c r="N1003" s="219"/>
      <c r="O1003" s="219"/>
      <c r="P1003" s="219"/>
      <c r="Q1003" s="221"/>
    </row>
    <row r="1004" spans="2:17" x14ac:dyDescent="0.2">
      <c r="B1004" s="219"/>
      <c r="C1004" s="219"/>
      <c r="D1004" s="219"/>
      <c r="E1004" s="219"/>
      <c r="F1004" s="219"/>
      <c r="G1004" s="219"/>
      <c r="H1004" s="219"/>
      <c r="I1004" s="219"/>
      <c r="J1004" s="219"/>
      <c r="K1004" s="219"/>
      <c r="L1004" s="219"/>
      <c r="M1004" s="219"/>
      <c r="N1004" s="219"/>
      <c r="O1004" s="219"/>
      <c r="P1004" s="219"/>
      <c r="Q1004" s="221"/>
    </row>
    <row r="1005" spans="2:17" x14ac:dyDescent="0.2">
      <c r="B1005" s="219"/>
      <c r="C1005" s="219"/>
      <c r="D1005" s="219"/>
      <c r="E1005" s="219"/>
      <c r="F1005" s="219"/>
      <c r="G1005" s="219"/>
      <c r="H1005" s="219"/>
      <c r="I1005" s="219"/>
      <c r="J1005" s="219"/>
      <c r="K1005" s="219"/>
      <c r="L1005" s="219"/>
      <c r="M1005" s="219"/>
      <c r="N1005" s="219"/>
      <c r="O1005" s="219"/>
      <c r="P1005" s="219"/>
      <c r="Q1005" s="221"/>
    </row>
    <row r="1006" spans="2:17" x14ac:dyDescent="0.2">
      <c r="B1006" s="219"/>
      <c r="C1006" s="219"/>
      <c r="D1006" s="219"/>
      <c r="E1006" s="219"/>
      <c r="F1006" s="219"/>
      <c r="G1006" s="219"/>
      <c r="H1006" s="219"/>
      <c r="I1006" s="219"/>
      <c r="J1006" s="219"/>
      <c r="K1006" s="219"/>
      <c r="L1006" s="219"/>
      <c r="M1006" s="219"/>
      <c r="N1006" s="219"/>
      <c r="O1006" s="219"/>
      <c r="P1006" s="219"/>
      <c r="Q1006" s="221"/>
    </row>
    <row r="1007" spans="2:17" x14ac:dyDescent="0.2">
      <c r="B1007" s="219"/>
      <c r="C1007" s="219"/>
      <c r="D1007" s="219"/>
      <c r="E1007" s="219"/>
      <c r="F1007" s="219"/>
      <c r="G1007" s="219"/>
      <c r="H1007" s="219"/>
      <c r="I1007" s="219"/>
      <c r="J1007" s="219"/>
      <c r="K1007" s="219"/>
      <c r="L1007" s="219"/>
      <c r="M1007" s="219"/>
      <c r="N1007" s="219"/>
      <c r="O1007" s="219"/>
      <c r="P1007" s="219"/>
      <c r="Q1007" s="221"/>
    </row>
    <row r="1008" spans="2:17" x14ac:dyDescent="0.2">
      <c r="B1008" s="219"/>
      <c r="C1008" s="219"/>
      <c r="D1008" s="219"/>
      <c r="E1008" s="219"/>
      <c r="F1008" s="219"/>
      <c r="G1008" s="219"/>
      <c r="H1008" s="219"/>
      <c r="I1008" s="219"/>
      <c r="J1008" s="219"/>
      <c r="K1008" s="219"/>
      <c r="L1008" s="219"/>
      <c r="M1008" s="219"/>
      <c r="N1008" s="219"/>
      <c r="O1008" s="219"/>
      <c r="P1008" s="219"/>
      <c r="Q1008" s="221"/>
    </row>
    <row r="1009" spans="2:17" x14ac:dyDescent="0.2">
      <c r="B1009" s="219"/>
      <c r="C1009" s="219"/>
      <c r="D1009" s="219"/>
      <c r="E1009" s="219"/>
      <c r="F1009" s="219"/>
      <c r="G1009" s="219"/>
      <c r="H1009" s="219"/>
      <c r="I1009" s="219"/>
      <c r="J1009" s="219"/>
      <c r="K1009" s="219"/>
      <c r="L1009" s="219"/>
      <c r="M1009" s="219"/>
      <c r="N1009" s="219"/>
      <c r="O1009" s="219"/>
      <c r="P1009" s="219"/>
      <c r="Q1009" s="221"/>
    </row>
    <row r="1010" spans="2:17" x14ac:dyDescent="0.2">
      <c r="B1010" s="219"/>
      <c r="C1010" s="219"/>
      <c r="D1010" s="219"/>
      <c r="E1010" s="219"/>
      <c r="F1010" s="219"/>
      <c r="G1010" s="219"/>
      <c r="H1010" s="219"/>
      <c r="I1010" s="219"/>
      <c r="J1010" s="219"/>
      <c r="K1010" s="219"/>
      <c r="L1010" s="219"/>
      <c r="M1010" s="219"/>
      <c r="N1010" s="219"/>
      <c r="O1010" s="219"/>
      <c r="P1010" s="219"/>
      <c r="Q1010" s="221"/>
    </row>
    <row r="1011" spans="2:17" x14ac:dyDescent="0.2">
      <c r="B1011" s="219"/>
      <c r="C1011" s="219"/>
      <c r="D1011" s="219"/>
      <c r="E1011" s="219"/>
      <c r="F1011" s="219"/>
      <c r="G1011" s="219"/>
      <c r="H1011" s="219"/>
      <c r="I1011" s="219"/>
      <c r="J1011" s="219"/>
      <c r="K1011" s="219"/>
      <c r="L1011" s="219"/>
      <c r="M1011" s="219"/>
      <c r="N1011" s="219"/>
      <c r="O1011" s="219"/>
      <c r="P1011" s="219"/>
      <c r="Q1011" s="221"/>
    </row>
    <row r="1012" spans="2:17" x14ac:dyDescent="0.2">
      <c r="B1012" s="219"/>
      <c r="C1012" s="219"/>
      <c r="D1012" s="219"/>
      <c r="E1012" s="219"/>
      <c r="F1012" s="219"/>
      <c r="G1012" s="219"/>
      <c r="H1012" s="219"/>
      <c r="I1012" s="219"/>
      <c r="J1012" s="219"/>
      <c r="K1012" s="219"/>
      <c r="L1012" s="219"/>
      <c r="M1012" s="219"/>
      <c r="N1012" s="219"/>
      <c r="O1012" s="219"/>
      <c r="P1012" s="219"/>
      <c r="Q1012" s="221"/>
    </row>
    <row r="1013" spans="2:17" x14ac:dyDescent="0.2">
      <c r="B1013" s="219"/>
      <c r="C1013" s="219"/>
      <c r="D1013" s="219"/>
      <c r="E1013" s="219"/>
      <c r="F1013" s="219"/>
      <c r="G1013" s="219"/>
      <c r="H1013" s="219"/>
      <c r="I1013" s="219"/>
      <c r="J1013" s="219"/>
      <c r="K1013" s="219"/>
      <c r="L1013" s="219"/>
      <c r="M1013" s="219"/>
      <c r="N1013" s="219"/>
      <c r="O1013" s="219"/>
      <c r="P1013" s="219"/>
      <c r="Q1013" s="221"/>
    </row>
    <row r="1014" spans="2:17" x14ac:dyDescent="0.2">
      <c r="B1014" s="219"/>
      <c r="C1014" s="219"/>
      <c r="D1014" s="219"/>
      <c r="E1014" s="219"/>
      <c r="F1014" s="219"/>
      <c r="G1014" s="219"/>
      <c r="H1014" s="219"/>
      <c r="I1014" s="219"/>
      <c r="J1014" s="219"/>
      <c r="K1014" s="219"/>
      <c r="L1014" s="219"/>
      <c r="M1014" s="219"/>
      <c r="N1014" s="219"/>
      <c r="O1014" s="219"/>
      <c r="P1014" s="219"/>
      <c r="Q1014" s="221"/>
    </row>
    <row r="1015" spans="2:17" x14ac:dyDescent="0.2">
      <c r="B1015" s="219"/>
      <c r="C1015" s="219"/>
      <c r="D1015" s="219"/>
      <c r="E1015" s="219"/>
      <c r="F1015" s="219"/>
      <c r="G1015" s="219"/>
      <c r="H1015" s="219"/>
      <c r="I1015" s="219"/>
      <c r="J1015" s="219"/>
      <c r="K1015" s="219"/>
      <c r="L1015" s="219"/>
      <c r="M1015" s="219"/>
      <c r="N1015" s="219"/>
      <c r="O1015" s="219"/>
      <c r="P1015" s="219"/>
      <c r="Q1015" s="221"/>
    </row>
    <row r="1016" spans="2:17" x14ac:dyDescent="0.2">
      <c r="B1016" s="219"/>
      <c r="C1016" s="219"/>
      <c r="D1016" s="219"/>
      <c r="E1016" s="219"/>
      <c r="F1016" s="219"/>
      <c r="G1016" s="219"/>
      <c r="H1016" s="219"/>
      <c r="I1016" s="219"/>
      <c r="J1016" s="219"/>
      <c r="K1016" s="219"/>
      <c r="L1016" s="219"/>
      <c r="M1016" s="219"/>
      <c r="N1016" s="219"/>
      <c r="O1016" s="219"/>
      <c r="P1016" s="219"/>
      <c r="Q1016" s="221"/>
    </row>
    <row r="1017" spans="2:17" x14ac:dyDescent="0.2">
      <c r="B1017" s="219"/>
      <c r="C1017" s="219"/>
      <c r="D1017" s="219"/>
      <c r="E1017" s="219"/>
      <c r="F1017" s="219"/>
      <c r="G1017" s="219"/>
      <c r="H1017" s="219"/>
      <c r="I1017" s="219"/>
      <c r="J1017" s="219"/>
      <c r="K1017" s="219"/>
      <c r="L1017" s="219"/>
      <c r="M1017" s="219"/>
      <c r="N1017" s="219"/>
      <c r="O1017" s="219"/>
      <c r="P1017" s="219"/>
      <c r="Q1017" s="221"/>
    </row>
    <row r="1018" spans="2:17" x14ac:dyDescent="0.2">
      <c r="B1018" s="219"/>
      <c r="C1018" s="219"/>
      <c r="D1018" s="219"/>
      <c r="E1018" s="219"/>
      <c r="F1018" s="219"/>
      <c r="G1018" s="219"/>
      <c r="H1018" s="219"/>
      <c r="I1018" s="219"/>
      <c r="J1018" s="219"/>
      <c r="K1018" s="219"/>
      <c r="L1018" s="219"/>
      <c r="M1018" s="219"/>
      <c r="N1018" s="219"/>
      <c r="O1018" s="219"/>
      <c r="P1018" s="219"/>
      <c r="Q1018" s="221"/>
    </row>
    <row r="1019" spans="2:17" x14ac:dyDescent="0.2">
      <c r="B1019" s="219"/>
      <c r="C1019" s="219"/>
      <c r="D1019" s="219"/>
      <c r="E1019" s="219"/>
      <c r="F1019" s="219"/>
      <c r="G1019" s="219"/>
      <c r="H1019" s="219"/>
      <c r="I1019" s="219"/>
      <c r="J1019" s="219"/>
      <c r="K1019" s="219"/>
      <c r="L1019" s="219"/>
      <c r="M1019" s="219"/>
      <c r="N1019" s="219"/>
      <c r="O1019" s="219"/>
      <c r="P1019" s="219"/>
      <c r="Q1019" s="221"/>
    </row>
    <row r="1020" spans="2:17" x14ac:dyDescent="0.2">
      <c r="B1020" s="219"/>
      <c r="C1020" s="219"/>
      <c r="D1020" s="219"/>
      <c r="E1020" s="219"/>
      <c r="F1020" s="219"/>
      <c r="G1020" s="219"/>
      <c r="H1020" s="219"/>
      <c r="I1020" s="219"/>
      <c r="J1020" s="219"/>
      <c r="K1020" s="219"/>
      <c r="L1020" s="219"/>
      <c r="M1020" s="219"/>
      <c r="N1020" s="219"/>
      <c r="O1020" s="219"/>
      <c r="P1020" s="219"/>
      <c r="Q1020" s="221"/>
    </row>
    <row r="1021" spans="2:17" x14ac:dyDescent="0.2">
      <c r="B1021" s="219"/>
      <c r="C1021" s="219"/>
      <c r="D1021" s="219"/>
      <c r="E1021" s="219"/>
      <c r="F1021" s="219"/>
      <c r="G1021" s="219"/>
      <c r="H1021" s="219"/>
      <c r="I1021" s="219"/>
      <c r="J1021" s="219"/>
      <c r="K1021" s="219"/>
      <c r="L1021" s="219"/>
      <c r="M1021" s="219"/>
      <c r="N1021" s="219"/>
      <c r="O1021" s="219"/>
      <c r="P1021" s="219"/>
      <c r="Q1021" s="221"/>
    </row>
    <row r="1022" spans="2:17" x14ac:dyDescent="0.2">
      <c r="B1022" s="219"/>
      <c r="C1022" s="219"/>
      <c r="D1022" s="219"/>
      <c r="E1022" s="219"/>
      <c r="F1022" s="219"/>
      <c r="G1022" s="219"/>
      <c r="H1022" s="219"/>
      <c r="I1022" s="219"/>
      <c r="J1022" s="219"/>
      <c r="K1022" s="219"/>
      <c r="L1022" s="219"/>
      <c r="M1022" s="219"/>
      <c r="N1022" s="219"/>
      <c r="O1022" s="219"/>
      <c r="P1022" s="219"/>
      <c r="Q1022" s="221"/>
    </row>
    <row r="1023" spans="2:17" x14ac:dyDescent="0.2">
      <c r="B1023" s="219"/>
      <c r="C1023" s="219"/>
      <c r="D1023" s="219"/>
      <c r="E1023" s="219"/>
      <c r="F1023" s="219"/>
      <c r="G1023" s="219"/>
      <c r="H1023" s="219"/>
      <c r="I1023" s="219"/>
      <c r="J1023" s="219"/>
      <c r="K1023" s="219"/>
      <c r="L1023" s="219"/>
      <c r="M1023" s="219"/>
      <c r="N1023" s="219"/>
      <c r="O1023" s="219"/>
      <c r="P1023" s="219"/>
      <c r="Q1023" s="221"/>
    </row>
    <row r="1024" spans="2:17" x14ac:dyDescent="0.2">
      <c r="B1024" s="219"/>
      <c r="C1024" s="219"/>
      <c r="D1024" s="219"/>
      <c r="E1024" s="219"/>
      <c r="F1024" s="219"/>
      <c r="G1024" s="219"/>
      <c r="H1024" s="219"/>
      <c r="I1024" s="219"/>
      <c r="J1024" s="219"/>
      <c r="K1024" s="219"/>
      <c r="L1024" s="219"/>
      <c r="M1024" s="219"/>
      <c r="N1024" s="219"/>
      <c r="O1024" s="219"/>
      <c r="P1024" s="219"/>
      <c r="Q1024" s="221"/>
    </row>
    <row r="1025" spans="2:17" x14ac:dyDescent="0.2">
      <c r="B1025" s="219"/>
      <c r="C1025" s="219"/>
      <c r="D1025" s="219"/>
      <c r="E1025" s="219"/>
      <c r="F1025" s="219"/>
      <c r="G1025" s="219"/>
      <c r="H1025" s="219"/>
      <c r="I1025" s="219"/>
      <c r="J1025" s="219"/>
      <c r="K1025" s="219"/>
      <c r="L1025" s="219"/>
      <c r="M1025" s="219"/>
      <c r="N1025" s="219"/>
      <c r="O1025" s="219"/>
      <c r="P1025" s="219"/>
      <c r="Q1025" s="221"/>
    </row>
    <row r="1026" spans="2:17" x14ac:dyDescent="0.2">
      <c r="B1026" s="219"/>
      <c r="C1026" s="219"/>
      <c r="D1026" s="219"/>
      <c r="E1026" s="219"/>
      <c r="F1026" s="219"/>
      <c r="G1026" s="219"/>
      <c r="H1026" s="219"/>
      <c r="I1026" s="219"/>
      <c r="J1026" s="219"/>
      <c r="K1026" s="219"/>
      <c r="L1026" s="219"/>
      <c r="M1026" s="219"/>
      <c r="N1026" s="219"/>
      <c r="O1026" s="219"/>
      <c r="P1026" s="219"/>
      <c r="Q1026" s="221"/>
    </row>
    <row r="1027" spans="2:17" x14ac:dyDescent="0.2">
      <c r="B1027" s="219"/>
      <c r="C1027" s="219"/>
      <c r="D1027" s="219"/>
      <c r="E1027" s="219"/>
      <c r="F1027" s="219"/>
      <c r="G1027" s="219"/>
      <c r="H1027" s="219"/>
      <c r="I1027" s="219"/>
      <c r="J1027" s="219"/>
      <c r="K1027" s="219"/>
      <c r="L1027" s="219"/>
      <c r="M1027" s="219"/>
      <c r="N1027" s="219"/>
      <c r="O1027" s="219"/>
      <c r="P1027" s="219"/>
      <c r="Q1027" s="221"/>
    </row>
    <row r="1028" spans="2:17" x14ac:dyDescent="0.2">
      <c r="B1028" s="219"/>
      <c r="C1028" s="219"/>
      <c r="D1028" s="219"/>
      <c r="E1028" s="219"/>
      <c r="F1028" s="219"/>
      <c r="G1028" s="219"/>
      <c r="H1028" s="219"/>
      <c r="I1028" s="219"/>
      <c r="J1028" s="219"/>
      <c r="K1028" s="219"/>
      <c r="L1028" s="219"/>
      <c r="M1028" s="219"/>
      <c r="N1028" s="219"/>
      <c r="O1028" s="219"/>
      <c r="P1028" s="219"/>
      <c r="Q1028" s="221"/>
    </row>
    <row r="1029" spans="2:17" x14ac:dyDescent="0.2">
      <c r="B1029" s="219"/>
      <c r="C1029" s="219"/>
      <c r="D1029" s="219"/>
      <c r="E1029" s="219"/>
      <c r="F1029" s="219"/>
      <c r="G1029" s="219"/>
      <c r="H1029" s="219"/>
      <c r="I1029" s="219"/>
      <c r="J1029" s="219"/>
      <c r="K1029" s="219"/>
      <c r="L1029" s="219"/>
      <c r="M1029" s="219"/>
      <c r="N1029" s="219"/>
      <c r="O1029" s="219"/>
      <c r="P1029" s="219"/>
      <c r="Q1029" s="221"/>
    </row>
    <row r="1030" spans="2:17" x14ac:dyDescent="0.2">
      <c r="B1030" s="219"/>
      <c r="C1030" s="219"/>
      <c r="D1030" s="219"/>
      <c r="E1030" s="219"/>
      <c r="F1030" s="219"/>
      <c r="G1030" s="219"/>
      <c r="H1030" s="219"/>
      <c r="I1030" s="219"/>
      <c r="J1030" s="219"/>
      <c r="K1030" s="219"/>
      <c r="L1030" s="219"/>
      <c r="M1030" s="219"/>
      <c r="N1030" s="219"/>
      <c r="O1030" s="219"/>
      <c r="P1030" s="219"/>
      <c r="Q1030" s="221"/>
    </row>
    <row r="1031" spans="2:17" x14ac:dyDescent="0.2">
      <c r="B1031" s="219"/>
      <c r="C1031" s="219"/>
      <c r="D1031" s="219"/>
      <c r="E1031" s="219"/>
      <c r="F1031" s="219"/>
      <c r="G1031" s="219"/>
      <c r="H1031" s="219"/>
      <c r="I1031" s="219"/>
      <c r="J1031" s="219"/>
      <c r="K1031" s="219"/>
      <c r="L1031" s="219"/>
      <c r="M1031" s="219"/>
      <c r="N1031" s="219"/>
      <c r="O1031" s="219"/>
      <c r="P1031" s="219"/>
      <c r="Q1031" s="221"/>
    </row>
    <row r="1032" spans="2:17" x14ac:dyDescent="0.2">
      <c r="B1032" s="219"/>
      <c r="C1032" s="219"/>
      <c r="D1032" s="219"/>
      <c r="E1032" s="219"/>
      <c r="F1032" s="219"/>
      <c r="G1032" s="219"/>
      <c r="H1032" s="219"/>
      <c r="I1032" s="219"/>
      <c r="J1032" s="219"/>
      <c r="K1032" s="219"/>
      <c r="L1032" s="219"/>
      <c r="M1032" s="219"/>
      <c r="N1032" s="219"/>
      <c r="O1032" s="219"/>
      <c r="P1032" s="219"/>
      <c r="Q1032" s="221"/>
    </row>
    <row r="1033" spans="2:17" x14ac:dyDescent="0.2">
      <c r="B1033" s="219"/>
      <c r="C1033" s="219"/>
      <c r="D1033" s="219"/>
      <c r="E1033" s="219"/>
      <c r="F1033" s="219"/>
      <c r="G1033" s="219"/>
      <c r="H1033" s="219"/>
      <c r="I1033" s="219"/>
      <c r="J1033" s="219"/>
      <c r="K1033" s="219"/>
      <c r="L1033" s="219"/>
      <c r="M1033" s="219"/>
      <c r="N1033" s="219"/>
      <c r="O1033" s="219"/>
      <c r="P1033" s="219"/>
      <c r="Q1033" s="221"/>
    </row>
    <row r="1034" spans="2:17" x14ac:dyDescent="0.2">
      <c r="B1034" s="219"/>
      <c r="C1034" s="219"/>
      <c r="D1034" s="219"/>
      <c r="E1034" s="219"/>
      <c r="F1034" s="219"/>
      <c r="G1034" s="219"/>
      <c r="H1034" s="219"/>
      <c r="I1034" s="219"/>
      <c r="J1034" s="219"/>
      <c r="K1034" s="219"/>
      <c r="L1034" s="219"/>
      <c r="M1034" s="219"/>
      <c r="N1034" s="219"/>
      <c r="O1034" s="219"/>
      <c r="P1034" s="219"/>
      <c r="Q1034" s="221"/>
    </row>
    <row r="1035" spans="2:17" x14ac:dyDescent="0.2">
      <c r="B1035" s="219"/>
      <c r="C1035" s="219"/>
      <c r="D1035" s="219"/>
      <c r="E1035" s="219"/>
      <c r="F1035" s="219"/>
      <c r="G1035" s="219"/>
      <c r="H1035" s="219"/>
      <c r="I1035" s="219"/>
      <c r="J1035" s="219"/>
      <c r="K1035" s="219"/>
      <c r="L1035" s="219"/>
      <c r="M1035" s="219"/>
      <c r="N1035" s="219"/>
      <c r="O1035" s="219"/>
      <c r="P1035" s="219"/>
      <c r="Q1035" s="221"/>
    </row>
    <row r="1036" spans="2:17" x14ac:dyDescent="0.2">
      <c r="B1036" s="219"/>
      <c r="C1036" s="219"/>
      <c r="D1036" s="219"/>
      <c r="E1036" s="219"/>
      <c r="F1036" s="219"/>
      <c r="G1036" s="219"/>
      <c r="H1036" s="219"/>
      <c r="I1036" s="219"/>
      <c r="J1036" s="219"/>
      <c r="K1036" s="219"/>
      <c r="L1036" s="219"/>
      <c r="M1036" s="219"/>
      <c r="N1036" s="219"/>
      <c r="O1036" s="219"/>
      <c r="P1036" s="219"/>
      <c r="Q1036" s="221"/>
    </row>
    <row r="1037" spans="2:17" x14ac:dyDescent="0.2">
      <c r="B1037" s="219"/>
      <c r="C1037" s="219"/>
      <c r="D1037" s="219"/>
      <c r="E1037" s="219"/>
      <c r="F1037" s="219"/>
      <c r="G1037" s="219"/>
      <c r="H1037" s="219"/>
      <c r="I1037" s="219"/>
      <c r="J1037" s="219"/>
      <c r="K1037" s="219"/>
      <c r="L1037" s="219"/>
      <c r="M1037" s="219"/>
      <c r="N1037" s="219"/>
      <c r="O1037" s="219"/>
      <c r="P1037" s="219"/>
      <c r="Q1037" s="221"/>
    </row>
    <row r="1038" spans="2:17" x14ac:dyDescent="0.2">
      <c r="B1038" s="219"/>
      <c r="C1038" s="219"/>
      <c r="D1038" s="219"/>
      <c r="E1038" s="219"/>
      <c r="F1038" s="219"/>
      <c r="G1038" s="219"/>
      <c r="H1038" s="219"/>
      <c r="I1038" s="219"/>
      <c r="J1038" s="219"/>
      <c r="K1038" s="219"/>
      <c r="L1038" s="219"/>
      <c r="M1038" s="219"/>
      <c r="N1038" s="219"/>
      <c r="O1038" s="219"/>
      <c r="P1038" s="219"/>
      <c r="Q1038" s="221"/>
    </row>
    <row r="1039" spans="2:17" x14ac:dyDescent="0.2">
      <c r="B1039" s="219"/>
      <c r="C1039" s="219"/>
      <c r="D1039" s="219"/>
      <c r="E1039" s="219"/>
      <c r="F1039" s="219"/>
      <c r="G1039" s="219"/>
      <c r="H1039" s="219"/>
      <c r="I1039" s="219"/>
      <c r="J1039" s="219"/>
      <c r="K1039" s="219"/>
      <c r="L1039" s="219"/>
      <c r="M1039" s="219"/>
      <c r="N1039" s="219"/>
      <c r="O1039" s="219"/>
      <c r="P1039" s="219"/>
      <c r="Q1039" s="221"/>
    </row>
    <row r="1040" spans="2:17" x14ac:dyDescent="0.2">
      <c r="B1040" s="219"/>
      <c r="C1040" s="219"/>
      <c r="D1040" s="219"/>
      <c r="E1040" s="219"/>
      <c r="F1040" s="219"/>
      <c r="G1040" s="219"/>
      <c r="H1040" s="219"/>
      <c r="I1040" s="219"/>
      <c r="J1040" s="219"/>
      <c r="K1040" s="219"/>
      <c r="L1040" s="219"/>
      <c r="M1040" s="219"/>
      <c r="N1040" s="219"/>
      <c r="O1040" s="219"/>
      <c r="P1040" s="219"/>
      <c r="Q1040" s="221"/>
    </row>
    <row r="1041" spans="2:17" x14ac:dyDescent="0.2">
      <c r="B1041" s="219"/>
      <c r="C1041" s="219"/>
      <c r="D1041" s="219"/>
      <c r="E1041" s="219"/>
      <c r="F1041" s="219"/>
      <c r="G1041" s="219"/>
      <c r="H1041" s="219"/>
      <c r="I1041" s="219"/>
      <c r="J1041" s="219"/>
      <c r="K1041" s="219"/>
      <c r="L1041" s="219"/>
      <c r="M1041" s="219"/>
      <c r="N1041" s="219"/>
      <c r="O1041" s="219"/>
      <c r="P1041" s="219"/>
      <c r="Q1041" s="221"/>
    </row>
    <row r="1042" spans="2:17" x14ac:dyDescent="0.2">
      <c r="B1042" s="219"/>
      <c r="C1042" s="219"/>
      <c r="D1042" s="219"/>
      <c r="E1042" s="219"/>
      <c r="F1042" s="219"/>
      <c r="G1042" s="219"/>
      <c r="H1042" s="219"/>
      <c r="I1042" s="219"/>
      <c r="J1042" s="219"/>
      <c r="K1042" s="219"/>
      <c r="L1042" s="219"/>
      <c r="M1042" s="219"/>
      <c r="N1042" s="219"/>
      <c r="O1042" s="219"/>
      <c r="P1042" s="219"/>
      <c r="Q1042" s="221"/>
    </row>
    <row r="1043" spans="2:17" x14ac:dyDescent="0.2">
      <c r="B1043" s="219"/>
      <c r="C1043" s="219"/>
      <c r="D1043" s="219"/>
      <c r="E1043" s="219"/>
      <c r="F1043" s="219"/>
      <c r="G1043" s="219"/>
      <c r="H1043" s="219"/>
      <c r="I1043" s="219"/>
      <c r="J1043" s="219"/>
      <c r="K1043" s="219"/>
      <c r="L1043" s="219"/>
      <c r="M1043" s="219"/>
      <c r="N1043" s="219"/>
      <c r="O1043" s="219"/>
      <c r="P1043" s="219"/>
      <c r="Q1043" s="221"/>
    </row>
    <row r="1044" spans="2:17" x14ac:dyDescent="0.2">
      <c r="B1044" s="219"/>
      <c r="C1044" s="219"/>
      <c r="D1044" s="219"/>
      <c r="E1044" s="219"/>
      <c r="F1044" s="219"/>
      <c r="G1044" s="219"/>
      <c r="H1044" s="219"/>
      <c r="I1044" s="219"/>
      <c r="J1044" s="219"/>
      <c r="K1044" s="219"/>
      <c r="L1044" s="219"/>
      <c r="M1044" s="219"/>
      <c r="N1044" s="219"/>
      <c r="O1044" s="219"/>
      <c r="P1044" s="219"/>
      <c r="Q1044" s="221"/>
    </row>
    <row r="1045" spans="2:17" x14ac:dyDescent="0.2">
      <c r="B1045" s="219"/>
      <c r="C1045" s="219"/>
      <c r="D1045" s="219"/>
      <c r="E1045" s="219"/>
      <c r="F1045" s="219"/>
      <c r="G1045" s="219"/>
      <c r="H1045" s="219"/>
      <c r="I1045" s="219"/>
      <c r="J1045" s="219"/>
      <c r="K1045" s="219"/>
      <c r="L1045" s="219"/>
      <c r="M1045" s="219"/>
      <c r="N1045" s="219"/>
      <c r="O1045" s="219"/>
      <c r="P1045" s="219"/>
      <c r="Q1045" s="221"/>
    </row>
    <row r="1046" spans="2:17" x14ac:dyDescent="0.2">
      <c r="B1046" s="219"/>
      <c r="C1046" s="219"/>
      <c r="D1046" s="219"/>
      <c r="E1046" s="219"/>
      <c r="F1046" s="219"/>
      <c r="G1046" s="219"/>
      <c r="H1046" s="219"/>
      <c r="I1046" s="219"/>
      <c r="J1046" s="219"/>
      <c r="K1046" s="219"/>
      <c r="L1046" s="219"/>
      <c r="M1046" s="219"/>
      <c r="N1046" s="219"/>
      <c r="O1046" s="219"/>
      <c r="P1046" s="219"/>
      <c r="Q1046" s="221"/>
    </row>
    <row r="1047" spans="2:17" x14ac:dyDescent="0.2">
      <c r="B1047" s="219"/>
      <c r="C1047" s="219"/>
      <c r="D1047" s="219"/>
      <c r="E1047" s="219"/>
      <c r="F1047" s="219"/>
      <c r="G1047" s="219"/>
      <c r="H1047" s="219"/>
      <c r="I1047" s="219"/>
      <c r="J1047" s="219"/>
      <c r="K1047" s="219"/>
      <c r="L1047" s="219"/>
      <c r="M1047" s="219"/>
      <c r="N1047" s="219"/>
      <c r="O1047" s="219"/>
      <c r="P1047" s="219"/>
      <c r="Q1047" s="221"/>
    </row>
    <row r="1048" spans="2:17" x14ac:dyDescent="0.2">
      <c r="B1048" s="219"/>
      <c r="C1048" s="219"/>
      <c r="D1048" s="219"/>
      <c r="E1048" s="219"/>
      <c r="F1048" s="219"/>
      <c r="G1048" s="219"/>
      <c r="H1048" s="219"/>
      <c r="I1048" s="219"/>
      <c r="J1048" s="219"/>
      <c r="K1048" s="219"/>
      <c r="L1048" s="219"/>
      <c r="M1048" s="219"/>
      <c r="N1048" s="219"/>
      <c r="O1048" s="219"/>
      <c r="P1048" s="219"/>
      <c r="Q1048" s="221"/>
    </row>
    <row r="1049" spans="2:17" x14ac:dyDescent="0.2">
      <c r="B1049" s="219"/>
      <c r="C1049" s="219"/>
      <c r="D1049" s="219"/>
      <c r="E1049" s="219"/>
      <c r="F1049" s="219"/>
      <c r="G1049" s="219"/>
      <c r="H1049" s="219"/>
      <c r="I1049" s="219"/>
      <c r="J1049" s="219"/>
      <c r="K1049" s="219"/>
      <c r="L1049" s="219"/>
      <c r="M1049" s="219"/>
      <c r="N1049" s="219"/>
      <c r="O1049" s="219"/>
      <c r="P1049" s="219"/>
      <c r="Q1049" s="221"/>
    </row>
    <row r="1050" spans="2:17" x14ac:dyDescent="0.2">
      <c r="B1050" s="219"/>
      <c r="C1050" s="219"/>
      <c r="D1050" s="219"/>
      <c r="E1050" s="219"/>
      <c r="F1050" s="219"/>
      <c r="G1050" s="219"/>
      <c r="H1050" s="219"/>
      <c r="I1050" s="219"/>
      <c r="J1050" s="219"/>
      <c r="K1050" s="219"/>
      <c r="L1050" s="219"/>
      <c r="M1050" s="219"/>
      <c r="N1050" s="219"/>
      <c r="O1050" s="219"/>
      <c r="P1050" s="219"/>
      <c r="Q1050" s="221"/>
    </row>
    <row r="1051" spans="2:17" x14ac:dyDescent="0.2">
      <c r="B1051" s="219"/>
      <c r="C1051" s="219"/>
      <c r="D1051" s="219"/>
      <c r="E1051" s="219"/>
      <c r="F1051" s="219"/>
      <c r="G1051" s="219"/>
      <c r="H1051" s="219"/>
      <c r="I1051" s="219"/>
      <c r="J1051" s="219"/>
      <c r="K1051" s="219"/>
      <c r="L1051" s="219"/>
      <c r="M1051" s="219"/>
      <c r="N1051" s="219"/>
      <c r="O1051" s="219"/>
      <c r="P1051" s="219"/>
      <c r="Q1051" s="221"/>
    </row>
    <row r="1052" spans="2:17" x14ac:dyDescent="0.2">
      <c r="B1052" s="219"/>
      <c r="C1052" s="219"/>
      <c r="D1052" s="219"/>
      <c r="E1052" s="219"/>
      <c r="F1052" s="219"/>
      <c r="G1052" s="219"/>
      <c r="H1052" s="219"/>
      <c r="I1052" s="219"/>
      <c r="J1052" s="219"/>
      <c r="K1052" s="219"/>
      <c r="L1052" s="219"/>
      <c r="M1052" s="219"/>
      <c r="N1052" s="219"/>
      <c r="O1052" s="219"/>
      <c r="P1052" s="219"/>
      <c r="Q1052" s="221"/>
    </row>
    <row r="1053" spans="2:17" x14ac:dyDescent="0.2">
      <c r="B1053" s="219"/>
      <c r="C1053" s="219"/>
      <c r="D1053" s="219"/>
      <c r="E1053" s="219"/>
      <c r="F1053" s="219"/>
      <c r="G1053" s="219"/>
      <c r="H1053" s="219"/>
      <c r="I1053" s="219"/>
      <c r="J1053" s="219"/>
      <c r="K1053" s="219"/>
      <c r="L1053" s="219"/>
      <c r="M1053" s="219"/>
      <c r="N1053" s="219"/>
      <c r="O1053" s="219"/>
      <c r="P1053" s="219"/>
      <c r="Q1053" s="221"/>
    </row>
    <row r="1054" spans="2:17" x14ac:dyDescent="0.2">
      <c r="B1054" s="219"/>
      <c r="C1054" s="219"/>
      <c r="D1054" s="219"/>
      <c r="E1054" s="219"/>
      <c r="F1054" s="219"/>
      <c r="G1054" s="219"/>
      <c r="H1054" s="219"/>
      <c r="I1054" s="219"/>
      <c r="J1054" s="219"/>
      <c r="K1054" s="219"/>
      <c r="L1054" s="219"/>
      <c r="M1054" s="219"/>
      <c r="N1054" s="219"/>
      <c r="O1054" s="219"/>
      <c r="P1054" s="219"/>
      <c r="Q1054" s="221"/>
    </row>
    <row r="1055" spans="2:17" x14ac:dyDescent="0.2">
      <c r="B1055" s="219"/>
      <c r="C1055" s="219"/>
      <c r="D1055" s="219"/>
      <c r="E1055" s="219"/>
      <c r="F1055" s="219"/>
      <c r="G1055" s="219"/>
      <c r="H1055" s="219"/>
      <c r="I1055" s="219"/>
      <c r="J1055" s="219"/>
      <c r="K1055" s="219"/>
      <c r="L1055" s="219"/>
      <c r="M1055" s="219"/>
      <c r="N1055" s="219"/>
      <c r="O1055" s="219"/>
      <c r="P1055" s="219"/>
      <c r="Q1055" s="221"/>
    </row>
    <row r="1056" spans="2:17" x14ac:dyDescent="0.2">
      <c r="B1056" s="219"/>
      <c r="C1056" s="219"/>
      <c r="D1056" s="219"/>
      <c r="E1056" s="219"/>
      <c r="F1056" s="219"/>
      <c r="G1056" s="219"/>
      <c r="H1056" s="219"/>
      <c r="I1056" s="219"/>
      <c r="J1056" s="219"/>
      <c r="K1056" s="219"/>
      <c r="L1056" s="219"/>
      <c r="M1056" s="219"/>
      <c r="N1056" s="219"/>
      <c r="O1056" s="219"/>
      <c r="P1056" s="219"/>
      <c r="Q1056" s="221"/>
    </row>
    <row r="1057" spans="2:17" x14ac:dyDescent="0.2">
      <c r="B1057" s="219"/>
      <c r="C1057" s="219"/>
      <c r="D1057" s="219"/>
      <c r="E1057" s="219"/>
      <c r="F1057" s="219"/>
      <c r="G1057" s="219"/>
      <c r="H1057" s="219"/>
      <c r="I1057" s="219"/>
      <c r="J1057" s="219"/>
      <c r="K1057" s="219"/>
      <c r="L1057" s="219"/>
      <c r="M1057" s="219"/>
      <c r="N1057" s="219"/>
      <c r="O1057" s="219"/>
      <c r="P1057" s="219"/>
      <c r="Q1057" s="221"/>
    </row>
    <row r="1058" spans="2:17" x14ac:dyDescent="0.2">
      <c r="B1058" s="219"/>
      <c r="C1058" s="219"/>
      <c r="D1058" s="219"/>
      <c r="E1058" s="219"/>
      <c r="F1058" s="219"/>
      <c r="G1058" s="219"/>
      <c r="H1058" s="219"/>
      <c r="I1058" s="219"/>
      <c r="J1058" s="219"/>
      <c r="K1058" s="219"/>
      <c r="L1058" s="219"/>
      <c r="M1058" s="219"/>
      <c r="N1058" s="219"/>
      <c r="O1058" s="219"/>
      <c r="P1058" s="219"/>
      <c r="Q1058" s="221"/>
    </row>
    <row r="1059" spans="2:17" x14ac:dyDescent="0.2">
      <c r="B1059" s="219"/>
      <c r="C1059" s="219"/>
      <c r="D1059" s="219"/>
      <c r="E1059" s="219"/>
      <c r="F1059" s="219"/>
      <c r="G1059" s="219"/>
      <c r="H1059" s="219"/>
      <c r="I1059" s="219"/>
      <c r="J1059" s="219"/>
      <c r="K1059" s="219"/>
      <c r="L1059" s="219"/>
      <c r="M1059" s="219"/>
      <c r="N1059" s="219"/>
      <c r="O1059" s="219"/>
      <c r="P1059" s="219"/>
      <c r="Q1059" s="221"/>
    </row>
    <row r="1060" spans="2:17" x14ac:dyDescent="0.2">
      <c r="B1060" s="219"/>
      <c r="C1060" s="219"/>
      <c r="D1060" s="219"/>
      <c r="E1060" s="219"/>
      <c r="F1060" s="219"/>
      <c r="G1060" s="219"/>
      <c r="H1060" s="219"/>
      <c r="I1060" s="219"/>
      <c r="J1060" s="219"/>
      <c r="K1060" s="219"/>
      <c r="L1060" s="219"/>
      <c r="M1060" s="219"/>
      <c r="N1060" s="219"/>
      <c r="O1060" s="219"/>
      <c r="P1060" s="219"/>
      <c r="Q1060" s="221"/>
    </row>
    <row r="1061" spans="2:17" x14ac:dyDescent="0.2">
      <c r="B1061" s="219"/>
      <c r="C1061" s="219"/>
      <c r="D1061" s="219"/>
      <c r="E1061" s="219"/>
      <c r="F1061" s="219"/>
      <c r="G1061" s="219"/>
      <c r="H1061" s="219"/>
      <c r="I1061" s="219"/>
      <c r="J1061" s="219"/>
      <c r="K1061" s="219"/>
      <c r="L1061" s="219"/>
      <c r="M1061" s="219"/>
      <c r="N1061" s="219"/>
      <c r="O1061" s="219"/>
      <c r="P1061" s="219"/>
      <c r="Q1061" s="221"/>
    </row>
    <row r="1062" spans="2:17" x14ac:dyDescent="0.2">
      <c r="B1062" s="219"/>
      <c r="C1062" s="219"/>
      <c r="D1062" s="219"/>
      <c r="E1062" s="219"/>
      <c r="F1062" s="219"/>
      <c r="G1062" s="219"/>
      <c r="H1062" s="219"/>
      <c r="I1062" s="219"/>
      <c r="J1062" s="219"/>
      <c r="K1062" s="219"/>
      <c r="L1062" s="219"/>
      <c r="M1062" s="219"/>
      <c r="N1062" s="219"/>
      <c r="O1062" s="219"/>
      <c r="P1062" s="219"/>
      <c r="Q1062" s="221"/>
    </row>
    <row r="1063" spans="2:17" x14ac:dyDescent="0.2">
      <c r="B1063" s="219"/>
      <c r="C1063" s="219"/>
      <c r="D1063" s="219"/>
      <c r="E1063" s="219"/>
      <c r="F1063" s="219"/>
      <c r="G1063" s="219"/>
      <c r="H1063" s="219"/>
      <c r="I1063" s="219"/>
      <c r="J1063" s="219"/>
      <c r="K1063" s="219"/>
      <c r="L1063" s="219"/>
      <c r="M1063" s="219"/>
      <c r="N1063" s="219"/>
      <c r="O1063" s="219"/>
      <c r="P1063" s="219"/>
      <c r="Q1063" s="221"/>
    </row>
    <row r="1064" spans="2:17" x14ac:dyDescent="0.2">
      <c r="B1064" s="219"/>
      <c r="C1064" s="219"/>
      <c r="D1064" s="219"/>
      <c r="E1064" s="219"/>
      <c r="F1064" s="219"/>
      <c r="G1064" s="219"/>
      <c r="H1064" s="219"/>
      <c r="I1064" s="219"/>
      <c r="J1064" s="219"/>
      <c r="K1064" s="219"/>
      <c r="L1064" s="219"/>
      <c r="M1064" s="219"/>
      <c r="N1064" s="219"/>
      <c r="O1064" s="219"/>
      <c r="P1064" s="219"/>
      <c r="Q1064" s="221"/>
    </row>
    <row r="1065" spans="2:17" x14ac:dyDescent="0.2">
      <c r="B1065" s="219"/>
      <c r="C1065" s="219"/>
      <c r="D1065" s="219"/>
      <c r="E1065" s="219"/>
      <c r="F1065" s="219"/>
      <c r="G1065" s="219"/>
      <c r="H1065" s="219"/>
      <c r="I1065" s="219"/>
      <c r="J1065" s="219"/>
      <c r="K1065" s="219"/>
      <c r="L1065" s="219"/>
      <c r="M1065" s="219"/>
      <c r="N1065" s="219"/>
      <c r="O1065" s="219"/>
      <c r="P1065" s="219"/>
      <c r="Q1065" s="221"/>
    </row>
    <row r="1066" spans="2:17" x14ac:dyDescent="0.2">
      <c r="B1066" s="219"/>
      <c r="C1066" s="219"/>
      <c r="D1066" s="219"/>
      <c r="E1066" s="219"/>
      <c r="F1066" s="219"/>
      <c r="G1066" s="219"/>
      <c r="H1066" s="219"/>
      <c r="I1066" s="219"/>
      <c r="J1066" s="219"/>
      <c r="K1066" s="219"/>
      <c r="L1066" s="219"/>
      <c r="M1066" s="219"/>
      <c r="N1066" s="219"/>
      <c r="O1066" s="219"/>
      <c r="P1066" s="219"/>
      <c r="Q1066" s="221"/>
    </row>
    <row r="1067" spans="2:17" x14ac:dyDescent="0.2">
      <c r="B1067" s="219"/>
      <c r="C1067" s="219"/>
      <c r="D1067" s="219"/>
      <c r="E1067" s="219"/>
      <c r="F1067" s="219"/>
      <c r="G1067" s="219"/>
      <c r="H1067" s="219"/>
      <c r="I1067" s="219"/>
      <c r="J1067" s="219"/>
      <c r="K1067" s="219"/>
      <c r="L1067" s="219"/>
      <c r="M1067" s="219"/>
      <c r="N1067" s="219"/>
      <c r="O1067" s="219"/>
      <c r="P1067" s="219"/>
      <c r="Q1067" s="221"/>
    </row>
    <row r="1068" spans="2:17" x14ac:dyDescent="0.2">
      <c r="B1068" s="219"/>
      <c r="C1068" s="219"/>
      <c r="D1068" s="219"/>
      <c r="E1068" s="219"/>
      <c r="F1068" s="219"/>
      <c r="G1068" s="219"/>
      <c r="H1068" s="219"/>
      <c r="I1068" s="219"/>
      <c r="J1068" s="219"/>
      <c r="K1068" s="219"/>
      <c r="L1068" s="219"/>
      <c r="M1068" s="219"/>
      <c r="N1068" s="219"/>
      <c r="O1068" s="219"/>
      <c r="P1068" s="219"/>
      <c r="Q1068" s="221"/>
    </row>
    <row r="1069" spans="2:17" x14ac:dyDescent="0.2">
      <c r="B1069" s="219"/>
      <c r="C1069" s="219"/>
      <c r="D1069" s="219"/>
      <c r="E1069" s="219"/>
      <c r="F1069" s="219"/>
      <c r="G1069" s="219"/>
      <c r="H1069" s="219"/>
      <c r="I1069" s="219"/>
      <c r="J1069" s="219"/>
      <c r="K1069" s="219"/>
      <c r="L1069" s="219"/>
      <c r="M1069" s="219"/>
      <c r="N1069" s="219"/>
      <c r="O1069" s="219"/>
      <c r="P1069" s="219"/>
      <c r="Q1069" s="221"/>
    </row>
    <row r="1070" spans="2:17" x14ac:dyDescent="0.2">
      <c r="B1070" s="219"/>
      <c r="C1070" s="219"/>
      <c r="D1070" s="219"/>
      <c r="E1070" s="219"/>
      <c r="F1070" s="219"/>
      <c r="G1070" s="219"/>
      <c r="H1070" s="219"/>
      <c r="I1070" s="219"/>
      <c r="J1070" s="219"/>
      <c r="K1070" s="219"/>
      <c r="L1070" s="219"/>
      <c r="M1070" s="219"/>
      <c r="N1070" s="219"/>
      <c r="O1070" s="219"/>
      <c r="P1070" s="219"/>
      <c r="Q1070" s="221"/>
    </row>
    <row r="1071" spans="2:17" x14ac:dyDescent="0.2">
      <c r="B1071" s="219"/>
      <c r="C1071" s="219"/>
      <c r="D1071" s="219"/>
      <c r="E1071" s="219"/>
      <c r="F1071" s="219"/>
      <c r="G1071" s="219"/>
      <c r="H1071" s="219"/>
      <c r="I1071" s="219"/>
      <c r="J1071" s="219"/>
      <c r="K1071" s="219"/>
      <c r="L1071" s="219"/>
      <c r="M1071" s="219"/>
      <c r="N1071" s="219"/>
      <c r="O1071" s="219"/>
      <c r="P1071" s="219"/>
      <c r="Q1071" s="221"/>
    </row>
    <row r="1072" spans="2:17" x14ac:dyDescent="0.2">
      <c r="B1072" s="219"/>
      <c r="C1072" s="219"/>
      <c r="D1072" s="219"/>
      <c r="E1072" s="219"/>
      <c r="F1072" s="219"/>
      <c r="G1072" s="219"/>
      <c r="H1072" s="219"/>
      <c r="I1072" s="219"/>
      <c r="J1072" s="219"/>
      <c r="K1072" s="219"/>
      <c r="L1072" s="219"/>
      <c r="M1072" s="219"/>
      <c r="N1072" s="219"/>
      <c r="O1072" s="219"/>
      <c r="P1072" s="219"/>
      <c r="Q1072" s="221"/>
    </row>
    <row r="1073" spans="2:17" x14ac:dyDescent="0.2">
      <c r="B1073" s="219"/>
      <c r="C1073" s="219"/>
      <c r="D1073" s="219"/>
      <c r="E1073" s="219"/>
      <c r="F1073" s="219"/>
      <c r="G1073" s="219"/>
      <c r="H1073" s="219"/>
      <c r="I1073" s="219"/>
      <c r="J1073" s="219"/>
      <c r="K1073" s="219"/>
      <c r="L1073" s="219"/>
      <c r="M1073" s="219"/>
      <c r="N1073" s="219"/>
      <c r="O1073" s="219"/>
      <c r="P1073" s="219"/>
      <c r="Q1073" s="221"/>
    </row>
    <row r="1074" spans="2:17" x14ac:dyDescent="0.2">
      <c r="B1074" s="219"/>
      <c r="C1074" s="219"/>
      <c r="D1074" s="219"/>
      <c r="E1074" s="219"/>
      <c r="F1074" s="219"/>
      <c r="G1074" s="219"/>
      <c r="H1074" s="219"/>
      <c r="I1074" s="219"/>
      <c r="J1074" s="219"/>
      <c r="K1074" s="219"/>
      <c r="L1074" s="219"/>
      <c r="M1074" s="219"/>
      <c r="N1074" s="219"/>
      <c r="O1074" s="219"/>
      <c r="P1074" s="219"/>
      <c r="Q1074" s="221"/>
    </row>
    <row r="1075" spans="2:17" x14ac:dyDescent="0.2">
      <c r="B1075" s="219"/>
      <c r="C1075" s="219"/>
      <c r="D1075" s="219"/>
      <c r="E1075" s="219"/>
      <c r="F1075" s="219"/>
      <c r="G1075" s="219"/>
      <c r="H1075" s="219"/>
      <c r="I1075" s="219"/>
      <c r="J1075" s="219"/>
      <c r="K1075" s="219"/>
      <c r="L1075" s="219"/>
      <c r="M1075" s="219"/>
      <c r="N1075" s="219"/>
      <c r="O1075" s="219"/>
      <c r="P1075" s="219"/>
      <c r="Q1075" s="221"/>
    </row>
    <row r="1076" spans="2:17" x14ac:dyDescent="0.2">
      <c r="B1076" s="219"/>
      <c r="C1076" s="219"/>
      <c r="D1076" s="219"/>
      <c r="E1076" s="219"/>
      <c r="F1076" s="219"/>
      <c r="G1076" s="219"/>
      <c r="H1076" s="219"/>
      <c r="I1076" s="219"/>
      <c r="J1076" s="219"/>
      <c r="K1076" s="219"/>
      <c r="L1076" s="219"/>
      <c r="M1076" s="219"/>
      <c r="N1076" s="219"/>
      <c r="O1076" s="219"/>
      <c r="P1076" s="219"/>
      <c r="Q1076" s="221"/>
    </row>
    <row r="1077" spans="2:17" x14ac:dyDescent="0.2">
      <c r="B1077" s="219"/>
      <c r="C1077" s="219"/>
      <c r="D1077" s="219"/>
      <c r="E1077" s="219"/>
      <c r="F1077" s="219"/>
      <c r="G1077" s="219"/>
      <c r="H1077" s="219"/>
      <c r="I1077" s="219"/>
      <c r="J1077" s="219"/>
      <c r="K1077" s="219"/>
      <c r="L1077" s="219"/>
      <c r="M1077" s="219"/>
      <c r="N1077" s="219"/>
      <c r="O1077" s="219"/>
      <c r="P1077" s="219"/>
      <c r="Q1077" s="221"/>
    </row>
    <row r="1078" spans="2:17" x14ac:dyDescent="0.2">
      <c r="B1078" s="219"/>
      <c r="C1078" s="219"/>
      <c r="D1078" s="219"/>
      <c r="E1078" s="219"/>
      <c r="F1078" s="219"/>
      <c r="G1078" s="219"/>
      <c r="H1078" s="219"/>
      <c r="I1078" s="219"/>
      <c r="J1078" s="219"/>
      <c r="K1078" s="219"/>
      <c r="L1078" s="219"/>
      <c r="M1078" s="219"/>
      <c r="N1078" s="219"/>
      <c r="O1078" s="219"/>
      <c r="P1078" s="219"/>
      <c r="Q1078" s="221"/>
    </row>
    <row r="1079" spans="2:17" x14ac:dyDescent="0.2">
      <c r="B1079" s="219"/>
      <c r="C1079" s="219"/>
      <c r="D1079" s="219"/>
      <c r="E1079" s="219"/>
      <c r="F1079" s="219"/>
      <c r="G1079" s="219"/>
      <c r="H1079" s="219"/>
      <c r="I1079" s="219"/>
      <c r="J1079" s="219"/>
      <c r="K1079" s="219"/>
      <c r="L1079" s="219"/>
      <c r="M1079" s="219"/>
      <c r="N1079" s="219"/>
      <c r="O1079" s="219"/>
      <c r="P1079" s="219"/>
      <c r="Q1079" s="221"/>
    </row>
    <row r="1080" spans="2:17" x14ac:dyDescent="0.2">
      <c r="B1080" s="219"/>
      <c r="C1080" s="219"/>
      <c r="D1080" s="219"/>
      <c r="E1080" s="219"/>
      <c r="F1080" s="219"/>
      <c r="G1080" s="219"/>
      <c r="H1080" s="219"/>
      <c r="I1080" s="219"/>
      <c r="J1080" s="219"/>
      <c r="K1080" s="219"/>
      <c r="L1080" s="219"/>
      <c r="M1080" s="219"/>
      <c r="N1080" s="219"/>
      <c r="O1080" s="219"/>
      <c r="P1080" s="219"/>
      <c r="Q1080" s="221"/>
    </row>
    <row r="1081" spans="2:17" x14ac:dyDescent="0.2">
      <c r="B1081" s="219"/>
      <c r="C1081" s="219"/>
      <c r="D1081" s="219"/>
      <c r="E1081" s="219"/>
      <c r="F1081" s="219"/>
      <c r="G1081" s="219"/>
      <c r="H1081" s="219"/>
      <c r="I1081" s="219"/>
      <c r="J1081" s="219"/>
      <c r="K1081" s="219"/>
      <c r="L1081" s="219"/>
      <c r="M1081" s="219"/>
      <c r="N1081" s="219"/>
      <c r="O1081" s="219"/>
      <c r="P1081" s="219"/>
      <c r="Q1081" s="221"/>
    </row>
    <row r="1082" spans="2:17" x14ac:dyDescent="0.2">
      <c r="B1082" s="219"/>
      <c r="C1082" s="219"/>
      <c r="D1082" s="219"/>
      <c r="E1082" s="219"/>
      <c r="F1082" s="219"/>
      <c r="G1082" s="219"/>
      <c r="H1082" s="219"/>
      <c r="I1082" s="219"/>
      <c r="J1082" s="219"/>
      <c r="K1082" s="219"/>
      <c r="L1082" s="219"/>
      <c r="M1082" s="219"/>
      <c r="N1082" s="219"/>
      <c r="O1082" s="219"/>
      <c r="P1082" s="219"/>
      <c r="Q1082" s="221"/>
    </row>
    <row r="1083" spans="2:17" x14ac:dyDescent="0.2">
      <c r="B1083" s="219"/>
      <c r="C1083" s="219"/>
      <c r="D1083" s="219"/>
      <c r="E1083" s="219"/>
      <c r="F1083" s="219"/>
      <c r="G1083" s="219"/>
      <c r="H1083" s="219"/>
      <c r="I1083" s="219"/>
      <c r="J1083" s="219"/>
      <c r="K1083" s="219"/>
      <c r="L1083" s="219"/>
      <c r="M1083" s="219"/>
      <c r="N1083" s="219"/>
      <c r="O1083" s="219"/>
      <c r="P1083" s="219"/>
      <c r="Q1083" s="221"/>
    </row>
    <row r="1084" spans="2:17" x14ac:dyDescent="0.2">
      <c r="B1084" s="219"/>
      <c r="C1084" s="219"/>
      <c r="D1084" s="219"/>
      <c r="E1084" s="219"/>
      <c r="F1084" s="219"/>
      <c r="G1084" s="219"/>
      <c r="H1084" s="219"/>
      <c r="I1084" s="219"/>
      <c r="J1084" s="219"/>
      <c r="K1084" s="219"/>
      <c r="L1084" s="219"/>
      <c r="M1084" s="219"/>
      <c r="N1084" s="219"/>
      <c r="O1084" s="219"/>
      <c r="P1084" s="219"/>
      <c r="Q1084" s="221"/>
    </row>
    <row r="1085" spans="2:17" x14ac:dyDescent="0.2">
      <c r="B1085" s="219"/>
      <c r="C1085" s="219"/>
      <c r="D1085" s="219"/>
      <c r="E1085" s="219"/>
      <c r="F1085" s="219"/>
      <c r="G1085" s="219"/>
      <c r="H1085" s="219"/>
      <c r="I1085" s="219"/>
      <c r="J1085" s="219"/>
      <c r="K1085" s="219"/>
      <c r="L1085" s="219"/>
      <c r="M1085" s="219"/>
      <c r="N1085" s="219"/>
      <c r="O1085" s="219"/>
      <c r="P1085" s="219"/>
      <c r="Q1085" s="221"/>
    </row>
    <row r="1086" spans="2:17" x14ac:dyDescent="0.2">
      <c r="B1086" s="219"/>
      <c r="C1086" s="219"/>
      <c r="D1086" s="219"/>
      <c r="E1086" s="219"/>
      <c r="F1086" s="219"/>
      <c r="G1086" s="219"/>
      <c r="H1086" s="219"/>
      <c r="I1086" s="219"/>
      <c r="J1086" s="219"/>
      <c r="K1086" s="219"/>
      <c r="L1086" s="219"/>
      <c r="M1086" s="219"/>
      <c r="N1086" s="219"/>
      <c r="O1086" s="219"/>
      <c r="P1086" s="219"/>
      <c r="Q1086" s="221"/>
    </row>
    <row r="1087" spans="2:17" x14ac:dyDescent="0.2">
      <c r="B1087" s="219"/>
      <c r="C1087" s="219"/>
      <c r="D1087" s="219"/>
      <c r="E1087" s="219"/>
      <c r="F1087" s="219"/>
      <c r="G1087" s="219"/>
      <c r="H1087" s="219"/>
      <c r="I1087" s="219"/>
      <c r="J1087" s="219"/>
      <c r="K1087" s="219"/>
      <c r="L1087" s="219"/>
      <c r="M1087" s="219"/>
      <c r="N1087" s="219"/>
      <c r="O1087" s="219"/>
      <c r="P1087" s="219"/>
      <c r="Q1087" s="221"/>
    </row>
    <row r="1088" spans="2:17" x14ac:dyDescent="0.2">
      <c r="B1088" s="219"/>
      <c r="C1088" s="219"/>
      <c r="D1088" s="219"/>
      <c r="E1088" s="219"/>
      <c r="F1088" s="219"/>
      <c r="G1088" s="219"/>
      <c r="H1088" s="219"/>
      <c r="I1088" s="219"/>
      <c r="J1088" s="219"/>
      <c r="K1088" s="219"/>
      <c r="L1088" s="219"/>
      <c r="M1088" s="219"/>
      <c r="N1088" s="219"/>
      <c r="O1088" s="219"/>
      <c r="P1088" s="219"/>
      <c r="Q1088" s="221"/>
    </row>
    <row r="1089" spans="2:17" x14ac:dyDescent="0.2">
      <c r="B1089" s="219"/>
      <c r="C1089" s="219"/>
      <c r="D1089" s="219"/>
      <c r="E1089" s="219"/>
      <c r="F1089" s="219"/>
      <c r="G1089" s="219"/>
      <c r="H1089" s="219"/>
      <c r="I1089" s="219"/>
      <c r="J1089" s="219"/>
      <c r="K1089" s="219"/>
      <c r="L1089" s="219"/>
      <c r="M1089" s="219"/>
      <c r="N1089" s="219"/>
      <c r="O1089" s="219"/>
      <c r="P1089" s="219"/>
      <c r="Q1089" s="221"/>
    </row>
    <row r="1090" spans="2:17" x14ac:dyDescent="0.2">
      <c r="B1090" s="219"/>
      <c r="C1090" s="219"/>
      <c r="D1090" s="219"/>
      <c r="E1090" s="219"/>
      <c r="F1090" s="219"/>
      <c r="G1090" s="219"/>
      <c r="H1090" s="219"/>
      <c r="I1090" s="219"/>
      <c r="J1090" s="219"/>
      <c r="K1090" s="219"/>
      <c r="L1090" s="219"/>
      <c r="M1090" s="219"/>
      <c r="N1090" s="219"/>
      <c r="O1090" s="219"/>
      <c r="P1090" s="219"/>
      <c r="Q1090" s="221"/>
    </row>
    <row r="1091" spans="2:17" x14ac:dyDescent="0.2">
      <c r="B1091" s="219"/>
      <c r="C1091" s="219"/>
      <c r="D1091" s="219"/>
      <c r="E1091" s="219"/>
      <c r="F1091" s="219"/>
      <c r="G1091" s="219"/>
      <c r="H1091" s="219"/>
      <c r="I1091" s="219"/>
      <c r="J1091" s="219"/>
      <c r="K1091" s="219"/>
      <c r="L1091" s="219"/>
      <c r="M1091" s="219"/>
      <c r="N1091" s="219"/>
      <c r="O1091" s="219"/>
      <c r="P1091" s="219"/>
      <c r="Q1091" s="221"/>
    </row>
    <row r="1092" spans="2:17" x14ac:dyDescent="0.2">
      <c r="B1092" s="219"/>
      <c r="C1092" s="219"/>
      <c r="D1092" s="219"/>
      <c r="E1092" s="219"/>
      <c r="F1092" s="219"/>
      <c r="G1092" s="219"/>
      <c r="H1092" s="219"/>
      <c r="I1092" s="219"/>
      <c r="J1092" s="219"/>
      <c r="K1092" s="219"/>
      <c r="L1092" s="219"/>
      <c r="M1092" s="219"/>
      <c r="N1092" s="219"/>
      <c r="O1092" s="219"/>
      <c r="P1092" s="219"/>
      <c r="Q1092" s="221"/>
    </row>
    <row r="1093" spans="2:17" x14ac:dyDescent="0.2">
      <c r="B1093" s="219"/>
      <c r="C1093" s="219"/>
      <c r="D1093" s="219"/>
      <c r="E1093" s="219"/>
      <c r="F1093" s="219"/>
      <c r="G1093" s="219"/>
      <c r="H1093" s="219"/>
      <c r="I1093" s="219"/>
      <c r="J1093" s="219"/>
      <c r="K1093" s="219"/>
      <c r="L1093" s="219"/>
      <c r="M1093" s="219"/>
      <c r="N1093" s="219"/>
      <c r="O1093" s="219"/>
      <c r="P1093" s="219"/>
      <c r="Q1093" s="221"/>
    </row>
    <row r="1094" spans="2:17" x14ac:dyDescent="0.2">
      <c r="B1094" s="219"/>
      <c r="C1094" s="219"/>
      <c r="D1094" s="219"/>
      <c r="E1094" s="219"/>
      <c r="F1094" s="219"/>
      <c r="G1094" s="219"/>
      <c r="H1094" s="219"/>
      <c r="I1094" s="219"/>
      <c r="J1094" s="219"/>
      <c r="K1094" s="219"/>
      <c r="L1094" s="219"/>
      <c r="M1094" s="219"/>
      <c r="N1094" s="219"/>
      <c r="O1094" s="219"/>
      <c r="P1094" s="219"/>
      <c r="Q1094" s="221"/>
    </row>
    <row r="1095" spans="2:17" x14ac:dyDescent="0.2">
      <c r="B1095" s="219"/>
      <c r="C1095" s="219"/>
      <c r="D1095" s="219"/>
      <c r="E1095" s="219"/>
      <c r="F1095" s="219"/>
      <c r="G1095" s="219"/>
      <c r="H1095" s="219"/>
      <c r="I1095" s="219"/>
      <c r="J1095" s="219"/>
      <c r="K1095" s="219"/>
      <c r="L1095" s="219"/>
      <c r="M1095" s="219"/>
      <c r="N1095" s="219"/>
      <c r="O1095" s="219"/>
      <c r="P1095" s="219"/>
      <c r="Q1095" s="221"/>
    </row>
    <row r="1096" spans="2:17" x14ac:dyDescent="0.2">
      <c r="B1096" s="219"/>
      <c r="C1096" s="219"/>
      <c r="D1096" s="219"/>
      <c r="E1096" s="219"/>
      <c r="F1096" s="219"/>
      <c r="G1096" s="219"/>
      <c r="H1096" s="219"/>
      <c r="I1096" s="219"/>
      <c r="J1096" s="219"/>
      <c r="K1096" s="219"/>
      <c r="L1096" s="219"/>
      <c r="M1096" s="219"/>
      <c r="N1096" s="219"/>
      <c r="O1096" s="219"/>
      <c r="P1096" s="219"/>
      <c r="Q1096" s="221"/>
    </row>
    <row r="1097" spans="2:17" x14ac:dyDescent="0.2">
      <c r="B1097" s="219"/>
      <c r="C1097" s="219"/>
      <c r="D1097" s="219"/>
      <c r="E1097" s="219"/>
      <c r="F1097" s="219"/>
      <c r="G1097" s="219"/>
      <c r="H1097" s="219"/>
      <c r="I1097" s="219"/>
      <c r="J1097" s="219"/>
      <c r="K1097" s="219"/>
      <c r="L1097" s="219"/>
      <c r="M1097" s="219"/>
      <c r="N1097" s="219"/>
      <c r="O1097" s="219"/>
      <c r="P1097" s="219"/>
      <c r="Q1097" s="221"/>
    </row>
    <row r="1098" spans="2:17" x14ac:dyDescent="0.2">
      <c r="B1098" s="219"/>
      <c r="C1098" s="219"/>
      <c r="D1098" s="219"/>
      <c r="E1098" s="219"/>
      <c r="F1098" s="219"/>
      <c r="G1098" s="219"/>
      <c r="H1098" s="219"/>
      <c r="I1098" s="219"/>
      <c r="J1098" s="219"/>
      <c r="K1098" s="219"/>
      <c r="L1098" s="219"/>
      <c r="M1098" s="219"/>
      <c r="N1098" s="219"/>
      <c r="O1098" s="219"/>
      <c r="P1098" s="219"/>
      <c r="Q1098" s="221"/>
    </row>
    <row r="1099" spans="2:17" x14ac:dyDescent="0.2">
      <c r="B1099" s="219"/>
      <c r="C1099" s="219"/>
      <c r="D1099" s="219"/>
      <c r="E1099" s="219"/>
      <c r="F1099" s="219"/>
      <c r="G1099" s="219"/>
      <c r="H1099" s="219"/>
      <c r="I1099" s="219"/>
      <c r="J1099" s="219"/>
      <c r="K1099" s="219"/>
      <c r="L1099" s="219"/>
      <c r="M1099" s="219"/>
      <c r="N1099" s="219"/>
      <c r="O1099" s="219"/>
      <c r="P1099" s="219"/>
      <c r="Q1099" s="221"/>
    </row>
    <row r="1100" spans="2:17" x14ac:dyDescent="0.2">
      <c r="B1100" s="219"/>
      <c r="C1100" s="219"/>
      <c r="D1100" s="219"/>
      <c r="E1100" s="219"/>
      <c r="F1100" s="219"/>
      <c r="G1100" s="219"/>
      <c r="H1100" s="219"/>
      <c r="I1100" s="219"/>
      <c r="J1100" s="219"/>
      <c r="K1100" s="219"/>
      <c r="L1100" s="219"/>
      <c r="M1100" s="219"/>
      <c r="N1100" s="219"/>
      <c r="O1100" s="219"/>
      <c r="P1100" s="219"/>
      <c r="Q1100" s="221"/>
    </row>
    <row r="1101" spans="2:17" x14ac:dyDescent="0.2">
      <c r="B1101" s="219"/>
      <c r="C1101" s="219"/>
      <c r="D1101" s="219"/>
      <c r="E1101" s="219"/>
      <c r="F1101" s="219"/>
      <c r="G1101" s="219"/>
      <c r="H1101" s="219"/>
      <c r="I1101" s="219"/>
      <c r="J1101" s="219"/>
      <c r="K1101" s="219"/>
      <c r="L1101" s="219"/>
      <c r="M1101" s="219"/>
      <c r="N1101" s="219"/>
      <c r="O1101" s="219"/>
      <c r="P1101" s="219"/>
      <c r="Q1101" s="221"/>
    </row>
    <row r="1102" spans="2:17" x14ac:dyDescent="0.2">
      <c r="B1102" s="219"/>
      <c r="C1102" s="219"/>
      <c r="D1102" s="219"/>
      <c r="E1102" s="219"/>
      <c r="F1102" s="219"/>
      <c r="G1102" s="219"/>
      <c r="H1102" s="219"/>
      <c r="I1102" s="219"/>
      <c r="J1102" s="219"/>
      <c r="K1102" s="219"/>
      <c r="L1102" s="219"/>
      <c r="M1102" s="219"/>
      <c r="N1102" s="219"/>
      <c r="O1102" s="219"/>
      <c r="P1102" s="219"/>
      <c r="Q1102" s="221"/>
    </row>
    <row r="1103" spans="2:17" x14ac:dyDescent="0.2">
      <c r="B1103" s="219"/>
      <c r="C1103" s="219"/>
      <c r="D1103" s="219"/>
      <c r="E1103" s="219"/>
      <c r="F1103" s="219"/>
      <c r="G1103" s="219"/>
      <c r="H1103" s="219"/>
      <c r="I1103" s="219"/>
      <c r="J1103" s="219"/>
      <c r="K1103" s="219"/>
      <c r="L1103" s="219"/>
      <c r="M1103" s="219"/>
      <c r="N1103" s="219"/>
      <c r="O1103" s="219"/>
      <c r="P1103" s="219"/>
      <c r="Q1103" s="221"/>
    </row>
    <row r="1104" spans="2:17" x14ac:dyDescent="0.2">
      <c r="B1104" s="219"/>
      <c r="C1104" s="219"/>
      <c r="D1104" s="219"/>
      <c r="E1104" s="219"/>
      <c r="F1104" s="219"/>
      <c r="G1104" s="219"/>
      <c r="H1104" s="219"/>
      <c r="I1104" s="219"/>
      <c r="J1104" s="219"/>
      <c r="K1104" s="219"/>
      <c r="L1104" s="219"/>
      <c r="M1104" s="219"/>
      <c r="N1104" s="219"/>
      <c r="O1104" s="219"/>
      <c r="P1104" s="219"/>
      <c r="Q1104" s="221"/>
    </row>
    <row r="1105" spans="2:17" x14ac:dyDescent="0.2">
      <c r="B1105" s="219"/>
      <c r="C1105" s="219"/>
      <c r="D1105" s="219"/>
      <c r="E1105" s="219"/>
      <c r="F1105" s="219"/>
      <c r="G1105" s="219"/>
      <c r="H1105" s="219"/>
      <c r="I1105" s="219"/>
      <c r="J1105" s="219"/>
      <c r="K1105" s="219"/>
      <c r="L1105" s="219"/>
      <c r="M1105" s="219"/>
      <c r="N1105" s="219"/>
      <c r="O1105" s="219"/>
      <c r="P1105" s="219"/>
      <c r="Q1105" s="221"/>
    </row>
    <row r="1106" spans="2:17" x14ac:dyDescent="0.2">
      <c r="B1106" s="219"/>
      <c r="C1106" s="219"/>
      <c r="D1106" s="219"/>
      <c r="E1106" s="219"/>
      <c r="F1106" s="219"/>
      <c r="G1106" s="219"/>
      <c r="H1106" s="219"/>
      <c r="I1106" s="219"/>
      <c r="J1106" s="219"/>
      <c r="K1106" s="219"/>
      <c r="L1106" s="219"/>
      <c r="M1106" s="219"/>
      <c r="N1106" s="219"/>
      <c r="O1106" s="219"/>
      <c r="P1106" s="219"/>
      <c r="Q1106" s="221"/>
    </row>
    <row r="1107" spans="2:17" x14ac:dyDescent="0.2">
      <c r="B1107" s="219"/>
      <c r="C1107" s="219"/>
      <c r="D1107" s="219"/>
      <c r="E1107" s="219"/>
      <c r="F1107" s="219"/>
      <c r="G1107" s="219"/>
      <c r="H1107" s="219"/>
      <c r="I1107" s="219"/>
      <c r="J1107" s="219"/>
      <c r="K1107" s="219"/>
      <c r="L1107" s="219"/>
      <c r="M1107" s="219"/>
      <c r="N1107" s="219"/>
      <c r="O1107" s="219"/>
      <c r="P1107" s="219"/>
      <c r="Q1107" s="221"/>
    </row>
    <row r="1108" spans="2:17" x14ac:dyDescent="0.2">
      <c r="B1108" s="219"/>
      <c r="C1108" s="219"/>
      <c r="D1108" s="219"/>
      <c r="E1108" s="219"/>
      <c r="F1108" s="219"/>
      <c r="G1108" s="219"/>
      <c r="H1108" s="219"/>
      <c r="I1108" s="219"/>
      <c r="J1108" s="219"/>
      <c r="K1108" s="219"/>
      <c r="L1108" s="219"/>
      <c r="M1108" s="219"/>
      <c r="N1108" s="219"/>
      <c r="O1108" s="219"/>
      <c r="P1108" s="219"/>
      <c r="Q1108" s="221"/>
    </row>
    <row r="1109" spans="2:17" x14ac:dyDescent="0.2">
      <c r="B1109" s="219"/>
      <c r="C1109" s="219"/>
      <c r="D1109" s="219"/>
      <c r="E1109" s="219"/>
      <c r="F1109" s="219"/>
      <c r="G1109" s="219"/>
      <c r="H1109" s="219"/>
      <c r="I1109" s="219"/>
      <c r="J1109" s="219"/>
      <c r="K1109" s="219"/>
      <c r="L1109" s="219"/>
      <c r="M1109" s="219"/>
      <c r="N1109" s="219"/>
      <c r="O1109" s="219"/>
      <c r="P1109" s="219"/>
      <c r="Q1109" s="221"/>
    </row>
    <row r="1110" spans="2:17" x14ac:dyDescent="0.2">
      <c r="B1110" s="219"/>
      <c r="C1110" s="219"/>
      <c r="D1110" s="219"/>
      <c r="E1110" s="219"/>
      <c r="F1110" s="219"/>
      <c r="G1110" s="219"/>
      <c r="H1110" s="219"/>
      <c r="I1110" s="219"/>
      <c r="J1110" s="219"/>
      <c r="K1110" s="219"/>
      <c r="L1110" s="219"/>
      <c r="M1110" s="219"/>
      <c r="N1110" s="219"/>
      <c r="O1110" s="219"/>
      <c r="P1110" s="219"/>
      <c r="Q1110" s="221"/>
    </row>
    <row r="1111" spans="2:17" x14ac:dyDescent="0.2">
      <c r="B1111" s="219"/>
      <c r="C1111" s="219"/>
      <c r="D1111" s="219"/>
      <c r="E1111" s="219"/>
      <c r="F1111" s="219"/>
      <c r="G1111" s="219"/>
      <c r="H1111" s="219"/>
      <c r="I1111" s="219"/>
      <c r="J1111" s="219"/>
      <c r="K1111" s="219"/>
      <c r="L1111" s="219"/>
      <c r="M1111" s="219"/>
      <c r="N1111" s="219"/>
      <c r="O1111" s="219"/>
      <c r="P1111" s="219"/>
      <c r="Q1111" s="221"/>
    </row>
    <row r="1112" spans="2:17" x14ac:dyDescent="0.2">
      <c r="B1112" s="219"/>
      <c r="C1112" s="219"/>
      <c r="D1112" s="219"/>
      <c r="E1112" s="219"/>
      <c r="F1112" s="219"/>
      <c r="G1112" s="219"/>
      <c r="H1112" s="219"/>
      <c r="I1112" s="219"/>
      <c r="J1112" s="219"/>
      <c r="K1112" s="219"/>
      <c r="L1112" s="219"/>
      <c r="M1112" s="219"/>
      <c r="N1112" s="219"/>
      <c r="O1112" s="219"/>
      <c r="P1112" s="219"/>
      <c r="Q1112" s="221"/>
    </row>
    <row r="1113" spans="2:17" x14ac:dyDescent="0.2">
      <c r="B1113" s="219"/>
      <c r="C1113" s="219"/>
      <c r="D1113" s="219"/>
      <c r="E1113" s="219"/>
      <c r="F1113" s="219"/>
      <c r="G1113" s="219"/>
      <c r="H1113" s="219"/>
      <c r="I1113" s="219"/>
      <c r="J1113" s="219"/>
      <c r="K1113" s="219"/>
      <c r="L1113" s="219"/>
      <c r="M1113" s="219"/>
      <c r="N1113" s="219"/>
      <c r="O1113" s="219"/>
      <c r="P1113" s="219"/>
      <c r="Q1113" s="221"/>
    </row>
    <row r="1114" spans="2:17" x14ac:dyDescent="0.2">
      <c r="B1114" s="219"/>
      <c r="C1114" s="219"/>
      <c r="D1114" s="219"/>
      <c r="E1114" s="219"/>
      <c r="F1114" s="219"/>
      <c r="G1114" s="219"/>
      <c r="H1114" s="219"/>
      <c r="I1114" s="219"/>
      <c r="J1114" s="219"/>
      <c r="K1114" s="219"/>
      <c r="L1114" s="219"/>
      <c r="M1114" s="219"/>
      <c r="N1114" s="219"/>
      <c r="O1114" s="219"/>
      <c r="P1114" s="219"/>
      <c r="Q1114" s="221"/>
    </row>
    <row r="1115" spans="2:17" x14ac:dyDescent="0.2">
      <c r="B1115" s="219"/>
      <c r="C1115" s="219"/>
      <c r="D1115" s="219"/>
      <c r="E1115" s="219"/>
      <c r="F1115" s="219"/>
      <c r="G1115" s="219"/>
      <c r="H1115" s="219"/>
      <c r="I1115" s="219"/>
      <c r="J1115" s="219"/>
      <c r="K1115" s="219"/>
      <c r="L1115" s="219"/>
      <c r="M1115" s="219"/>
      <c r="N1115" s="219"/>
      <c r="O1115" s="219"/>
      <c r="P1115" s="219"/>
      <c r="Q1115" s="221"/>
    </row>
    <row r="1116" spans="2:17" x14ac:dyDescent="0.2">
      <c r="B1116" s="219"/>
      <c r="C1116" s="219"/>
      <c r="D1116" s="219"/>
      <c r="E1116" s="219"/>
      <c r="F1116" s="219"/>
      <c r="G1116" s="219"/>
      <c r="H1116" s="219"/>
      <c r="I1116" s="219"/>
      <c r="J1116" s="219"/>
      <c r="K1116" s="219"/>
      <c r="L1116" s="219"/>
      <c r="M1116" s="219"/>
      <c r="N1116" s="219"/>
      <c r="O1116" s="219"/>
      <c r="P1116" s="219"/>
      <c r="Q1116" s="221"/>
    </row>
    <row r="1117" spans="2:17" x14ac:dyDescent="0.2">
      <c r="B1117" s="219"/>
      <c r="C1117" s="219"/>
      <c r="D1117" s="219"/>
      <c r="E1117" s="219"/>
      <c r="F1117" s="219"/>
      <c r="G1117" s="219"/>
      <c r="H1117" s="219"/>
      <c r="I1117" s="219"/>
      <c r="J1117" s="219"/>
      <c r="K1117" s="219"/>
      <c r="L1117" s="219"/>
      <c r="M1117" s="219"/>
      <c r="N1117" s="219"/>
      <c r="O1117" s="219"/>
      <c r="P1117" s="219"/>
      <c r="Q1117" s="221"/>
    </row>
    <row r="1118" spans="2:17" x14ac:dyDescent="0.2">
      <c r="B1118" s="219"/>
      <c r="C1118" s="219"/>
      <c r="D1118" s="219"/>
      <c r="E1118" s="219"/>
      <c r="F1118" s="219"/>
      <c r="G1118" s="219"/>
      <c r="H1118" s="219"/>
      <c r="I1118" s="219"/>
      <c r="J1118" s="219"/>
      <c r="K1118" s="219"/>
      <c r="L1118" s="219"/>
      <c r="M1118" s="219"/>
      <c r="N1118" s="219"/>
      <c r="O1118" s="219"/>
      <c r="P1118" s="219"/>
      <c r="Q1118" s="221"/>
    </row>
    <row r="1119" spans="2:17" x14ac:dyDescent="0.2">
      <c r="B1119" s="219"/>
      <c r="C1119" s="219"/>
      <c r="D1119" s="219"/>
      <c r="E1119" s="219"/>
      <c r="F1119" s="219"/>
      <c r="G1119" s="219"/>
      <c r="H1119" s="219"/>
      <c r="I1119" s="219"/>
      <c r="J1119" s="219"/>
      <c r="K1119" s="219"/>
      <c r="L1119" s="219"/>
      <c r="M1119" s="219"/>
      <c r="N1119" s="219"/>
      <c r="O1119" s="219"/>
      <c r="P1119" s="219"/>
      <c r="Q1119" s="221"/>
    </row>
    <row r="1120" spans="2:17" x14ac:dyDescent="0.2">
      <c r="B1120" s="219"/>
      <c r="C1120" s="219"/>
      <c r="D1120" s="219"/>
      <c r="E1120" s="219"/>
      <c r="F1120" s="219"/>
      <c r="G1120" s="219"/>
      <c r="H1120" s="219"/>
      <c r="I1120" s="219"/>
      <c r="J1120" s="219"/>
      <c r="K1120" s="219"/>
      <c r="L1120" s="219"/>
      <c r="M1120" s="219"/>
      <c r="N1120" s="219"/>
      <c r="O1120" s="219"/>
      <c r="P1120" s="219"/>
      <c r="Q1120" s="221"/>
    </row>
    <row r="1121" spans="2:17" x14ac:dyDescent="0.2">
      <c r="B1121" s="219"/>
      <c r="C1121" s="219"/>
      <c r="D1121" s="219"/>
      <c r="E1121" s="219"/>
      <c r="F1121" s="219"/>
      <c r="G1121" s="219"/>
      <c r="H1121" s="219"/>
      <c r="I1121" s="219"/>
      <c r="J1121" s="219"/>
      <c r="K1121" s="219"/>
      <c r="L1121" s="219"/>
      <c r="M1121" s="219"/>
      <c r="N1121" s="219"/>
      <c r="O1121" s="219"/>
      <c r="P1121" s="219"/>
      <c r="Q1121" s="221"/>
    </row>
    <row r="1122" spans="2:17" x14ac:dyDescent="0.2">
      <c r="B1122" s="219"/>
      <c r="C1122" s="219"/>
      <c r="D1122" s="219"/>
      <c r="E1122" s="219"/>
      <c r="F1122" s="219"/>
      <c r="G1122" s="219"/>
      <c r="H1122" s="219"/>
      <c r="I1122" s="219"/>
      <c r="J1122" s="219"/>
      <c r="K1122" s="219"/>
      <c r="L1122" s="219"/>
      <c r="M1122" s="219"/>
      <c r="N1122" s="219"/>
      <c r="O1122" s="219"/>
      <c r="P1122" s="219"/>
      <c r="Q1122" s="221"/>
    </row>
    <row r="1123" spans="2:17" x14ac:dyDescent="0.2">
      <c r="B1123" s="219"/>
      <c r="C1123" s="219"/>
      <c r="D1123" s="219"/>
      <c r="E1123" s="219"/>
      <c r="F1123" s="219"/>
      <c r="G1123" s="219"/>
      <c r="H1123" s="219"/>
      <c r="I1123" s="219"/>
      <c r="J1123" s="219"/>
      <c r="K1123" s="219"/>
      <c r="L1123" s="219"/>
      <c r="M1123" s="219"/>
      <c r="N1123" s="219"/>
      <c r="O1123" s="219"/>
      <c r="P1123" s="219"/>
      <c r="Q1123" s="221"/>
    </row>
    <row r="1124" spans="2:17" x14ac:dyDescent="0.2">
      <c r="B1124" s="219"/>
      <c r="C1124" s="219"/>
      <c r="D1124" s="219"/>
      <c r="E1124" s="219"/>
      <c r="F1124" s="219"/>
      <c r="G1124" s="219"/>
      <c r="H1124" s="219"/>
      <c r="I1124" s="219"/>
      <c r="J1124" s="219"/>
      <c r="K1124" s="219"/>
      <c r="L1124" s="219"/>
      <c r="M1124" s="219"/>
      <c r="N1124" s="219"/>
      <c r="O1124" s="219"/>
      <c r="P1124" s="219"/>
      <c r="Q1124" s="221"/>
    </row>
    <row r="1125" spans="2:17" x14ac:dyDescent="0.2">
      <c r="B1125" s="219"/>
      <c r="C1125" s="219"/>
      <c r="D1125" s="219"/>
      <c r="E1125" s="219"/>
      <c r="F1125" s="219"/>
      <c r="G1125" s="219"/>
      <c r="H1125" s="219"/>
      <c r="I1125" s="219"/>
      <c r="J1125" s="219"/>
      <c r="K1125" s="219"/>
      <c r="L1125" s="219"/>
      <c r="M1125" s="219"/>
      <c r="N1125" s="219"/>
      <c r="O1125" s="219"/>
      <c r="P1125" s="219"/>
      <c r="Q1125" s="221"/>
    </row>
    <row r="1126" spans="2:17" x14ac:dyDescent="0.2">
      <c r="B1126" s="219"/>
      <c r="C1126" s="219"/>
      <c r="D1126" s="219"/>
      <c r="E1126" s="219"/>
      <c r="F1126" s="219"/>
      <c r="G1126" s="219"/>
      <c r="H1126" s="219"/>
      <c r="I1126" s="219"/>
      <c r="J1126" s="219"/>
      <c r="K1126" s="219"/>
      <c r="L1126" s="219"/>
      <c r="M1126" s="219"/>
      <c r="N1126" s="219"/>
      <c r="O1126" s="219"/>
      <c r="P1126" s="219"/>
      <c r="Q1126" s="221"/>
    </row>
    <row r="1127" spans="2:17" x14ac:dyDescent="0.2">
      <c r="B1127" s="219"/>
      <c r="C1127" s="219"/>
      <c r="D1127" s="219"/>
      <c r="E1127" s="219"/>
      <c r="F1127" s="219"/>
      <c r="G1127" s="219"/>
      <c r="H1127" s="219"/>
      <c r="I1127" s="219"/>
      <c r="J1127" s="219"/>
      <c r="K1127" s="219"/>
      <c r="L1127" s="219"/>
      <c r="M1127" s="219"/>
      <c r="N1127" s="219"/>
      <c r="O1127" s="219"/>
      <c r="P1127" s="219"/>
      <c r="Q1127" s="221"/>
    </row>
    <row r="1128" spans="2:17" x14ac:dyDescent="0.2">
      <c r="B1128" s="219"/>
      <c r="C1128" s="219"/>
      <c r="D1128" s="219"/>
      <c r="E1128" s="219"/>
      <c r="F1128" s="219"/>
      <c r="G1128" s="219"/>
      <c r="H1128" s="219"/>
      <c r="I1128" s="219"/>
      <c r="J1128" s="219"/>
      <c r="K1128" s="219"/>
      <c r="L1128" s="219"/>
      <c r="M1128" s="219"/>
      <c r="N1128" s="219"/>
      <c r="O1128" s="219"/>
      <c r="P1128" s="219"/>
      <c r="Q1128" s="221"/>
    </row>
    <row r="1129" spans="2:17" x14ac:dyDescent="0.2">
      <c r="B1129" s="219"/>
      <c r="C1129" s="219"/>
      <c r="D1129" s="219"/>
      <c r="E1129" s="219"/>
      <c r="F1129" s="219"/>
      <c r="G1129" s="219"/>
      <c r="H1129" s="219"/>
      <c r="I1129" s="219"/>
      <c r="J1129" s="219"/>
      <c r="K1129" s="219"/>
      <c r="L1129" s="219"/>
      <c r="M1129" s="219"/>
      <c r="N1129" s="219"/>
      <c r="O1129" s="219"/>
      <c r="P1129" s="219"/>
      <c r="Q1129" s="221"/>
    </row>
    <row r="1130" spans="2:17" x14ac:dyDescent="0.2">
      <c r="B1130" s="219"/>
      <c r="C1130" s="219"/>
      <c r="D1130" s="219"/>
      <c r="E1130" s="219"/>
      <c r="F1130" s="219"/>
      <c r="G1130" s="219"/>
      <c r="H1130" s="219"/>
      <c r="I1130" s="219"/>
      <c r="J1130" s="219"/>
      <c r="K1130" s="219"/>
      <c r="L1130" s="219"/>
      <c r="M1130" s="219"/>
      <c r="N1130" s="219"/>
      <c r="O1130" s="219"/>
      <c r="P1130" s="219"/>
      <c r="Q1130" s="221"/>
    </row>
    <row r="1131" spans="2:17" x14ac:dyDescent="0.2">
      <c r="B1131" s="219"/>
      <c r="C1131" s="219"/>
      <c r="D1131" s="219"/>
      <c r="E1131" s="219"/>
      <c r="F1131" s="219"/>
      <c r="G1131" s="219"/>
      <c r="H1131" s="219"/>
      <c r="I1131" s="219"/>
      <c r="J1131" s="219"/>
      <c r="K1131" s="219"/>
      <c r="L1131" s="219"/>
      <c r="M1131" s="219"/>
      <c r="N1131" s="219"/>
      <c r="O1131" s="219"/>
      <c r="P1131" s="219"/>
      <c r="Q1131" s="221"/>
    </row>
    <row r="1132" spans="2:17" x14ac:dyDescent="0.2">
      <c r="B1132" s="219"/>
      <c r="C1132" s="219"/>
      <c r="D1132" s="219"/>
      <c r="E1132" s="219"/>
      <c r="F1132" s="219"/>
      <c r="G1132" s="219"/>
      <c r="H1132" s="219"/>
      <c r="I1132" s="219"/>
      <c r="J1132" s="219"/>
      <c r="K1132" s="219"/>
      <c r="L1132" s="219"/>
      <c r="M1132" s="219"/>
      <c r="N1132" s="219"/>
      <c r="O1132" s="219"/>
      <c r="P1132" s="219"/>
      <c r="Q1132" s="221"/>
    </row>
    <row r="1133" spans="2:17" x14ac:dyDescent="0.2">
      <c r="B1133" s="219"/>
      <c r="C1133" s="219"/>
      <c r="D1133" s="219"/>
      <c r="E1133" s="219"/>
      <c r="F1133" s="219"/>
      <c r="G1133" s="219"/>
      <c r="H1133" s="219"/>
      <c r="I1133" s="219"/>
      <c r="J1133" s="219"/>
      <c r="K1133" s="219"/>
      <c r="L1133" s="219"/>
      <c r="M1133" s="219"/>
      <c r="N1133" s="219"/>
      <c r="O1133" s="219"/>
      <c r="P1133" s="219"/>
      <c r="Q1133" s="221"/>
    </row>
    <row r="1134" spans="2:17" x14ac:dyDescent="0.2">
      <c r="B1134" s="219"/>
      <c r="C1134" s="219"/>
      <c r="D1134" s="219"/>
      <c r="E1134" s="219"/>
      <c r="F1134" s="219"/>
      <c r="G1134" s="219"/>
      <c r="H1134" s="219"/>
      <c r="I1134" s="219"/>
      <c r="J1134" s="219"/>
      <c r="K1134" s="219"/>
      <c r="L1134" s="219"/>
      <c r="M1134" s="219"/>
      <c r="N1134" s="219"/>
      <c r="O1134" s="219"/>
      <c r="P1134" s="219"/>
      <c r="Q1134" s="221"/>
    </row>
    <row r="1135" spans="2:17" x14ac:dyDescent="0.2">
      <c r="B1135" s="219"/>
      <c r="C1135" s="219"/>
      <c r="D1135" s="219"/>
      <c r="E1135" s="219"/>
      <c r="F1135" s="219"/>
      <c r="G1135" s="219"/>
      <c r="H1135" s="219"/>
      <c r="I1135" s="219"/>
      <c r="J1135" s="219"/>
      <c r="K1135" s="219"/>
      <c r="L1135" s="219"/>
      <c r="M1135" s="219"/>
      <c r="N1135" s="219"/>
      <c r="O1135" s="219"/>
      <c r="P1135" s="219"/>
      <c r="Q1135" s="221"/>
    </row>
    <row r="1136" spans="2:17" x14ac:dyDescent="0.2">
      <c r="B1136" s="219"/>
      <c r="C1136" s="219"/>
      <c r="D1136" s="219"/>
      <c r="E1136" s="219"/>
      <c r="F1136" s="219"/>
      <c r="G1136" s="219"/>
      <c r="H1136" s="219"/>
      <c r="I1136" s="219"/>
      <c r="J1136" s="219"/>
      <c r="K1136" s="219"/>
      <c r="L1136" s="219"/>
      <c r="M1136" s="219"/>
      <c r="N1136" s="219"/>
      <c r="O1136" s="219"/>
      <c r="P1136" s="219"/>
      <c r="Q1136" s="221"/>
    </row>
    <row r="1137" spans="2:17" x14ac:dyDescent="0.2">
      <c r="B1137" s="219"/>
      <c r="C1137" s="219"/>
      <c r="D1137" s="219"/>
      <c r="E1137" s="219"/>
      <c r="F1137" s="219"/>
      <c r="G1137" s="219"/>
      <c r="H1137" s="219"/>
      <c r="I1137" s="219"/>
      <c r="J1137" s="219"/>
      <c r="K1137" s="219"/>
      <c r="L1137" s="219"/>
      <c r="M1137" s="219"/>
      <c r="N1137" s="219"/>
      <c r="O1137" s="219"/>
      <c r="P1137" s="219"/>
      <c r="Q1137" s="221"/>
    </row>
    <row r="1138" spans="2:17" x14ac:dyDescent="0.2">
      <c r="B1138" s="219"/>
      <c r="C1138" s="219"/>
      <c r="D1138" s="219"/>
      <c r="E1138" s="219"/>
      <c r="F1138" s="219"/>
      <c r="G1138" s="219"/>
      <c r="H1138" s="219"/>
      <c r="I1138" s="219"/>
      <c r="J1138" s="219"/>
      <c r="K1138" s="219"/>
      <c r="L1138" s="219"/>
      <c r="M1138" s="219"/>
      <c r="N1138" s="219"/>
      <c r="O1138" s="219"/>
      <c r="P1138" s="219"/>
      <c r="Q1138" s="221"/>
    </row>
    <row r="1139" spans="2:17" x14ac:dyDescent="0.2">
      <c r="B1139" s="219"/>
      <c r="C1139" s="219"/>
      <c r="D1139" s="219"/>
      <c r="E1139" s="219"/>
      <c r="F1139" s="219"/>
      <c r="G1139" s="219"/>
      <c r="H1139" s="219"/>
      <c r="I1139" s="219"/>
      <c r="J1139" s="219"/>
      <c r="K1139" s="219"/>
      <c r="L1139" s="219"/>
      <c r="M1139" s="219"/>
      <c r="N1139" s="219"/>
      <c r="O1139" s="219"/>
      <c r="P1139" s="219"/>
      <c r="Q1139" s="221"/>
    </row>
    <row r="1140" spans="2:17" x14ac:dyDescent="0.2">
      <c r="B1140" s="219"/>
      <c r="C1140" s="219"/>
      <c r="D1140" s="219"/>
      <c r="E1140" s="219"/>
      <c r="F1140" s="219"/>
      <c r="G1140" s="219"/>
      <c r="H1140" s="219"/>
      <c r="I1140" s="219"/>
      <c r="J1140" s="219"/>
      <c r="K1140" s="219"/>
      <c r="L1140" s="219"/>
      <c r="M1140" s="219"/>
      <c r="N1140" s="219"/>
      <c r="O1140" s="219"/>
      <c r="P1140" s="219"/>
      <c r="Q1140" s="221"/>
    </row>
    <row r="1141" spans="2:17" x14ac:dyDescent="0.2">
      <c r="B1141" s="219"/>
      <c r="C1141" s="219"/>
      <c r="D1141" s="219"/>
      <c r="E1141" s="219"/>
      <c r="F1141" s="219"/>
      <c r="G1141" s="219"/>
      <c r="H1141" s="219"/>
      <c r="I1141" s="219"/>
      <c r="J1141" s="219"/>
      <c r="K1141" s="219"/>
      <c r="L1141" s="219"/>
      <c r="M1141" s="219"/>
      <c r="N1141" s="219"/>
      <c r="O1141" s="219"/>
      <c r="P1141" s="219"/>
      <c r="Q1141" s="221"/>
    </row>
    <row r="1142" spans="2:17" x14ac:dyDescent="0.2">
      <c r="B1142" s="219"/>
      <c r="C1142" s="219"/>
      <c r="D1142" s="219"/>
      <c r="E1142" s="219"/>
      <c r="F1142" s="219"/>
      <c r="G1142" s="219"/>
      <c r="H1142" s="219"/>
      <c r="I1142" s="219"/>
      <c r="J1142" s="219"/>
      <c r="K1142" s="219"/>
      <c r="L1142" s="219"/>
      <c r="M1142" s="219"/>
      <c r="N1142" s="219"/>
      <c r="O1142" s="219"/>
      <c r="P1142" s="219"/>
      <c r="Q1142" s="221"/>
    </row>
    <row r="1143" spans="2:17" x14ac:dyDescent="0.2">
      <c r="B1143" s="219"/>
      <c r="C1143" s="219"/>
      <c r="D1143" s="219"/>
      <c r="E1143" s="219"/>
      <c r="F1143" s="219"/>
      <c r="G1143" s="219"/>
      <c r="H1143" s="219"/>
      <c r="I1143" s="219"/>
      <c r="J1143" s="219"/>
      <c r="K1143" s="219"/>
      <c r="L1143" s="219"/>
      <c r="M1143" s="219"/>
      <c r="N1143" s="219"/>
      <c r="O1143" s="219"/>
      <c r="P1143" s="219"/>
      <c r="Q1143" s="221"/>
    </row>
    <row r="1144" spans="2:17" x14ac:dyDescent="0.2">
      <c r="B1144" s="219"/>
      <c r="C1144" s="219"/>
      <c r="D1144" s="219"/>
      <c r="E1144" s="219"/>
      <c r="F1144" s="219"/>
      <c r="G1144" s="219"/>
      <c r="H1144" s="219"/>
      <c r="I1144" s="219"/>
      <c r="J1144" s="219"/>
      <c r="K1144" s="219"/>
      <c r="L1144" s="219"/>
      <c r="M1144" s="219"/>
      <c r="N1144" s="219"/>
      <c r="O1144" s="219"/>
      <c r="P1144" s="219"/>
      <c r="Q1144" s="221"/>
    </row>
    <row r="1145" spans="2:17" x14ac:dyDescent="0.2">
      <c r="B1145" s="219"/>
      <c r="C1145" s="219"/>
      <c r="D1145" s="219"/>
      <c r="E1145" s="219"/>
      <c r="F1145" s="219"/>
      <c r="G1145" s="219"/>
      <c r="H1145" s="219"/>
      <c r="I1145" s="219"/>
      <c r="J1145" s="219"/>
      <c r="K1145" s="219"/>
      <c r="L1145" s="219"/>
      <c r="M1145" s="219"/>
      <c r="N1145" s="219"/>
      <c r="O1145" s="219"/>
      <c r="P1145" s="219"/>
      <c r="Q1145" s="221"/>
    </row>
    <row r="1146" spans="2:17" x14ac:dyDescent="0.2">
      <c r="B1146" s="219"/>
      <c r="C1146" s="219"/>
      <c r="D1146" s="219"/>
      <c r="E1146" s="219"/>
      <c r="F1146" s="219"/>
      <c r="G1146" s="219"/>
      <c r="H1146" s="219"/>
      <c r="I1146" s="219"/>
      <c r="J1146" s="219"/>
      <c r="K1146" s="219"/>
      <c r="L1146" s="219"/>
      <c r="M1146" s="219"/>
      <c r="N1146" s="219"/>
      <c r="O1146" s="219"/>
      <c r="P1146" s="219"/>
      <c r="Q1146" s="221"/>
    </row>
    <row r="1147" spans="2:17" x14ac:dyDescent="0.2">
      <c r="B1147" s="219"/>
      <c r="C1147" s="219"/>
      <c r="D1147" s="219"/>
      <c r="E1147" s="219"/>
      <c r="F1147" s="219"/>
      <c r="G1147" s="219"/>
      <c r="H1147" s="219"/>
      <c r="I1147" s="219"/>
      <c r="J1147" s="219"/>
      <c r="K1147" s="219"/>
      <c r="L1147" s="219"/>
      <c r="M1147" s="219"/>
      <c r="N1147" s="219"/>
      <c r="O1147" s="219"/>
      <c r="P1147" s="219"/>
      <c r="Q1147" s="221"/>
    </row>
    <row r="1148" spans="2:17" x14ac:dyDescent="0.2">
      <c r="B1148" s="219"/>
      <c r="C1148" s="219"/>
      <c r="D1148" s="219"/>
      <c r="E1148" s="219"/>
      <c r="F1148" s="219"/>
      <c r="G1148" s="219"/>
      <c r="H1148" s="219"/>
      <c r="I1148" s="219"/>
      <c r="J1148" s="219"/>
      <c r="K1148" s="219"/>
      <c r="L1148" s="219"/>
      <c r="M1148" s="219"/>
      <c r="N1148" s="219"/>
      <c r="O1148" s="219"/>
      <c r="P1148" s="219"/>
      <c r="Q1148" s="221"/>
    </row>
    <row r="1149" spans="2:17" x14ac:dyDescent="0.2">
      <c r="B1149" s="219"/>
      <c r="C1149" s="219"/>
      <c r="D1149" s="219"/>
      <c r="E1149" s="219"/>
      <c r="F1149" s="219"/>
      <c r="G1149" s="219"/>
      <c r="H1149" s="219"/>
      <c r="I1149" s="219"/>
      <c r="J1149" s="219"/>
      <c r="K1149" s="219"/>
      <c r="L1149" s="219"/>
      <c r="M1149" s="219"/>
      <c r="N1149" s="219"/>
      <c r="O1149" s="219"/>
      <c r="P1149" s="219"/>
      <c r="Q1149" s="221"/>
    </row>
    <row r="1150" spans="2:17" x14ac:dyDescent="0.2">
      <c r="B1150" s="219"/>
      <c r="C1150" s="219"/>
      <c r="D1150" s="219"/>
      <c r="E1150" s="219"/>
      <c r="F1150" s="219"/>
      <c r="G1150" s="219"/>
      <c r="H1150" s="219"/>
      <c r="I1150" s="219"/>
      <c r="J1150" s="219"/>
      <c r="K1150" s="219"/>
      <c r="L1150" s="219"/>
      <c r="M1150" s="219"/>
      <c r="N1150" s="219"/>
      <c r="O1150" s="219"/>
      <c r="P1150" s="219"/>
      <c r="Q1150" s="221"/>
    </row>
    <row r="1151" spans="2:17" x14ac:dyDescent="0.2">
      <c r="B1151" s="219"/>
      <c r="C1151" s="219"/>
      <c r="D1151" s="219"/>
      <c r="E1151" s="219"/>
      <c r="F1151" s="219"/>
      <c r="G1151" s="219"/>
      <c r="H1151" s="219"/>
      <c r="I1151" s="219"/>
      <c r="J1151" s="219"/>
      <c r="K1151" s="219"/>
      <c r="L1151" s="219"/>
      <c r="M1151" s="219"/>
      <c r="N1151" s="219"/>
      <c r="O1151" s="219"/>
      <c r="P1151" s="219"/>
      <c r="Q1151" s="221"/>
    </row>
    <row r="1152" spans="2:17" x14ac:dyDescent="0.2">
      <c r="B1152" s="219"/>
      <c r="C1152" s="219"/>
      <c r="D1152" s="219"/>
      <c r="E1152" s="219"/>
      <c r="F1152" s="219"/>
      <c r="G1152" s="219"/>
      <c r="H1152" s="219"/>
      <c r="I1152" s="219"/>
      <c r="J1152" s="219"/>
      <c r="K1152" s="219"/>
      <c r="L1152" s="219"/>
      <c r="M1152" s="219"/>
      <c r="N1152" s="219"/>
      <c r="O1152" s="219"/>
      <c r="P1152" s="219"/>
      <c r="Q1152" s="221"/>
    </row>
    <row r="1153" spans="2:17" x14ac:dyDescent="0.2">
      <c r="B1153" s="219"/>
      <c r="C1153" s="219"/>
      <c r="D1153" s="219"/>
      <c r="E1153" s="219"/>
      <c r="F1153" s="219"/>
      <c r="G1153" s="219"/>
      <c r="H1153" s="219"/>
      <c r="I1153" s="219"/>
      <c r="J1153" s="219"/>
      <c r="K1153" s="219"/>
      <c r="L1153" s="219"/>
      <c r="M1153" s="219"/>
      <c r="N1153" s="219"/>
      <c r="O1153" s="219"/>
      <c r="P1153" s="219"/>
      <c r="Q1153" s="221"/>
    </row>
    <row r="1154" spans="2:17" x14ac:dyDescent="0.2">
      <c r="B1154" s="219"/>
      <c r="C1154" s="219"/>
      <c r="D1154" s="219"/>
      <c r="E1154" s="219"/>
      <c r="F1154" s="219"/>
      <c r="G1154" s="219"/>
      <c r="H1154" s="219"/>
      <c r="I1154" s="219"/>
      <c r="J1154" s="219"/>
      <c r="K1154" s="219"/>
      <c r="L1154" s="219"/>
      <c r="M1154" s="219"/>
      <c r="N1154" s="219"/>
      <c r="O1154" s="219"/>
      <c r="P1154" s="219"/>
      <c r="Q1154" s="221"/>
    </row>
    <row r="1155" spans="2:17" x14ac:dyDescent="0.2">
      <c r="B1155" s="219"/>
      <c r="C1155" s="219"/>
      <c r="D1155" s="219"/>
      <c r="E1155" s="219"/>
      <c r="F1155" s="219"/>
      <c r="G1155" s="219"/>
      <c r="H1155" s="219"/>
      <c r="I1155" s="219"/>
      <c r="J1155" s="219"/>
      <c r="K1155" s="219"/>
      <c r="L1155" s="219"/>
      <c r="M1155" s="219"/>
      <c r="N1155" s="219"/>
      <c r="O1155" s="219"/>
      <c r="P1155" s="219"/>
      <c r="Q1155" s="221"/>
    </row>
    <row r="1156" spans="2:17" x14ac:dyDescent="0.2">
      <c r="B1156" s="219"/>
      <c r="C1156" s="219"/>
      <c r="D1156" s="219"/>
      <c r="E1156" s="219"/>
      <c r="F1156" s="219"/>
      <c r="G1156" s="219"/>
      <c r="H1156" s="219"/>
      <c r="I1156" s="219"/>
      <c r="J1156" s="219"/>
      <c r="K1156" s="219"/>
      <c r="L1156" s="219"/>
      <c r="M1156" s="219"/>
      <c r="N1156" s="219"/>
      <c r="O1156" s="219"/>
      <c r="P1156" s="219"/>
      <c r="Q1156" s="221"/>
    </row>
    <row r="1157" spans="2:17" x14ac:dyDescent="0.2">
      <c r="B1157" s="219"/>
      <c r="C1157" s="219"/>
      <c r="D1157" s="219"/>
      <c r="E1157" s="219"/>
      <c r="F1157" s="219"/>
      <c r="G1157" s="219"/>
      <c r="H1157" s="219"/>
      <c r="I1157" s="219"/>
      <c r="J1157" s="219"/>
      <c r="K1157" s="219"/>
      <c r="L1157" s="219"/>
      <c r="M1157" s="219"/>
      <c r="N1157" s="219"/>
      <c r="O1157" s="219"/>
      <c r="P1157" s="219"/>
      <c r="Q1157" s="221"/>
    </row>
    <row r="1158" spans="2:17" x14ac:dyDescent="0.2">
      <c r="B1158" s="219"/>
      <c r="C1158" s="219"/>
      <c r="D1158" s="219"/>
      <c r="E1158" s="219"/>
      <c r="F1158" s="219"/>
      <c r="G1158" s="219"/>
      <c r="H1158" s="219"/>
      <c r="I1158" s="219"/>
      <c r="J1158" s="219"/>
      <c r="K1158" s="219"/>
      <c r="L1158" s="219"/>
      <c r="M1158" s="219"/>
      <c r="N1158" s="219"/>
      <c r="O1158" s="219"/>
      <c r="P1158" s="219"/>
      <c r="Q1158" s="221"/>
    </row>
    <row r="1159" spans="2:17" x14ac:dyDescent="0.2">
      <c r="B1159" s="219"/>
      <c r="C1159" s="219"/>
      <c r="D1159" s="219"/>
      <c r="E1159" s="219"/>
      <c r="F1159" s="219"/>
      <c r="G1159" s="219"/>
      <c r="H1159" s="219"/>
      <c r="I1159" s="219"/>
      <c r="J1159" s="219"/>
      <c r="K1159" s="219"/>
      <c r="L1159" s="219"/>
      <c r="M1159" s="219"/>
      <c r="N1159" s="219"/>
      <c r="O1159" s="219"/>
      <c r="P1159" s="219"/>
      <c r="Q1159" s="221"/>
    </row>
    <row r="1160" spans="2:17" x14ac:dyDescent="0.2">
      <c r="B1160" s="219"/>
      <c r="C1160" s="219"/>
      <c r="D1160" s="219"/>
      <c r="E1160" s="219"/>
      <c r="F1160" s="219"/>
      <c r="G1160" s="219"/>
      <c r="H1160" s="219"/>
      <c r="I1160" s="219"/>
      <c r="J1160" s="219"/>
      <c r="K1160" s="219"/>
      <c r="L1160" s="219"/>
      <c r="M1160" s="219"/>
      <c r="N1160" s="219"/>
      <c r="O1160" s="219"/>
      <c r="P1160" s="219"/>
      <c r="Q1160" s="221"/>
    </row>
    <row r="1161" spans="2:17" x14ac:dyDescent="0.2">
      <c r="B1161" s="219"/>
      <c r="C1161" s="219"/>
      <c r="D1161" s="219"/>
      <c r="E1161" s="219"/>
      <c r="F1161" s="219"/>
      <c r="G1161" s="219"/>
      <c r="H1161" s="219"/>
      <c r="I1161" s="219"/>
      <c r="J1161" s="219"/>
      <c r="K1161" s="219"/>
      <c r="L1161" s="219"/>
      <c r="M1161" s="219"/>
      <c r="N1161" s="219"/>
      <c r="O1161" s="219"/>
      <c r="P1161" s="219"/>
      <c r="Q1161" s="221"/>
    </row>
    <row r="1162" spans="2:17" x14ac:dyDescent="0.2">
      <c r="B1162" s="219"/>
      <c r="C1162" s="219"/>
      <c r="D1162" s="219"/>
      <c r="E1162" s="219"/>
      <c r="F1162" s="219"/>
      <c r="G1162" s="219"/>
      <c r="H1162" s="219"/>
      <c r="I1162" s="219"/>
      <c r="J1162" s="219"/>
      <c r="K1162" s="219"/>
      <c r="L1162" s="219"/>
      <c r="M1162" s="219"/>
      <c r="N1162" s="219"/>
      <c r="O1162" s="219"/>
      <c r="P1162" s="219"/>
      <c r="Q1162" s="221"/>
    </row>
    <row r="1163" spans="2:17" x14ac:dyDescent="0.2">
      <c r="B1163" s="219"/>
      <c r="C1163" s="219"/>
      <c r="D1163" s="219"/>
      <c r="E1163" s="219"/>
      <c r="F1163" s="219"/>
      <c r="G1163" s="219"/>
      <c r="H1163" s="219"/>
      <c r="I1163" s="219"/>
      <c r="J1163" s="219"/>
      <c r="K1163" s="219"/>
      <c r="L1163" s="219"/>
      <c r="M1163" s="219"/>
      <c r="N1163" s="219"/>
      <c r="O1163" s="219"/>
      <c r="P1163" s="219"/>
      <c r="Q1163" s="221"/>
    </row>
    <row r="1164" spans="2:17" x14ac:dyDescent="0.2">
      <c r="B1164" s="219"/>
      <c r="C1164" s="219"/>
      <c r="D1164" s="219"/>
      <c r="E1164" s="219"/>
      <c r="F1164" s="219"/>
      <c r="G1164" s="219"/>
      <c r="H1164" s="219"/>
      <c r="I1164" s="219"/>
      <c r="J1164" s="219"/>
      <c r="K1164" s="219"/>
      <c r="L1164" s="219"/>
      <c r="M1164" s="219"/>
      <c r="N1164" s="219"/>
      <c r="O1164" s="219"/>
      <c r="P1164" s="219"/>
      <c r="Q1164" s="221"/>
    </row>
    <row r="1165" spans="2:17" x14ac:dyDescent="0.2">
      <c r="B1165" s="219"/>
      <c r="C1165" s="219"/>
      <c r="D1165" s="219"/>
      <c r="E1165" s="219"/>
      <c r="F1165" s="219"/>
      <c r="G1165" s="219"/>
      <c r="H1165" s="219"/>
      <c r="I1165" s="219"/>
      <c r="J1165" s="219"/>
      <c r="K1165" s="219"/>
      <c r="L1165" s="219"/>
      <c r="M1165" s="219"/>
      <c r="N1165" s="219"/>
      <c r="O1165" s="219"/>
      <c r="P1165" s="219"/>
      <c r="Q1165" s="221"/>
    </row>
    <row r="1166" spans="2:17" x14ac:dyDescent="0.2">
      <c r="B1166" s="219"/>
      <c r="C1166" s="219"/>
      <c r="D1166" s="219"/>
      <c r="E1166" s="219"/>
      <c r="F1166" s="219"/>
      <c r="G1166" s="219"/>
      <c r="H1166" s="219"/>
      <c r="I1166" s="219"/>
      <c r="J1166" s="219"/>
      <c r="K1166" s="219"/>
      <c r="L1166" s="219"/>
      <c r="M1166" s="219"/>
      <c r="N1166" s="219"/>
      <c r="O1166" s="219"/>
      <c r="P1166" s="219"/>
      <c r="Q1166" s="221"/>
    </row>
    <row r="1167" spans="2:17" x14ac:dyDescent="0.2">
      <c r="B1167" s="219"/>
      <c r="C1167" s="219"/>
      <c r="D1167" s="219"/>
      <c r="E1167" s="219"/>
      <c r="F1167" s="219"/>
      <c r="G1167" s="219"/>
      <c r="H1167" s="219"/>
      <c r="I1167" s="219"/>
      <c r="J1167" s="219"/>
      <c r="K1167" s="219"/>
      <c r="L1167" s="219"/>
      <c r="M1167" s="219"/>
      <c r="N1167" s="219"/>
      <c r="O1167" s="219"/>
      <c r="P1167" s="219"/>
      <c r="Q1167" s="221"/>
    </row>
    <row r="1168" spans="2:17" x14ac:dyDescent="0.2">
      <c r="B1168" s="219"/>
      <c r="C1168" s="219"/>
      <c r="D1168" s="219"/>
      <c r="E1168" s="219"/>
      <c r="F1168" s="219"/>
      <c r="G1168" s="219"/>
      <c r="H1168" s="219"/>
      <c r="I1168" s="219"/>
      <c r="J1168" s="219"/>
      <c r="K1168" s="219"/>
      <c r="L1168" s="219"/>
      <c r="M1168" s="219"/>
      <c r="N1168" s="219"/>
      <c r="O1168" s="219"/>
      <c r="P1168" s="219"/>
      <c r="Q1168" s="221"/>
    </row>
    <row r="1169" spans="2:17" x14ac:dyDescent="0.2">
      <c r="B1169" s="219"/>
      <c r="C1169" s="219"/>
      <c r="D1169" s="219"/>
      <c r="E1169" s="219"/>
      <c r="F1169" s="219"/>
      <c r="G1169" s="219"/>
      <c r="H1169" s="219"/>
      <c r="I1169" s="219"/>
      <c r="J1169" s="219"/>
      <c r="K1169" s="219"/>
      <c r="L1169" s="219"/>
      <c r="M1169" s="219"/>
      <c r="N1169" s="219"/>
      <c r="O1169" s="219"/>
      <c r="P1169" s="219"/>
      <c r="Q1169" s="221"/>
    </row>
    <row r="1170" spans="2:17" x14ac:dyDescent="0.2">
      <c r="B1170" s="219"/>
      <c r="C1170" s="219"/>
      <c r="D1170" s="219"/>
      <c r="E1170" s="219"/>
      <c r="F1170" s="219"/>
      <c r="G1170" s="219"/>
      <c r="H1170" s="219"/>
      <c r="I1170" s="219"/>
      <c r="J1170" s="219"/>
      <c r="K1170" s="219"/>
      <c r="L1170" s="219"/>
      <c r="M1170" s="219"/>
      <c r="N1170" s="219"/>
      <c r="O1170" s="219"/>
      <c r="P1170" s="219"/>
      <c r="Q1170" s="221"/>
    </row>
    <row r="1171" spans="2:17" x14ac:dyDescent="0.2">
      <c r="B1171" s="219"/>
      <c r="C1171" s="219"/>
      <c r="D1171" s="219"/>
      <c r="E1171" s="219"/>
      <c r="F1171" s="219"/>
      <c r="G1171" s="219"/>
      <c r="H1171" s="219"/>
      <c r="I1171" s="219"/>
      <c r="J1171" s="219"/>
      <c r="K1171" s="219"/>
      <c r="L1171" s="219"/>
      <c r="M1171" s="219"/>
      <c r="N1171" s="219"/>
      <c r="O1171" s="219"/>
      <c r="P1171" s="219"/>
      <c r="Q1171" s="221"/>
    </row>
    <row r="1172" spans="2:17" x14ac:dyDescent="0.2">
      <c r="B1172" s="219"/>
      <c r="C1172" s="219"/>
      <c r="D1172" s="219"/>
      <c r="E1172" s="219"/>
      <c r="F1172" s="219"/>
      <c r="G1172" s="219"/>
      <c r="H1172" s="219"/>
      <c r="I1172" s="219"/>
      <c r="J1172" s="219"/>
      <c r="K1172" s="219"/>
      <c r="L1172" s="219"/>
      <c r="M1172" s="219"/>
      <c r="N1172" s="219"/>
      <c r="O1172" s="219"/>
      <c r="P1172" s="219"/>
      <c r="Q1172" s="221"/>
    </row>
    <row r="1173" spans="2:17" x14ac:dyDescent="0.2">
      <c r="B1173" s="219"/>
      <c r="C1173" s="219"/>
      <c r="D1173" s="219"/>
      <c r="E1173" s="219"/>
      <c r="F1173" s="219"/>
      <c r="G1173" s="219"/>
      <c r="H1173" s="219"/>
      <c r="I1173" s="219"/>
      <c r="J1173" s="219"/>
      <c r="K1173" s="219"/>
      <c r="L1173" s="219"/>
      <c r="M1173" s="219"/>
      <c r="N1173" s="219"/>
      <c r="O1173" s="219"/>
      <c r="P1173" s="219"/>
      <c r="Q1173" s="221"/>
    </row>
    <row r="1174" spans="2:17" x14ac:dyDescent="0.2">
      <c r="B1174" s="219"/>
      <c r="C1174" s="219"/>
      <c r="D1174" s="219"/>
      <c r="E1174" s="219"/>
      <c r="F1174" s="219"/>
      <c r="G1174" s="219"/>
      <c r="H1174" s="219"/>
      <c r="I1174" s="219"/>
      <c r="J1174" s="219"/>
      <c r="K1174" s="219"/>
      <c r="L1174" s="219"/>
      <c r="M1174" s="219"/>
      <c r="N1174" s="219"/>
      <c r="O1174" s="219"/>
      <c r="P1174" s="219"/>
      <c r="Q1174" s="221"/>
    </row>
    <row r="1175" spans="2:17" x14ac:dyDescent="0.2">
      <c r="B1175" s="219"/>
      <c r="C1175" s="219"/>
      <c r="D1175" s="219"/>
      <c r="E1175" s="219"/>
      <c r="F1175" s="219"/>
      <c r="G1175" s="219"/>
      <c r="H1175" s="219"/>
      <c r="I1175" s="219"/>
      <c r="J1175" s="219"/>
      <c r="K1175" s="219"/>
      <c r="L1175" s="219"/>
      <c r="M1175" s="219"/>
      <c r="N1175" s="219"/>
      <c r="O1175" s="219"/>
      <c r="P1175" s="219"/>
      <c r="Q1175" s="221"/>
    </row>
    <row r="1176" spans="2:17" x14ac:dyDescent="0.2">
      <c r="B1176" s="219"/>
      <c r="C1176" s="219"/>
      <c r="D1176" s="219"/>
      <c r="E1176" s="219"/>
      <c r="F1176" s="219"/>
      <c r="G1176" s="219"/>
      <c r="H1176" s="219"/>
      <c r="I1176" s="219"/>
      <c r="J1176" s="219"/>
      <c r="K1176" s="219"/>
      <c r="L1176" s="219"/>
      <c r="M1176" s="219"/>
      <c r="N1176" s="219"/>
      <c r="O1176" s="219"/>
      <c r="P1176" s="219"/>
      <c r="Q1176" s="221"/>
    </row>
    <row r="1177" spans="2:17" x14ac:dyDescent="0.2">
      <c r="B1177" s="219"/>
      <c r="C1177" s="219"/>
      <c r="D1177" s="219"/>
      <c r="E1177" s="219"/>
      <c r="F1177" s="219"/>
      <c r="G1177" s="219"/>
      <c r="H1177" s="219"/>
      <c r="I1177" s="219"/>
      <c r="J1177" s="219"/>
      <c r="K1177" s="219"/>
      <c r="L1177" s="219"/>
      <c r="M1177" s="219"/>
      <c r="N1177" s="219"/>
      <c r="O1177" s="219"/>
      <c r="P1177" s="219"/>
      <c r="Q1177" s="221"/>
    </row>
    <row r="1178" spans="2:17" x14ac:dyDescent="0.2">
      <c r="B1178" s="219"/>
      <c r="C1178" s="219"/>
      <c r="D1178" s="219"/>
      <c r="E1178" s="219"/>
      <c r="F1178" s="219"/>
      <c r="G1178" s="219"/>
      <c r="H1178" s="219"/>
      <c r="I1178" s="219"/>
      <c r="J1178" s="219"/>
      <c r="K1178" s="219"/>
      <c r="L1178" s="219"/>
      <c r="M1178" s="219"/>
      <c r="N1178" s="219"/>
      <c r="O1178" s="219"/>
      <c r="P1178" s="219"/>
      <c r="Q1178" s="221"/>
    </row>
    <row r="1179" spans="2:17" x14ac:dyDescent="0.2">
      <c r="B1179" s="219"/>
      <c r="C1179" s="219"/>
      <c r="D1179" s="219"/>
      <c r="E1179" s="219"/>
      <c r="F1179" s="219"/>
      <c r="G1179" s="219"/>
      <c r="H1179" s="219"/>
      <c r="I1179" s="219"/>
      <c r="J1179" s="219"/>
      <c r="K1179" s="219"/>
      <c r="L1179" s="219"/>
      <c r="M1179" s="219"/>
      <c r="N1179" s="219"/>
      <c r="O1179" s="219"/>
      <c r="P1179" s="219"/>
      <c r="Q1179" s="221"/>
    </row>
    <row r="1180" spans="2:17" x14ac:dyDescent="0.2">
      <c r="B1180" s="219"/>
      <c r="C1180" s="219"/>
      <c r="D1180" s="219"/>
      <c r="E1180" s="219"/>
      <c r="F1180" s="219"/>
      <c r="G1180" s="219"/>
      <c r="H1180" s="219"/>
      <c r="I1180" s="219"/>
      <c r="J1180" s="219"/>
      <c r="K1180" s="219"/>
      <c r="L1180" s="219"/>
      <c r="M1180" s="219"/>
      <c r="N1180" s="219"/>
      <c r="O1180" s="219"/>
      <c r="P1180" s="219"/>
      <c r="Q1180" s="221"/>
    </row>
    <row r="1181" spans="2:17" x14ac:dyDescent="0.2">
      <c r="B1181" s="219"/>
      <c r="C1181" s="219"/>
      <c r="D1181" s="219"/>
      <c r="E1181" s="219"/>
      <c r="F1181" s="219"/>
      <c r="G1181" s="219"/>
      <c r="H1181" s="219"/>
      <c r="I1181" s="219"/>
      <c r="J1181" s="219"/>
      <c r="K1181" s="219"/>
      <c r="L1181" s="219"/>
      <c r="M1181" s="219"/>
      <c r="N1181" s="219"/>
      <c r="O1181" s="219"/>
      <c r="P1181" s="219"/>
      <c r="Q1181" s="221"/>
    </row>
    <row r="1182" spans="2:17" x14ac:dyDescent="0.2">
      <c r="B1182" s="219"/>
      <c r="C1182" s="219"/>
      <c r="D1182" s="219"/>
      <c r="E1182" s="219"/>
      <c r="F1182" s="219"/>
      <c r="G1182" s="219"/>
      <c r="H1182" s="219"/>
      <c r="I1182" s="219"/>
      <c r="J1182" s="219"/>
      <c r="K1182" s="219"/>
      <c r="L1182" s="219"/>
      <c r="M1182" s="219"/>
      <c r="N1182" s="219"/>
      <c r="O1182" s="219"/>
      <c r="P1182" s="219"/>
      <c r="Q1182" s="221"/>
    </row>
    <row r="1183" spans="2:17" x14ac:dyDescent="0.2">
      <c r="B1183" s="219"/>
      <c r="C1183" s="219"/>
      <c r="D1183" s="219"/>
      <c r="E1183" s="219"/>
      <c r="F1183" s="219"/>
      <c r="G1183" s="219"/>
      <c r="H1183" s="219"/>
      <c r="I1183" s="219"/>
      <c r="J1183" s="219"/>
      <c r="K1183" s="219"/>
      <c r="L1183" s="219"/>
      <c r="M1183" s="219"/>
      <c r="N1183" s="219"/>
      <c r="O1183" s="219"/>
      <c r="P1183" s="219"/>
      <c r="Q1183" s="221"/>
    </row>
    <row r="1184" spans="2:17" x14ac:dyDescent="0.2">
      <c r="B1184" s="219"/>
      <c r="C1184" s="219"/>
      <c r="D1184" s="219"/>
      <c r="E1184" s="219"/>
      <c r="F1184" s="219"/>
      <c r="G1184" s="219"/>
      <c r="H1184" s="219"/>
      <c r="I1184" s="219"/>
      <c r="J1184" s="219"/>
      <c r="K1184" s="219"/>
      <c r="L1184" s="219"/>
      <c r="M1184" s="219"/>
      <c r="N1184" s="219"/>
      <c r="O1184" s="219"/>
      <c r="P1184" s="219"/>
      <c r="Q1184" s="221"/>
    </row>
    <row r="1185" spans="2:17" x14ac:dyDescent="0.2">
      <c r="B1185" s="219"/>
      <c r="C1185" s="219"/>
      <c r="D1185" s="219"/>
      <c r="E1185" s="219"/>
      <c r="F1185" s="219"/>
      <c r="G1185" s="219"/>
      <c r="H1185" s="219"/>
      <c r="I1185" s="219"/>
      <c r="J1185" s="219"/>
      <c r="K1185" s="219"/>
      <c r="L1185" s="219"/>
      <c r="M1185" s="219"/>
      <c r="N1185" s="219"/>
      <c r="O1185" s="219"/>
      <c r="P1185" s="219"/>
      <c r="Q1185" s="221"/>
    </row>
    <row r="1186" spans="2:17" x14ac:dyDescent="0.2">
      <c r="B1186" s="219"/>
      <c r="C1186" s="219"/>
      <c r="D1186" s="219"/>
      <c r="E1186" s="219"/>
      <c r="F1186" s="219"/>
      <c r="G1186" s="219"/>
      <c r="H1186" s="219"/>
      <c r="I1186" s="219"/>
      <c r="J1186" s="219"/>
      <c r="K1186" s="219"/>
      <c r="L1186" s="219"/>
      <c r="M1186" s="219"/>
      <c r="N1186" s="219"/>
      <c r="O1186" s="219"/>
      <c r="P1186" s="219"/>
      <c r="Q1186" s="221"/>
    </row>
    <row r="1187" spans="2:17" x14ac:dyDescent="0.2">
      <c r="B1187" s="219"/>
      <c r="C1187" s="219"/>
      <c r="D1187" s="219"/>
      <c r="E1187" s="219"/>
      <c r="F1187" s="219"/>
      <c r="G1187" s="219"/>
      <c r="H1187" s="219"/>
      <c r="I1187" s="219"/>
      <c r="J1187" s="219"/>
      <c r="K1187" s="219"/>
      <c r="L1187" s="219"/>
      <c r="M1187" s="219"/>
      <c r="N1187" s="219"/>
      <c r="O1187" s="219"/>
      <c r="P1187" s="219"/>
      <c r="Q1187" s="221"/>
    </row>
    <row r="1188" spans="2:17" x14ac:dyDescent="0.2">
      <c r="B1188" s="219"/>
      <c r="C1188" s="219"/>
      <c r="D1188" s="219"/>
      <c r="E1188" s="219"/>
      <c r="F1188" s="219"/>
      <c r="G1188" s="219"/>
      <c r="H1188" s="219"/>
      <c r="I1188" s="219"/>
      <c r="J1188" s="219"/>
      <c r="K1188" s="219"/>
      <c r="L1188" s="219"/>
      <c r="M1188" s="219"/>
      <c r="N1188" s="219"/>
      <c r="O1188" s="219"/>
      <c r="P1188" s="219"/>
      <c r="Q1188" s="221"/>
    </row>
    <row r="1189" spans="2:17" x14ac:dyDescent="0.2">
      <c r="B1189" s="219"/>
      <c r="C1189" s="219"/>
      <c r="D1189" s="219"/>
      <c r="E1189" s="219"/>
      <c r="F1189" s="219"/>
      <c r="G1189" s="219"/>
      <c r="H1189" s="219"/>
      <c r="I1189" s="219"/>
      <c r="J1189" s="219"/>
      <c r="K1189" s="219"/>
      <c r="L1189" s="219"/>
      <c r="M1189" s="219"/>
      <c r="N1189" s="219"/>
      <c r="O1189" s="219"/>
      <c r="P1189" s="219"/>
      <c r="Q1189" s="221"/>
    </row>
    <row r="1190" spans="2:17" x14ac:dyDescent="0.2">
      <c r="B1190" s="219"/>
      <c r="C1190" s="219"/>
      <c r="D1190" s="219"/>
      <c r="E1190" s="219"/>
      <c r="F1190" s="219"/>
      <c r="G1190" s="219"/>
      <c r="H1190" s="219"/>
      <c r="I1190" s="219"/>
      <c r="J1190" s="219"/>
      <c r="K1190" s="219"/>
      <c r="L1190" s="219"/>
      <c r="M1190" s="219"/>
      <c r="N1190" s="219"/>
      <c r="O1190" s="219"/>
      <c r="P1190" s="219"/>
      <c r="Q1190" s="221"/>
    </row>
    <row r="1191" spans="2:17" x14ac:dyDescent="0.2">
      <c r="B1191" s="219"/>
      <c r="C1191" s="219"/>
      <c r="D1191" s="219"/>
      <c r="E1191" s="219"/>
      <c r="F1191" s="219"/>
      <c r="G1191" s="219"/>
      <c r="H1191" s="219"/>
      <c r="I1191" s="219"/>
      <c r="J1191" s="219"/>
      <c r="K1191" s="219"/>
      <c r="L1191" s="219"/>
      <c r="M1191" s="219"/>
      <c r="N1191" s="219"/>
      <c r="O1191" s="219"/>
      <c r="P1191" s="219"/>
      <c r="Q1191" s="221"/>
    </row>
    <row r="1192" spans="2:17" x14ac:dyDescent="0.2">
      <c r="B1192" s="219"/>
      <c r="C1192" s="219"/>
      <c r="D1192" s="219"/>
      <c r="E1192" s="219"/>
      <c r="F1192" s="219"/>
      <c r="G1192" s="219"/>
      <c r="H1192" s="219"/>
      <c r="I1192" s="219"/>
      <c r="J1192" s="219"/>
      <c r="K1192" s="219"/>
      <c r="L1192" s="219"/>
      <c r="M1192" s="219"/>
      <c r="N1192" s="219"/>
      <c r="O1192" s="219"/>
      <c r="P1192" s="219"/>
      <c r="Q1192" s="221"/>
    </row>
    <row r="1193" spans="2:17" x14ac:dyDescent="0.2">
      <c r="B1193" s="219"/>
      <c r="C1193" s="219"/>
      <c r="D1193" s="219"/>
      <c r="E1193" s="219"/>
      <c r="F1193" s="219"/>
      <c r="G1193" s="219"/>
      <c r="H1193" s="219"/>
      <c r="I1193" s="219"/>
      <c r="J1193" s="219"/>
      <c r="K1193" s="219"/>
      <c r="L1193" s="219"/>
      <c r="M1193" s="219"/>
      <c r="N1193" s="219"/>
      <c r="O1193" s="219"/>
      <c r="P1193" s="219"/>
      <c r="Q1193" s="221"/>
    </row>
    <row r="1194" spans="2:17" x14ac:dyDescent="0.2">
      <c r="B1194" s="219"/>
      <c r="C1194" s="219"/>
      <c r="D1194" s="219"/>
      <c r="E1194" s="219"/>
      <c r="F1194" s="219"/>
      <c r="G1194" s="219"/>
      <c r="H1194" s="219"/>
      <c r="I1194" s="219"/>
      <c r="J1194" s="219"/>
      <c r="K1194" s="219"/>
      <c r="L1194" s="219"/>
      <c r="M1194" s="219"/>
      <c r="N1194" s="219"/>
      <c r="O1194" s="219"/>
      <c r="P1194" s="219"/>
      <c r="Q1194" s="221"/>
    </row>
    <row r="1195" spans="2:17" x14ac:dyDescent="0.2">
      <c r="B1195" s="219"/>
      <c r="C1195" s="219"/>
      <c r="D1195" s="219"/>
      <c r="E1195" s="219"/>
      <c r="F1195" s="219"/>
      <c r="G1195" s="219"/>
      <c r="H1195" s="219"/>
      <c r="I1195" s="219"/>
      <c r="J1195" s="219"/>
      <c r="K1195" s="219"/>
      <c r="L1195" s="219"/>
      <c r="M1195" s="219"/>
      <c r="N1195" s="219"/>
      <c r="O1195" s="219"/>
      <c r="P1195" s="219"/>
      <c r="Q1195" s="221"/>
    </row>
    <row r="1196" spans="2:17" x14ac:dyDescent="0.2">
      <c r="B1196" s="219"/>
      <c r="C1196" s="219"/>
      <c r="D1196" s="219"/>
      <c r="E1196" s="219"/>
      <c r="F1196" s="219"/>
      <c r="G1196" s="219"/>
      <c r="H1196" s="219"/>
      <c r="I1196" s="219"/>
      <c r="J1196" s="219"/>
      <c r="K1196" s="219"/>
      <c r="L1196" s="219"/>
      <c r="M1196" s="219"/>
      <c r="N1196" s="219"/>
      <c r="O1196" s="219"/>
      <c r="P1196" s="219"/>
      <c r="Q1196" s="221"/>
    </row>
    <row r="1197" spans="2:17" x14ac:dyDescent="0.2">
      <c r="B1197" s="219"/>
      <c r="C1197" s="219"/>
      <c r="D1197" s="219"/>
      <c r="E1197" s="219"/>
      <c r="F1197" s="219"/>
      <c r="G1197" s="219"/>
      <c r="H1197" s="219"/>
      <c r="I1197" s="219"/>
      <c r="J1197" s="219"/>
      <c r="K1197" s="219"/>
      <c r="L1197" s="219"/>
      <c r="M1197" s="219"/>
      <c r="N1197" s="219"/>
      <c r="O1197" s="219"/>
      <c r="P1197" s="219"/>
      <c r="Q1197" s="221"/>
    </row>
    <row r="1198" spans="2:17" x14ac:dyDescent="0.2">
      <c r="B1198" s="219"/>
      <c r="C1198" s="219"/>
      <c r="D1198" s="219"/>
      <c r="E1198" s="219"/>
      <c r="F1198" s="219"/>
      <c r="G1198" s="219"/>
      <c r="H1198" s="219"/>
      <c r="I1198" s="219"/>
      <c r="J1198" s="219"/>
      <c r="K1198" s="219"/>
      <c r="L1198" s="219"/>
      <c r="M1198" s="219"/>
      <c r="N1198" s="219"/>
      <c r="O1198" s="219"/>
      <c r="P1198" s="219"/>
      <c r="Q1198" s="221"/>
    </row>
    <row r="1199" spans="2:17" x14ac:dyDescent="0.2">
      <c r="B1199" s="219"/>
      <c r="C1199" s="219"/>
      <c r="D1199" s="219"/>
      <c r="E1199" s="219"/>
      <c r="F1199" s="219"/>
      <c r="G1199" s="219"/>
      <c r="H1199" s="219"/>
      <c r="I1199" s="219"/>
      <c r="J1199" s="219"/>
      <c r="K1199" s="219"/>
      <c r="L1199" s="219"/>
      <c r="M1199" s="219"/>
      <c r="N1199" s="219"/>
      <c r="O1199" s="219"/>
      <c r="P1199" s="219"/>
      <c r="Q1199" s="221"/>
    </row>
    <row r="1200" spans="2:17" x14ac:dyDescent="0.2">
      <c r="B1200" s="219"/>
      <c r="C1200" s="219"/>
      <c r="D1200" s="219"/>
      <c r="E1200" s="219"/>
      <c r="F1200" s="219"/>
      <c r="G1200" s="219"/>
      <c r="H1200" s="219"/>
      <c r="I1200" s="219"/>
      <c r="J1200" s="219"/>
      <c r="K1200" s="219"/>
      <c r="L1200" s="219"/>
      <c r="M1200" s="219"/>
      <c r="N1200" s="219"/>
      <c r="O1200" s="219"/>
      <c r="P1200" s="219"/>
      <c r="Q1200" s="221"/>
    </row>
    <row r="1201" spans="2:17" x14ac:dyDescent="0.2">
      <c r="B1201" s="219"/>
      <c r="C1201" s="219"/>
      <c r="D1201" s="219"/>
      <c r="E1201" s="219"/>
      <c r="F1201" s="219"/>
      <c r="G1201" s="219"/>
      <c r="H1201" s="219"/>
      <c r="I1201" s="219"/>
      <c r="J1201" s="219"/>
      <c r="K1201" s="219"/>
      <c r="L1201" s="219"/>
      <c r="M1201" s="219"/>
      <c r="N1201" s="219"/>
      <c r="O1201" s="219"/>
      <c r="P1201" s="219"/>
      <c r="Q1201" s="221"/>
    </row>
    <row r="1202" spans="2:17" x14ac:dyDescent="0.2">
      <c r="B1202" s="219"/>
      <c r="C1202" s="219"/>
      <c r="D1202" s="219"/>
      <c r="E1202" s="219"/>
      <c r="F1202" s="219"/>
      <c r="G1202" s="219"/>
      <c r="H1202" s="219"/>
      <c r="I1202" s="219"/>
      <c r="J1202" s="219"/>
      <c r="K1202" s="219"/>
      <c r="L1202" s="219"/>
      <c r="M1202" s="219"/>
      <c r="N1202" s="219"/>
      <c r="O1202" s="219"/>
      <c r="P1202" s="219"/>
      <c r="Q1202" s="221"/>
    </row>
    <row r="1203" spans="2:17" x14ac:dyDescent="0.2">
      <c r="B1203" s="219"/>
      <c r="C1203" s="219"/>
      <c r="D1203" s="219"/>
      <c r="E1203" s="219"/>
      <c r="F1203" s="219"/>
      <c r="G1203" s="219"/>
      <c r="H1203" s="219"/>
      <c r="I1203" s="219"/>
      <c r="J1203" s="219"/>
      <c r="K1203" s="219"/>
      <c r="L1203" s="219"/>
      <c r="M1203" s="219"/>
      <c r="N1203" s="219"/>
      <c r="O1203" s="219"/>
      <c r="P1203" s="219"/>
      <c r="Q1203" s="221"/>
    </row>
    <row r="1204" spans="2:17" x14ac:dyDescent="0.2">
      <c r="B1204" s="219"/>
      <c r="C1204" s="219"/>
      <c r="D1204" s="219"/>
      <c r="E1204" s="219"/>
      <c r="F1204" s="219"/>
      <c r="G1204" s="219"/>
      <c r="H1204" s="219"/>
      <c r="I1204" s="219"/>
      <c r="J1204" s="219"/>
      <c r="K1204" s="219"/>
      <c r="L1204" s="219"/>
      <c r="M1204" s="219"/>
      <c r="N1204" s="219"/>
      <c r="O1204" s="219"/>
      <c r="P1204" s="219"/>
      <c r="Q1204" s="221"/>
    </row>
    <row r="1205" spans="2:17" x14ac:dyDescent="0.2">
      <c r="B1205" s="219"/>
      <c r="C1205" s="219"/>
      <c r="D1205" s="219"/>
      <c r="E1205" s="219"/>
      <c r="F1205" s="219"/>
      <c r="G1205" s="219"/>
      <c r="H1205" s="219"/>
      <c r="I1205" s="219"/>
      <c r="J1205" s="219"/>
      <c r="K1205" s="219"/>
      <c r="L1205" s="219"/>
      <c r="M1205" s="219"/>
      <c r="N1205" s="219"/>
      <c r="O1205" s="219"/>
      <c r="P1205" s="219"/>
      <c r="Q1205" s="221"/>
    </row>
    <row r="1206" spans="2:17" x14ac:dyDescent="0.2">
      <c r="B1206" s="219"/>
      <c r="C1206" s="219"/>
      <c r="D1206" s="219"/>
      <c r="E1206" s="219"/>
      <c r="F1206" s="219"/>
      <c r="G1206" s="219"/>
      <c r="H1206" s="219"/>
      <c r="I1206" s="219"/>
      <c r="J1206" s="219"/>
      <c r="K1206" s="219"/>
      <c r="L1206" s="219"/>
      <c r="M1206" s="219"/>
      <c r="N1206" s="219"/>
      <c r="O1206" s="219"/>
      <c r="P1206" s="219"/>
      <c r="Q1206" s="221"/>
    </row>
    <row r="1207" spans="2:17" x14ac:dyDescent="0.2">
      <c r="B1207" s="219"/>
      <c r="C1207" s="219"/>
      <c r="D1207" s="219"/>
      <c r="E1207" s="219"/>
      <c r="F1207" s="219"/>
      <c r="G1207" s="219"/>
      <c r="H1207" s="219"/>
      <c r="I1207" s="219"/>
      <c r="J1207" s="219"/>
      <c r="K1207" s="219"/>
      <c r="L1207" s="219"/>
      <c r="M1207" s="219"/>
      <c r="N1207" s="219"/>
      <c r="O1207" s="219"/>
      <c r="P1207" s="219"/>
      <c r="Q1207" s="221"/>
    </row>
    <row r="1208" spans="2:17" x14ac:dyDescent="0.2">
      <c r="B1208" s="219"/>
      <c r="C1208" s="219"/>
      <c r="D1208" s="219"/>
      <c r="E1208" s="219"/>
      <c r="F1208" s="219"/>
      <c r="G1208" s="219"/>
      <c r="H1208" s="219"/>
      <c r="I1208" s="219"/>
      <c r="J1208" s="219"/>
      <c r="K1208" s="219"/>
      <c r="L1208" s="219"/>
      <c r="M1208" s="219"/>
      <c r="N1208" s="219"/>
      <c r="O1208" s="219"/>
      <c r="P1208" s="219"/>
      <c r="Q1208" s="221"/>
    </row>
    <row r="1209" spans="2:17" x14ac:dyDescent="0.2">
      <c r="B1209" s="219"/>
      <c r="C1209" s="219"/>
      <c r="D1209" s="219"/>
      <c r="E1209" s="219"/>
      <c r="F1209" s="219"/>
      <c r="G1209" s="219"/>
      <c r="H1209" s="219"/>
      <c r="I1209" s="219"/>
      <c r="J1209" s="219"/>
      <c r="K1209" s="219"/>
      <c r="L1209" s="219"/>
      <c r="M1209" s="219"/>
      <c r="N1209" s="219"/>
      <c r="O1209" s="219"/>
      <c r="P1209" s="219"/>
      <c r="Q1209" s="221"/>
    </row>
    <row r="1210" spans="2:17" x14ac:dyDescent="0.2">
      <c r="B1210" s="219"/>
      <c r="C1210" s="219"/>
      <c r="D1210" s="219"/>
      <c r="E1210" s="219"/>
      <c r="F1210" s="219"/>
      <c r="G1210" s="219"/>
      <c r="H1210" s="219"/>
      <c r="I1210" s="219"/>
      <c r="J1210" s="219"/>
      <c r="K1210" s="219"/>
      <c r="L1210" s="219"/>
      <c r="M1210" s="219"/>
      <c r="N1210" s="219"/>
      <c r="O1210" s="219"/>
      <c r="P1210" s="219"/>
      <c r="Q1210" s="221"/>
    </row>
    <row r="1211" spans="2:17" x14ac:dyDescent="0.2">
      <c r="B1211" s="219"/>
      <c r="C1211" s="219"/>
      <c r="D1211" s="219"/>
      <c r="E1211" s="219"/>
      <c r="F1211" s="219"/>
      <c r="G1211" s="219"/>
      <c r="H1211" s="219"/>
      <c r="I1211" s="219"/>
      <c r="J1211" s="219"/>
      <c r="K1211" s="219"/>
      <c r="L1211" s="219"/>
      <c r="M1211" s="219"/>
      <c r="N1211" s="219"/>
      <c r="O1211" s="219"/>
      <c r="P1211" s="219"/>
      <c r="Q1211" s="221"/>
    </row>
    <row r="1212" spans="2:17" x14ac:dyDescent="0.2">
      <c r="B1212" s="219"/>
      <c r="C1212" s="219"/>
      <c r="D1212" s="219"/>
      <c r="E1212" s="219"/>
      <c r="F1212" s="219"/>
      <c r="G1212" s="219"/>
      <c r="H1212" s="219"/>
      <c r="I1212" s="219"/>
      <c r="J1212" s="219"/>
      <c r="K1212" s="219"/>
      <c r="L1212" s="219"/>
      <c r="M1212" s="219"/>
      <c r="N1212" s="219"/>
      <c r="O1212" s="219"/>
      <c r="P1212" s="219"/>
      <c r="Q1212" s="221"/>
    </row>
    <row r="1213" spans="2:17" x14ac:dyDescent="0.2">
      <c r="B1213" s="219"/>
      <c r="C1213" s="219"/>
      <c r="D1213" s="219"/>
      <c r="E1213" s="219"/>
      <c r="F1213" s="219"/>
      <c r="G1213" s="219"/>
      <c r="H1213" s="219"/>
      <c r="I1213" s="219"/>
      <c r="J1213" s="219"/>
      <c r="K1213" s="219"/>
      <c r="L1213" s="219"/>
      <c r="M1213" s="219"/>
      <c r="N1213" s="219"/>
      <c r="O1213" s="219"/>
      <c r="P1213" s="219"/>
      <c r="Q1213" s="221"/>
    </row>
    <row r="1214" spans="2:17" x14ac:dyDescent="0.2">
      <c r="B1214" s="219"/>
      <c r="C1214" s="219"/>
      <c r="D1214" s="219"/>
      <c r="E1214" s="219"/>
      <c r="F1214" s="219"/>
      <c r="G1214" s="219"/>
      <c r="H1214" s="219"/>
      <c r="I1214" s="219"/>
      <c r="J1214" s="219"/>
      <c r="K1214" s="219"/>
      <c r="L1214" s="219"/>
      <c r="M1214" s="219"/>
      <c r="N1214" s="219"/>
      <c r="O1214" s="219"/>
      <c r="P1214" s="219"/>
      <c r="Q1214" s="221"/>
    </row>
    <row r="1215" spans="2:17" x14ac:dyDescent="0.2">
      <c r="B1215" s="219"/>
      <c r="C1215" s="219"/>
      <c r="D1215" s="219"/>
      <c r="E1215" s="219"/>
      <c r="F1215" s="219"/>
      <c r="G1215" s="219"/>
      <c r="H1215" s="219"/>
      <c r="I1215" s="219"/>
      <c r="J1215" s="219"/>
      <c r="K1215" s="219"/>
      <c r="L1215" s="219"/>
      <c r="M1215" s="219"/>
      <c r="N1215" s="219"/>
      <c r="O1215" s="219"/>
      <c r="P1215" s="219"/>
      <c r="Q1215" s="221"/>
    </row>
    <row r="1216" spans="2:17" x14ac:dyDescent="0.2">
      <c r="B1216" s="219"/>
      <c r="C1216" s="219"/>
      <c r="D1216" s="219"/>
      <c r="E1216" s="219"/>
      <c r="F1216" s="219"/>
      <c r="G1216" s="219"/>
      <c r="H1216" s="219"/>
      <c r="I1216" s="219"/>
      <c r="J1216" s="219"/>
      <c r="K1216" s="219"/>
      <c r="L1216" s="219"/>
      <c r="M1216" s="219"/>
      <c r="N1216" s="219"/>
      <c r="O1216" s="219"/>
      <c r="P1216" s="219"/>
      <c r="Q1216" s="221"/>
    </row>
    <row r="1217" spans="2:17" x14ac:dyDescent="0.2">
      <c r="B1217" s="219"/>
      <c r="C1217" s="219"/>
      <c r="D1217" s="219"/>
      <c r="E1217" s="219"/>
      <c r="F1217" s="219"/>
      <c r="G1217" s="219"/>
      <c r="H1217" s="219"/>
      <c r="I1217" s="219"/>
      <c r="J1217" s="219"/>
      <c r="K1217" s="219"/>
      <c r="L1217" s="219"/>
      <c r="M1217" s="219"/>
      <c r="N1217" s="219"/>
      <c r="O1217" s="219"/>
      <c r="P1217" s="219"/>
      <c r="Q1217" s="221"/>
    </row>
    <row r="1218" spans="2:17" x14ac:dyDescent="0.2">
      <c r="B1218" s="219"/>
      <c r="C1218" s="219"/>
      <c r="D1218" s="219"/>
      <c r="E1218" s="219"/>
      <c r="F1218" s="219"/>
      <c r="G1218" s="219"/>
      <c r="H1218" s="219"/>
      <c r="I1218" s="219"/>
      <c r="J1218" s="219"/>
      <c r="K1218" s="219"/>
      <c r="L1218" s="219"/>
      <c r="M1218" s="219"/>
      <c r="N1218" s="219"/>
      <c r="O1218" s="219"/>
      <c r="P1218" s="219"/>
      <c r="Q1218" s="221"/>
    </row>
    <row r="1219" spans="2:17" x14ac:dyDescent="0.2">
      <c r="B1219" s="219"/>
      <c r="C1219" s="219"/>
      <c r="D1219" s="219"/>
      <c r="E1219" s="219"/>
      <c r="F1219" s="219"/>
      <c r="G1219" s="219"/>
      <c r="H1219" s="219"/>
      <c r="I1219" s="219"/>
      <c r="J1219" s="219"/>
      <c r="K1219" s="219"/>
      <c r="L1219" s="219"/>
      <c r="M1219" s="219"/>
      <c r="N1219" s="219"/>
      <c r="O1219" s="219"/>
      <c r="P1219" s="219"/>
      <c r="Q1219" s="221"/>
    </row>
    <row r="1220" spans="2:17" x14ac:dyDescent="0.2">
      <c r="B1220" s="219"/>
      <c r="C1220" s="219"/>
      <c r="D1220" s="219"/>
      <c r="E1220" s="219"/>
      <c r="F1220" s="219"/>
      <c r="G1220" s="219"/>
      <c r="H1220" s="219"/>
      <c r="I1220" s="219"/>
      <c r="J1220" s="219"/>
      <c r="K1220" s="219"/>
      <c r="L1220" s="219"/>
      <c r="M1220" s="219"/>
      <c r="N1220" s="219"/>
      <c r="O1220" s="219"/>
      <c r="P1220" s="219"/>
      <c r="Q1220" s="221"/>
    </row>
    <row r="1221" spans="2:17" x14ac:dyDescent="0.2">
      <c r="B1221" s="219"/>
      <c r="C1221" s="219"/>
      <c r="D1221" s="219"/>
      <c r="E1221" s="219"/>
      <c r="F1221" s="219"/>
      <c r="G1221" s="219"/>
      <c r="H1221" s="219"/>
      <c r="I1221" s="219"/>
      <c r="J1221" s="219"/>
      <c r="K1221" s="219"/>
      <c r="L1221" s="219"/>
      <c r="M1221" s="219"/>
      <c r="N1221" s="219"/>
      <c r="O1221" s="219"/>
      <c r="P1221" s="219"/>
      <c r="Q1221" s="221"/>
    </row>
    <row r="1222" spans="2:17" x14ac:dyDescent="0.2">
      <c r="B1222" s="219"/>
      <c r="C1222" s="219"/>
      <c r="D1222" s="219"/>
      <c r="E1222" s="219"/>
      <c r="F1222" s="219"/>
      <c r="G1222" s="219"/>
      <c r="H1222" s="219"/>
      <c r="I1222" s="219"/>
      <c r="J1222" s="219"/>
      <c r="K1222" s="219"/>
      <c r="L1222" s="219"/>
      <c r="M1222" s="219"/>
      <c r="N1222" s="219"/>
      <c r="O1222" s="219"/>
      <c r="P1222" s="219"/>
      <c r="Q1222" s="221"/>
    </row>
    <row r="1223" spans="2:17" x14ac:dyDescent="0.2">
      <c r="B1223" s="219"/>
      <c r="C1223" s="219"/>
      <c r="D1223" s="219"/>
      <c r="E1223" s="219"/>
      <c r="F1223" s="219"/>
      <c r="G1223" s="219"/>
      <c r="H1223" s="219"/>
      <c r="I1223" s="219"/>
      <c r="J1223" s="219"/>
      <c r="K1223" s="219"/>
      <c r="L1223" s="219"/>
      <c r="M1223" s="219"/>
      <c r="N1223" s="219"/>
      <c r="O1223" s="219"/>
      <c r="P1223" s="219"/>
      <c r="Q1223" s="221"/>
    </row>
    <row r="1224" spans="2:17" x14ac:dyDescent="0.2">
      <c r="B1224" s="219"/>
      <c r="C1224" s="219"/>
      <c r="D1224" s="219"/>
      <c r="E1224" s="219"/>
      <c r="F1224" s="219"/>
      <c r="G1224" s="219"/>
      <c r="H1224" s="219"/>
      <c r="I1224" s="219"/>
      <c r="J1224" s="219"/>
      <c r="K1224" s="219"/>
      <c r="L1224" s="219"/>
      <c r="M1224" s="219"/>
      <c r="N1224" s="219"/>
      <c r="O1224" s="219"/>
      <c r="P1224" s="219"/>
      <c r="Q1224" s="221"/>
    </row>
    <row r="1225" spans="2:17" x14ac:dyDescent="0.2">
      <c r="B1225" s="219"/>
      <c r="C1225" s="219"/>
      <c r="D1225" s="219"/>
      <c r="E1225" s="219"/>
      <c r="F1225" s="219"/>
      <c r="G1225" s="219"/>
      <c r="H1225" s="219"/>
      <c r="I1225" s="219"/>
      <c r="J1225" s="219"/>
      <c r="K1225" s="219"/>
      <c r="L1225" s="219"/>
      <c r="M1225" s="219"/>
      <c r="N1225" s="219"/>
      <c r="O1225" s="219"/>
      <c r="P1225" s="219"/>
      <c r="Q1225" s="221"/>
    </row>
    <row r="1226" spans="2:17" x14ac:dyDescent="0.2">
      <c r="B1226" s="219"/>
      <c r="C1226" s="219"/>
      <c r="D1226" s="219"/>
      <c r="E1226" s="219"/>
      <c r="F1226" s="219"/>
      <c r="G1226" s="219"/>
      <c r="H1226" s="219"/>
      <c r="I1226" s="219"/>
      <c r="J1226" s="219"/>
      <c r="K1226" s="219"/>
      <c r="L1226" s="219"/>
      <c r="M1226" s="219"/>
      <c r="N1226" s="219"/>
      <c r="O1226" s="219"/>
      <c r="P1226" s="219"/>
      <c r="Q1226" s="221"/>
    </row>
    <row r="1227" spans="2:17" x14ac:dyDescent="0.2">
      <c r="B1227" s="219"/>
      <c r="C1227" s="219"/>
      <c r="D1227" s="219"/>
      <c r="E1227" s="219"/>
      <c r="F1227" s="219"/>
      <c r="G1227" s="219"/>
      <c r="H1227" s="219"/>
      <c r="I1227" s="219"/>
      <c r="J1227" s="219"/>
      <c r="K1227" s="219"/>
      <c r="L1227" s="219"/>
      <c r="M1227" s="219"/>
      <c r="N1227" s="219"/>
      <c r="O1227" s="219"/>
      <c r="P1227" s="219"/>
      <c r="Q1227" s="221"/>
    </row>
    <row r="1228" spans="2:17" x14ac:dyDescent="0.2">
      <c r="B1228" s="219"/>
      <c r="C1228" s="219"/>
      <c r="D1228" s="219"/>
      <c r="E1228" s="219"/>
      <c r="F1228" s="219"/>
      <c r="G1228" s="219"/>
      <c r="H1228" s="219"/>
      <c r="I1228" s="219"/>
      <c r="J1228" s="219"/>
      <c r="K1228" s="219"/>
      <c r="L1228" s="219"/>
      <c r="M1228" s="219"/>
      <c r="N1228" s="219"/>
      <c r="O1228" s="219"/>
      <c r="P1228" s="219"/>
      <c r="Q1228" s="221"/>
    </row>
    <row r="1229" spans="2:17" x14ac:dyDescent="0.2">
      <c r="B1229" s="219"/>
      <c r="C1229" s="219"/>
      <c r="D1229" s="219"/>
      <c r="E1229" s="219"/>
      <c r="F1229" s="219"/>
      <c r="G1229" s="219"/>
      <c r="H1229" s="219"/>
      <c r="I1229" s="219"/>
      <c r="J1229" s="219"/>
      <c r="K1229" s="219"/>
      <c r="L1229" s="219"/>
      <c r="M1229" s="219"/>
      <c r="N1229" s="219"/>
      <c r="O1229" s="219"/>
      <c r="P1229" s="219"/>
      <c r="Q1229" s="221"/>
    </row>
    <row r="1230" spans="2:17" x14ac:dyDescent="0.2">
      <c r="B1230" s="219"/>
      <c r="C1230" s="219"/>
      <c r="D1230" s="219"/>
      <c r="E1230" s="219"/>
      <c r="F1230" s="219"/>
      <c r="G1230" s="219"/>
      <c r="H1230" s="219"/>
      <c r="I1230" s="219"/>
      <c r="J1230" s="219"/>
      <c r="K1230" s="219"/>
      <c r="L1230" s="219"/>
      <c r="M1230" s="219"/>
      <c r="N1230" s="219"/>
      <c r="O1230" s="219"/>
      <c r="P1230" s="219"/>
      <c r="Q1230" s="221"/>
    </row>
    <row r="1231" spans="2:17" x14ac:dyDescent="0.2">
      <c r="B1231" s="219"/>
      <c r="C1231" s="219"/>
      <c r="D1231" s="219"/>
      <c r="E1231" s="219"/>
      <c r="F1231" s="219"/>
      <c r="G1231" s="219"/>
      <c r="H1231" s="219"/>
      <c r="I1231" s="219"/>
      <c r="J1231" s="219"/>
      <c r="K1231" s="219"/>
      <c r="L1231" s="219"/>
      <c r="M1231" s="219"/>
      <c r="N1231" s="219"/>
      <c r="O1231" s="219"/>
      <c r="P1231" s="219"/>
      <c r="Q1231" s="221"/>
    </row>
    <row r="1232" spans="2:17" x14ac:dyDescent="0.2">
      <c r="B1232" s="219"/>
      <c r="C1232" s="219"/>
      <c r="D1232" s="219"/>
      <c r="E1232" s="219"/>
      <c r="F1232" s="219"/>
      <c r="G1232" s="219"/>
      <c r="H1232" s="219"/>
      <c r="I1232" s="219"/>
      <c r="J1232" s="219"/>
      <c r="K1232" s="219"/>
      <c r="L1232" s="219"/>
      <c r="M1232" s="219"/>
      <c r="N1232" s="219"/>
      <c r="O1232" s="219"/>
      <c r="P1232" s="219"/>
      <c r="Q1232" s="221"/>
    </row>
    <row r="1233" spans="2:17" x14ac:dyDescent="0.2">
      <c r="B1233" s="219"/>
      <c r="C1233" s="219"/>
      <c r="D1233" s="219"/>
      <c r="E1233" s="219"/>
      <c r="F1233" s="219"/>
      <c r="G1233" s="219"/>
      <c r="H1233" s="219"/>
      <c r="I1233" s="219"/>
      <c r="J1233" s="219"/>
      <c r="K1233" s="219"/>
      <c r="L1233" s="219"/>
      <c r="M1233" s="219"/>
      <c r="N1233" s="219"/>
      <c r="O1233" s="219"/>
      <c r="P1233" s="219"/>
      <c r="Q1233" s="221"/>
    </row>
    <row r="1234" spans="2:17" x14ac:dyDescent="0.2">
      <c r="B1234" s="219"/>
      <c r="C1234" s="219"/>
      <c r="D1234" s="219"/>
      <c r="E1234" s="219"/>
      <c r="F1234" s="219"/>
      <c r="G1234" s="219"/>
      <c r="H1234" s="219"/>
      <c r="I1234" s="219"/>
      <c r="J1234" s="219"/>
      <c r="K1234" s="219"/>
      <c r="L1234" s="219"/>
      <c r="M1234" s="219"/>
      <c r="N1234" s="219"/>
      <c r="O1234" s="219"/>
      <c r="P1234" s="219"/>
      <c r="Q1234" s="221"/>
    </row>
    <row r="1235" spans="2:17" x14ac:dyDescent="0.2">
      <c r="B1235" s="219"/>
      <c r="C1235" s="219"/>
      <c r="D1235" s="219"/>
      <c r="E1235" s="219"/>
      <c r="F1235" s="219"/>
      <c r="G1235" s="219"/>
      <c r="H1235" s="219"/>
      <c r="I1235" s="219"/>
      <c r="J1235" s="219"/>
      <c r="K1235" s="219"/>
      <c r="L1235" s="219"/>
      <c r="M1235" s="219"/>
      <c r="N1235" s="219"/>
      <c r="O1235" s="219"/>
      <c r="P1235" s="219"/>
      <c r="Q1235" s="221"/>
    </row>
    <row r="1236" spans="2:17" x14ac:dyDescent="0.2">
      <c r="B1236" s="219"/>
      <c r="C1236" s="219"/>
      <c r="D1236" s="219"/>
      <c r="E1236" s="219"/>
      <c r="F1236" s="219"/>
      <c r="G1236" s="219"/>
      <c r="H1236" s="219"/>
      <c r="I1236" s="219"/>
      <c r="J1236" s="219"/>
      <c r="K1236" s="219"/>
      <c r="L1236" s="219"/>
      <c r="M1236" s="219"/>
      <c r="N1236" s="219"/>
      <c r="O1236" s="219"/>
      <c r="P1236" s="219"/>
      <c r="Q1236" s="221"/>
    </row>
    <row r="1237" spans="2:17" x14ac:dyDescent="0.2">
      <c r="B1237" s="219"/>
      <c r="C1237" s="219"/>
      <c r="D1237" s="219"/>
      <c r="E1237" s="219"/>
      <c r="F1237" s="219"/>
      <c r="G1237" s="219"/>
      <c r="H1237" s="219"/>
      <c r="I1237" s="219"/>
      <c r="J1237" s="219"/>
      <c r="K1237" s="219"/>
      <c r="L1237" s="219"/>
      <c r="M1237" s="219"/>
      <c r="N1237" s="219"/>
      <c r="O1237" s="219"/>
      <c r="P1237" s="219"/>
      <c r="Q1237" s="221"/>
    </row>
    <row r="1238" spans="2:17" x14ac:dyDescent="0.2">
      <c r="B1238" s="219"/>
      <c r="C1238" s="219"/>
      <c r="D1238" s="219"/>
      <c r="E1238" s="219"/>
      <c r="F1238" s="219"/>
      <c r="G1238" s="219"/>
      <c r="H1238" s="219"/>
      <c r="I1238" s="219"/>
      <c r="J1238" s="219"/>
      <c r="K1238" s="219"/>
      <c r="L1238" s="219"/>
      <c r="M1238" s="219"/>
      <c r="N1238" s="219"/>
      <c r="O1238" s="219"/>
      <c r="P1238" s="219"/>
      <c r="Q1238" s="221"/>
    </row>
    <row r="1239" spans="2:17" x14ac:dyDescent="0.2">
      <c r="B1239" s="219"/>
      <c r="C1239" s="219"/>
      <c r="D1239" s="219"/>
      <c r="E1239" s="219"/>
      <c r="F1239" s="219"/>
      <c r="G1239" s="219"/>
      <c r="H1239" s="219"/>
      <c r="I1239" s="219"/>
      <c r="J1239" s="219"/>
      <c r="K1239" s="219"/>
      <c r="L1239" s="219"/>
      <c r="M1239" s="219"/>
      <c r="N1239" s="219"/>
      <c r="O1239" s="219"/>
      <c r="P1239" s="219"/>
      <c r="Q1239" s="221"/>
    </row>
    <row r="1240" spans="2:17" x14ac:dyDescent="0.2">
      <c r="B1240" s="219"/>
      <c r="C1240" s="219"/>
      <c r="D1240" s="219"/>
      <c r="E1240" s="219"/>
      <c r="F1240" s="219"/>
      <c r="G1240" s="219"/>
      <c r="H1240" s="219"/>
      <c r="I1240" s="219"/>
      <c r="J1240" s="219"/>
      <c r="K1240" s="219"/>
      <c r="L1240" s="219"/>
      <c r="M1240" s="219"/>
      <c r="N1240" s="219"/>
      <c r="O1240" s="219"/>
      <c r="P1240" s="219"/>
      <c r="Q1240" s="221"/>
    </row>
    <row r="1241" spans="2:17" x14ac:dyDescent="0.2">
      <c r="B1241" s="219"/>
      <c r="C1241" s="219"/>
      <c r="D1241" s="219"/>
      <c r="E1241" s="219"/>
      <c r="F1241" s="219"/>
      <c r="G1241" s="219"/>
      <c r="H1241" s="219"/>
      <c r="I1241" s="219"/>
      <c r="J1241" s="219"/>
      <c r="K1241" s="219"/>
      <c r="L1241" s="219"/>
      <c r="M1241" s="219"/>
      <c r="N1241" s="219"/>
      <c r="O1241" s="219"/>
      <c r="P1241" s="219"/>
      <c r="Q1241" s="221"/>
    </row>
    <row r="1242" spans="2:17" x14ac:dyDescent="0.2">
      <c r="B1242" s="219"/>
      <c r="C1242" s="219"/>
      <c r="D1242" s="219"/>
      <c r="E1242" s="219"/>
      <c r="F1242" s="219"/>
      <c r="G1242" s="219"/>
      <c r="H1242" s="219"/>
      <c r="I1242" s="219"/>
      <c r="J1242" s="219"/>
      <c r="K1242" s="219"/>
      <c r="L1242" s="219"/>
      <c r="M1242" s="219"/>
      <c r="N1242" s="219"/>
      <c r="O1242" s="219"/>
      <c r="P1242" s="219"/>
      <c r="Q1242" s="221"/>
    </row>
    <row r="1243" spans="2:17" x14ac:dyDescent="0.2">
      <c r="B1243" s="219"/>
      <c r="C1243" s="219"/>
      <c r="D1243" s="219"/>
      <c r="E1243" s="219"/>
      <c r="F1243" s="219"/>
      <c r="G1243" s="219"/>
      <c r="H1243" s="219"/>
      <c r="I1243" s="219"/>
      <c r="J1243" s="219"/>
      <c r="K1243" s="219"/>
      <c r="L1243" s="219"/>
      <c r="M1243" s="219"/>
      <c r="N1243" s="219"/>
      <c r="O1243" s="219"/>
      <c r="P1243" s="219"/>
      <c r="Q1243" s="221"/>
    </row>
    <row r="1244" spans="2:17" x14ac:dyDescent="0.2">
      <c r="B1244" s="219"/>
      <c r="C1244" s="219"/>
      <c r="D1244" s="219"/>
      <c r="E1244" s="219"/>
      <c r="F1244" s="219"/>
      <c r="G1244" s="219"/>
      <c r="H1244" s="219"/>
      <c r="I1244" s="219"/>
      <c r="J1244" s="219"/>
      <c r="K1244" s="219"/>
      <c r="L1244" s="219"/>
      <c r="M1244" s="219"/>
      <c r="N1244" s="219"/>
      <c r="O1244" s="219"/>
      <c r="P1244" s="219"/>
      <c r="Q1244" s="221"/>
    </row>
    <row r="1245" spans="2:17" x14ac:dyDescent="0.2">
      <c r="B1245" s="219"/>
      <c r="C1245" s="219"/>
      <c r="D1245" s="219"/>
      <c r="E1245" s="219"/>
      <c r="F1245" s="219"/>
      <c r="G1245" s="219"/>
      <c r="H1245" s="219"/>
      <c r="I1245" s="219"/>
      <c r="J1245" s="219"/>
      <c r="K1245" s="219"/>
      <c r="L1245" s="219"/>
      <c r="M1245" s="219"/>
      <c r="N1245" s="219"/>
      <c r="O1245" s="219"/>
      <c r="P1245" s="219"/>
      <c r="Q1245" s="221"/>
    </row>
    <row r="1246" spans="2:17" x14ac:dyDescent="0.2">
      <c r="B1246" s="219"/>
      <c r="C1246" s="219"/>
      <c r="D1246" s="219"/>
      <c r="E1246" s="219"/>
      <c r="F1246" s="219"/>
      <c r="G1246" s="219"/>
      <c r="H1246" s="219"/>
      <c r="I1246" s="219"/>
      <c r="J1246" s="219"/>
      <c r="K1246" s="219"/>
      <c r="L1246" s="219"/>
      <c r="M1246" s="219"/>
      <c r="N1246" s="219"/>
      <c r="O1246" s="219"/>
      <c r="P1246" s="219"/>
      <c r="Q1246" s="221"/>
    </row>
    <row r="1247" spans="2:17" x14ac:dyDescent="0.2">
      <c r="B1247" s="219"/>
      <c r="C1247" s="219"/>
      <c r="D1247" s="219"/>
      <c r="E1247" s="219"/>
      <c r="F1247" s="219"/>
      <c r="G1247" s="219"/>
      <c r="H1247" s="219"/>
      <c r="I1247" s="219"/>
      <c r="J1247" s="219"/>
      <c r="K1247" s="219"/>
      <c r="L1247" s="219"/>
      <c r="M1247" s="219"/>
      <c r="N1247" s="219"/>
      <c r="O1247" s="219"/>
      <c r="P1247" s="219"/>
      <c r="Q1247" s="221"/>
    </row>
    <row r="1248" spans="2:17" x14ac:dyDescent="0.2">
      <c r="B1248" s="219"/>
      <c r="C1248" s="219"/>
      <c r="D1248" s="219"/>
      <c r="E1248" s="219"/>
      <c r="F1248" s="219"/>
      <c r="G1248" s="219"/>
      <c r="H1248" s="219"/>
      <c r="I1248" s="219"/>
      <c r="J1248" s="219"/>
      <c r="K1248" s="219"/>
      <c r="L1248" s="219"/>
      <c r="M1248" s="219"/>
      <c r="N1248" s="219"/>
      <c r="O1248" s="219"/>
      <c r="P1248" s="219"/>
      <c r="Q1248" s="221"/>
    </row>
    <row r="1249" spans="2:17" x14ac:dyDescent="0.2">
      <c r="B1249" s="219"/>
      <c r="C1249" s="219"/>
      <c r="D1249" s="219"/>
      <c r="E1249" s="219"/>
      <c r="F1249" s="219"/>
      <c r="G1249" s="219"/>
      <c r="H1249" s="219"/>
      <c r="I1249" s="219"/>
      <c r="J1249" s="219"/>
      <c r="K1249" s="219"/>
      <c r="L1249" s="219"/>
      <c r="M1249" s="219"/>
      <c r="N1249" s="219"/>
      <c r="O1249" s="219"/>
      <c r="P1249" s="219"/>
      <c r="Q1249" s="221"/>
    </row>
    <row r="1250" spans="2:17" x14ac:dyDescent="0.2">
      <c r="B1250" s="219"/>
      <c r="C1250" s="219"/>
      <c r="D1250" s="219"/>
      <c r="E1250" s="219"/>
      <c r="F1250" s="219"/>
      <c r="G1250" s="219"/>
      <c r="H1250" s="219"/>
      <c r="I1250" s="219"/>
      <c r="J1250" s="219"/>
      <c r="K1250" s="219"/>
      <c r="L1250" s="219"/>
      <c r="M1250" s="219"/>
      <c r="N1250" s="219"/>
      <c r="O1250" s="219"/>
      <c r="P1250" s="219"/>
      <c r="Q1250" s="221"/>
    </row>
    <row r="1251" spans="2:17" x14ac:dyDescent="0.2">
      <c r="B1251" s="219"/>
      <c r="C1251" s="219"/>
      <c r="D1251" s="219"/>
      <c r="E1251" s="219"/>
      <c r="F1251" s="219"/>
      <c r="G1251" s="219"/>
      <c r="H1251" s="219"/>
      <c r="I1251" s="219"/>
      <c r="J1251" s="219"/>
      <c r="K1251" s="219"/>
      <c r="L1251" s="219"/>
      <c r="M1251" s="219"/>
      <c r="N1251" s="219"/>
      <c r="O1251" s="219"/>
      <c r="P1251" s="219"/>
      <c r="Q1251" s="221"/>
    </row>
    <row r="1252" spans="2:17" x14ac:dyDescent="0.2">
      <c r="B1252" s="219"/>
      <c r="C1252" s="219"/>
      <c r="D1252" s="219"/>
      <c r="E1252" s="219"/>
      <c r="F1252" s="219"/>
      <c r="G1252" s="219"/>
      <c r="H1252" s="219"/>
      <c r="I1252" s="219"/>
      <c r="J1252" s="219"/>
      <c r="K1252" s="219"/>
      <c r="L1252" s="219"/>
      <c r="M1252" s="219"/>
      <c r="N1252" s="219"/>
      <c r="O1252" s="219"/>
      <c r="P1252" s="219"/>
      <c r="Q1252" s="221"/>
    </row>
    <row r="1253" spans="2:17" x14ac:dyDescent="0.2">
      <c r="B1253" s="219"/>
      <c r="C1253" s="219"/>
      <c r="D1253" s="219"/>
      <c r="E1253" s="219"/>
      <c r="F1253" s="219"/>
      <c r="G1253" s="219"/>
      <c r="H1253" s="219"/>
      <c r="I1253" s="219"/>
      <c r="J1253" s="219"/>
      <c r="K1253" s="219"/>
      <c r="L1253" s="219"/>
      <c r="M1253" s="219"/>
      <c r="N1253" s="219"/>
      <c r="O1253" s="219"/>
      <c r="P1253" s="219"/>
      <c r="Q1253" s="221"/>
    </row>
    <row r="1254" spans="2:17" x14ac:dyDescent="0.2">
      <c r="B1254" s="219"/>
      <c r="C1254" s="219"/>
      <c r="D1254" s="219"/>
      <c r="E1254" s="219"/>
      <c r="F1254" s="219"/>
      <c r="G1254" s="219"/>
      <c r="H1254" s="219"/>
      <c r="I1254" s="219"/>
      <c r="J1254" s="219"/>
      <c r="K1254" s="219"/>
      <c r="L1254" s="219"/>
      <c r="M1254" s="219"/>
      <c r="N1254" s="219"/>
      <c r="O1254" s="219"/>
      <c r="P1254" s="219"/>
      <c r="Q1254" s="221"/>
    </row>
    <row r="1255" spans="2:17" x14ac:dyDescent="0.2">
      <c r="B1255" s="219"/>
      <c r="C1255" s="219"/>
      <c r="D1255" s="219"/>
      <c r="E1255" s="219"/>
      <c r="F1255" s="219"/>
      <c r="G1255" s="219"/>
      <c r="H1255" s="219"/>
      <c r="I1255" s="219"/>
      <c r="J1255" s="219"/>
      <c r="K1255" s="219"/>
      <c r="L1255" s="219"/>
      <c r="M1255" s="219"/>
      <c r="N1255" s="219"/>
      <c r="O1255" s="219"/>
      <c r="P1255" s="219"/>
      <c r="Q1255" s="221"/>
    </row>
    <row r="1256" spans="2:17" x14ac:dyDescent="0.2">
      <c r="B1256" s="219"/>
      <c r="C1256" s="219"/>
      <c r="D1256" s="219"/>
      <c r="E1256" s="219"/>
      <c r="F1256" s="219"/>
      <c r="G1256" s="219"/>
      <c r="H1256" s="219"/>
      <c r="I1256" s="219"/>
      <c r="J1256" s="219"/>
      <c r="K1256" s="219"/>
      <c r="L1256" s="219"/>
      <c r="M1256" s="219"/>
      <c r="N1256" s="219"/>
      <c r="O1256" s="219"/>
      <c r="P1256" s="219"/>
      <c r="Q1256" s="221"/>
    </row>
    <row r="1257" spans="2:17" x14ac:dyDescent="0.2">
      <c r="B1257" s="219"/>
      <c r="C1257" s="219"/>
      <c r="D1257" s="219"/>
      <c r="E1257" s="219"/>
      <c r="F1257" s="219"/>
      <c r="G1257" s="219"/>
      <c r="H1257" s="219"/>
      <c r="I1257" s="219"/>
      <c r="J1257" s="219"/>
      <c r="K1257" s="219"/>
      <c r="L1257" s="219"/>
      <c r="M1257" s="219"/>
      <c r="N1257" s="219"/>
      <c r="O1257" s="219"/>
      <c r="P1257" s="219"/>
      <c r="Q1257" s="221"/>
    </row>
    <row r="1258" spans="2:17" x14ac:dyDescent="0.2">
      <c r="B1258" s="219"/>
      <c r="C1258" s="219"/>
      <c r="D1258" s="219"/>
      <c r="E1258" s="219"/>
      <c r="F1258" s="219"/>
      <c r="G1258" s="219"/>
      <c r="H1258" s="219"/>
      <c r="I1258" s="219"/>
      <c r="J1258" s="219"/>
      <c r="K1258" s="219"/>
      <c r="L1258" s="219"/>
      <c r="M1258" s="219"/>
      <c r="N1258" s="219"/>
      <c r="O1258" s="219"/>
      <c r="P1258" s="219"/>
      <c r="Q1258" s="221"/>
    </row>
    <row r="1259" spans="2:17" x14ac:dyDescent="0.2">
      <c r="B1259" s="219"/>
      <c r="C1259" s="219"/>
      <c r="D1259" s="219"/>
      <c r="E1259" s="219"/>
      <c r="F1259" s="219"/>
      <c r="G1259" s="219"/>
      <c r="H1259" s="219"/>
      <c r="I1259" s="219"/>
      <c r="J1259" s="219"/>
      <c r="K1259" s="219"/>
      <c r="L1259" s="219"/>
      <c r="M1259" s="219"/>
      <c r="N1259" s="219"/>
      <c r="O1259" s="219"/>
      <c r="P1259" s="219"/>
      <c r="Q1259" s="221"/>
    </row>
    <row r="1260" spans="2:17" x14ac:dyDescent="0.2">
      <c r="B1260" s="219"/>
      <c r="C1260" s="219"/>
      <c r="D1260" s="219"/>
      <c r="E1260" s="219"/>
      <c r="F1260" s="219"/>
      <c r="G1260" s="219"/>
      <c r="H1260" s="219"/>
      <c r="I1260" s="219"/>
      <c r="J1260" s="219"/>
      <c r="K1260" s="219"/>
      <c r="L1260" s="219"/>
      <c r="M1260" s="219"/>
      <c r="N1260" s="219"/>
      <c r="O1260" s="219"/>
      <c r="P1260" s="219"/>
      <c r="Q1260" s="221"/>
    </row>
    <row r="1261" spans="2:17" x14ac:dyDescent="0.2">
      <c r="B1261" s="219"/>
      <c r="C1261" s="219"/>
      <c r="D1261" s="219"/>
      <c r="E1261" s="219"/>
      <c r="F1261" s="219"/>
      <c r="G1261" s="219"/>
      <c r="H1261" s="219"/>
      <c r="I1261" s="219"/>
      <c r="J1261" s="219"/>
      <c r="K1261" s="219"/>
      <c r="L1261" s="219"/>
      <c r="M1261" s="219"/>
      <c r="N1261" s="219"/>
      <c r="O1261" s="219"/>
      <c r="P1261" s="219"/>
      <c r="Q1261" s="221"/>
    </row>
    <row r="1262" spans="2:17" x14ac:dyDescent="0.2">
      <c r="B1262" s="219"/>
      <c r="C1262" s="219"/>
      <c r="D1262" s="219"/>
      <c r="E1262" s="219"/>
      <c r="F1262" s="219"/>
      <c r="G1262" s="219"/>
      <c r="H1262" s="219"/>
      <c r="I1262" s="219"/>
      <c r="J1262" s="219"/>
      <c r="K1262" s="219"/>
      <c r="L1262" s="219"/>
      <c r="M1262" s="219"/>
      <c r="N1262" s="219"/>
      <c r="O1262" s="219"/>
      <c r="P1262" s="219"/>
      <c r="Q1262" s="221"/>
    </row>
    <row r="1263" spans="2:17" x14ac:dyDescent="0.2">
      <c r="B1263" s="219"/>
      <c r="C1263" s="219"/>
      <c r="D1263" s="219"/>
      <c r="E1263" s="219"/>
      <c r="F1263" s="219"/>
      <c r="G1263" s="219"/>
      <c r="H1263" s="219"/>
      <c r="I1263" s="219"/>
      <c r="J1263" s="219"/>
      <c r="K1263" s="219"/>
      <c r="L1263" s="219"/>
      <c r="M1263" s="219"/>
      <c r="N1263" s="219"/>
      <c r="O1263" s="219"/>
      <c r="P1263" s="219"/>
      <c r="Q1263" s="221"/>
    </row>
    <row r="1264" spans="2:17" x14ac:dyDescent="0.2">
      <c r="B1264" s="219"/>
      <c r="C1264" s="219"/>
      <c r="D1264" s="219"/>
      <c r="E1264" s="219"/>
      <c r="F1264" s="219"/>
      <c r="G1264" s="219"/>
      <c r="H1264" s="219"/>
      <c r="I1264" s="219"/>
      <c r="J1264" s="219"/>
      <c r="K1264" s="219"/>
      <c r="L1264" s="219"/>
      <c r="M1264" s="219"/>
      <c r="N1264" s="219"/>
      <c r="O1264" s="219"/>
      <c r="P1264" s="219"/>
      <c r="Q1264" s="221"/>
    </row>
    <row r="1265" spans="2:17" x14ac:dyDescent="0.2">
      <c r="B1265" s="219"/>
      <c r="C1265" s="219"/>
      <c r="D1265" s="219"/>
      <c r="E1265" s="219"/>
      <c r="F1265" s="219"/>
      <c r="G1265" s="219"/>
      <c r="H1265" s="219"/>
      <c r="I1265" s="219"/>
      <c r="J1265" s="219"/>
      <c r="K1265" s="219"/>
      <c r="L1265" s="219"/>
      <c r="M1265" s="219"/>
      <c r="N1265" s="219"/>
      <c r="O1265" s="219"/>
      <c r="P1265" s="219"/>
      <c r="Q1265" s="221"/>
    </row>
    <row r="1266" spans="2:17" x14ac:dyDescent="0.2">
      <c r="B1266" s="219"/>
      <c r="C1266" s="219"/>
      <c r="D1266" s="219"/>
      <c r="E1266" s="219"/>
      <c r="F1266" s="219"/>
      <c r="G1266" s="219"/>
      <c r="H1266" s="219"/>
      <c r="I1266" s="219"/>
      <c r="J1266" s="219"/>
      <c r="K1266" s="219"/>
      <c r="L1266" s="219"/>
      <c r="M1266" s="219"/>
      <c r="N1266" s="219"/>
      <c r="O1266" s="219"/>
      <c r="P1266" s="219"/>
      <c r="Q1266" s="221"/>
    </row>
    <row r="1267" spans="2:17" x14ac:dyDescent="0.2">
      <c r="B1267" s="219"/>
      <c r="C1267" s="219"/>
      <c r="D1267" s="219"/>
      <c r="E1267" s="219"/>
      <c r="F1267" s="219"/>
      <c r="G1267" s="219"/>
      <c r="H1267" s="219"/>
      <c r="I1267" s="219"/>
      <c r="J1267" s="219"/>
      <c r="K1267" s="219"/>
      <c r="L1267" s="219"/>
      <c r="M1267" s="219"/>
      <c r="N1267" s="219"/>
      <c r="O1267" s="219"/>
      <c r="P1267" s="219"/>
      <c r="Q1267" s="221"/>
    </row>
    <row r="1268" spans="2:17" x14ac:dyDescent="0.2">
      <c r="B1268" s="219"/>
      <c r="C1268" s="219"/>
      <c r="D1268" s="219"/>
      <c r="E1268" s="219"/>
      <c r="F1268" s="219"/>
      <c r="G1268" s="219"/>
      <c r="H1268" s="219"/>
      <c r="I1268" s="219"/>
      <c r="J1268" s="219"/>
      <c r="K1268" s="219"/>
      <c r="L1268" s="219"/>
      <c r="M1268" s="219"/>
      <c r="N1268" s="219"/>
      <c r="O1268" s="219"/>
      <c r="P1268" s="219"/>
      <c r="Q1268" s="221"/>
    </row>
    <row r="1269" spans="2:17" x14ac:dyDescent="0.2">
      <c r="B1269" s="219"/>
      <c r="C1269" s="219"/>
      <c r="D1269" s="219"/>
      <c r="E1269" s="219"/>
      <c r="F1269" s="219"/>
      <c r="G1269" s="219"/>
      <c r="H1269" s="219"/>
      <c r="I1269" s="219"/>
      <c r="J1269" s="219"/>
      <c r="K1269" s="219"/>
      <c r="L1269" s="219"/>
      <c r="M1269" s="219"/>
      <c r="N1269" s="219"/>
      <c r="O1269" s="219"/>
      <c r="P1269" s="219"/>
      <c r="Q1269" s="221"/>
    </row>
    <row r="1270" spans="2:17" x14ac:dyDescent="0.2">
      <c r="B1270" s="219"/>
      <c r="C1270" s="219"/>
      <c r="D1270" s="219"/>
      <c r="E1270" s="219"/>
      <c r="F1270" s="219"/>
      <c r="G1270" s="219"/>
      <c r="H1270" s="219"/>
      <c r="I1270" s="219"/>
      <c r="J1270" s="219"/>
      <c r="K1270" s="219"/>
      <c r="L1270" s="219"/>
      <c r="M1270" s="219"/>
      <c r="N1270" s="219"/>
      <c r="O1270" s="219"/>
      <c r="P1270" s="219"/>
      <c r="Q1270" s="221"/>
    </row>
    <row r="1271" spans="2:17" x14ac:dyDescent="0.2">
      <c r="B1271" s="219"/>
      <c r="C1271" s="219"/>
      <c r="D1271" s="219"/>
      <c r="E1271" s="219"/>
      <c r="F1271" s="219"/>
      <c r="G1271" s="219"/>
      <c r="H1271" s="219"/>
      <c r="I1271" s="219"/>
      <c r="J1271" s="219"/>
      <c r="K1271" s="219"/>
      <c r="L1271" s="219"/>
      <c r="M1271" s="219"/>
      <c r="N1271" s="219"/>
      <c r="O1271" s="219"/>
      <c r="P1271" s="219"/>
      <c r="Q1271" s="221"/>
    </row>
    <row r="1272" spans="2:17" x14ac:dyDescent="0.2">
      <c r="B1272" s="219"/>
      <c r="C1272" s="219"/>
      <c r="D1272" s="219"/>
      <c r="E1272" s="219"/>
      <c r="F1272" s="219"/>
      <c r="G1272" s="219"/>
      <c r="H1272" s="219"/>
      <c r="I1272" s="219"/>
      <c r="J1272" s="219"/>
      <c r="K1272" s="219"/>
      <c r="L1272" s="219"/>
      <c r="M1272" s="219"/>
      <c r="N1272" s="219"/>
      <c r="O1272" s="219"/>
      <c r="P1272" s="219"/>
      <c r="Q1272" s="221"/>
    </row>
    <row r="1273" spans="2:17" x14ac:dyDescent="0.2">
      <c r="B1273" s="219"/>
      <c r="C1273" s="219"/>
      <c r="D1273" s="219"/>
      <c r="E1273" s="219"/>
      <c r="F1273" s="219"/>
      <c r="G1273" s="219"/>
      <c r="H1273" s="219"/>
      <c r="I1273" s="219"/>
      <c r="J1273" s="219"/>
      <c r="K1273" s="219"/>
      <c r="L1273" s="219"/>
      <c r="M1273" s="219"/>
      <c r="N1273" s="219"/>
      <c r="O1273" s="219"/>
      <c r="P1273" s="219"/>
      <c r="Q1273" s="221"/>
    </row>
    <row r="1274" spans="2:17" x14ac:dyDescent="0.2">
      <c r="B1274" s="219"/>
      <c r="C1274" s="219"/>
      <c r="D1274" s="219"/>
      <c r="E1274" s="219"/>
      <c r="F1274" s="219"/>
      <c r="G1274" s="219"/>
      <c r="H1274" s="219"/>
      <c r="I1274" s="219"/>
      <c r="J1274" s="219"/>
      <c r="K1274" s="219"/>
      <c r="L1274" s="219"/>
      <c r="M1274" s="219"/>
      <c r="N1274" s="219"/>
      <c r="O1274" s="219"/>
      <c r="P1274" s="219"/>
      <c r="Q1274" s="221"/>
    </row>
    <row r="1275" spans="2:17" x14ac:dyDescent="0.2">
      <c r="B1275" s="219"/>
      <c r="C1275" s="219"/>
      <c r="D1275" s="219"/>
      <c r="E1275" s="219"/>
      <c r="F1275" s="219"/>
      <c r="G1275" s="219"/>
      <c r="H1275" s="219"/>
      <c r="I1275" s="219"/>
      <c r="J1275" s="219"/>
      <c r="K1275" s="219"/>
      <c r="L1275" s="219"/>
      <c r="M1275" s="219"/>
      <c r="N1275" s="219"/>
      <c r="O1275" s="219"/>
      <c r="P1275" s="219"/>
      <c r="Q1275" s="221"/>
    </row>
    <row r="1276" spans="2:17" x14ac:dyDescent="0.2">
      <c r="B1276" s="219"/>
      <c r="C1276" s="219"/>
      <c r="D1276" s="219"/>
      <c r="E1276" s="219"/>
      <c r="F1276" s="219"/>
      <c r="G1276" s="219"/>
      <c r="H1276" s="219"/>
      <c r="I1276" s="219"/>
      <c r="J1276" s="219"/>
      <c r="K1276" s="219"/>
      <c r="L1276" s="219"/>
      <c r="M1276" s="219"/>
      <c r="N1276" s="219"/>
      <c r="O1276" s="219"/>
      <c r="P1276" s="219"/>
      <c r="Q1276" s="221"/>
    </row>
    <row r="1277" spans="2:17" x14ac:dyDescent="0.2">
      <c r="B1277" s="219"/>
      <c r="C1277" s="219"/>
      <c r="D1277" s="219"/>
      <c r="E1277" s="219"/>
      <c r="F1277" s="219"/>
      <c r="G1277" s="219"/>
      <c r="H1277" s="219"/>
      <c r="I1277" s="219"/>
      <c r="J1277" s="219"/>
      <c r="K1277" s="219"/>
      <c r="L1277" s="219"/>
      <c r="M1277" s="219"/>
      <c r="N1277" s="219"/>
      <c r="O1277" s="219"/>
      <c r="P1277" s="219"/>
      <c r="Q1277" s="221"/>
    </row>
    <row r="1278" spans="2:17" x14ac:dyDescent="0.2">
      <c r="B1278" s="219"/>
      <c r="C1278" s="219"/>
      <c r="D1278" s="219"/>
      <c r="E1278" s="219"/>
      <c r="F1278" s="219"/>
      <c r="G1278" s="219"/>
      <c r="H1278" s="219"/>
      <c r="I1278" s="219"/>
      <c r="J1278" s="219"/>
      <c r="K1278" s="219"/>
      <c r="L1278" s="219"/>
      <c r="M1278" s="219"/>
      <c r="N1278" s="219"/>
      <c r="O1278" s="219"/>
      <c r="P1278" s="219"/>
      <c r="Q1278" s="221"/>
    </row>
    <row r="1279" spans="2:17" x14ac:dyDescent="0.2">
      <c r="B1279" s="219"/>
      <c r="C1279" s="219"/>
      <c r="D1279" s="219"/>
      <c r="E1279" s="219"/>
      <c r="F1279" s="219"/>
      <c r="G1279" s="219"/>
      <c r="H1279" s="219"/>
      <c r="I1279" s="219"/>
      <c r="J1279" s="219"/>
      <c r="K1279" s="219"/>
      <c r="L1279" s="219"/>
      <c r="M1279" s="219"/>
      <c r="N1279" s="219"/>
      <c r="O1279" s="219"/>
      <c r="P1279" s="219"/>
      <c r="Q1279" s="221"/>
    </row>
    <row r="1280" spans="2:17" x14ac:dyDescent="0.2">
      <c r="B1280" s="219"/>
      <c r="C1280" s="219"/>
      <c r="D1280" s="219"/>
      <c r="E1280" s="219"/>
      <c r="F1280" s="219"/>
      <c r="G1280" s="219"/>
      <c r="H1280" s="219"/>
      <c r="I1280" s="219"/>
      <c r="J1280" s="219"/>
      <c r="K1280" s="219"/>
      <c r="L1280" s="219"/>
      <c r="M1280" s="219"/>
      <c r="N1280" s="219"/>
      <c r="O1280" s="219"/>
      <c r="P1280" s="219"/>
      <c r="Q1280" s="221"/>
    </row>
    <row r="1281" spans="2:17" x14ac:dyDescent="0.2">
      <c r="B1281" s="219"/>
      <c r="C1281" s="219"/>
      <c r="D1281" s="219"/>
      <c r="E1281" s="219"/>
      <c r="F1281" s="219"/>
      <c r="G1281" s="219"/>
      <c r="H1281" s="219"/>
      <c r="I1281" s="219"/>
      <c r="J1281" s="219"/>
      <c r="K1281" s="219"/>
      <c r="L1281" s="219"/>
      <c r="M1281" s="219"/>
      <c r="N1281" s="219"/>
      <c r="O1281" s="219"/>
      <c r="P1281" s="219"/>
      <c r="Q1281" s="221"/>
    </row>
    <row r="1282" spans="2:17" x14ac:dyDescent="0.2">
      <c r="B1282" s="219"/>
      <c r="C1282" s="219"/>
      <c r="D1282" s="219"/>
      <c r="E1282" s="219"/>
      <c r="F1282" s="219"/>
      <c r="G1282" s="219"/>
      <c r="H1282" s="219"/>
      <c r="I1282" s="219"/>
      <c r="J1282" s="219"/>
      <c r="K1282" s="219"/>
      <c r="L1282" s="219"/>
      <c r="M1282" s="219"/>
      <c r="N1282" s="219"/>
      <c r="O1282" s="219"/>
      <c r="P1282" s="219"/>
      <c r="Q1282" s="221"/>
    </row>
    <row r="1283" spans="2:17" x14ac:dyDescent="0.2">
      <c r="B1283" s="219"/>
      <c r="C1283" s="219"/>
      <c r="D1283" s="219"/>
      <c r="E1283" s="219"/>
      <c r="F1283" s="219"/>
      <c r="G1283" s="219"/>
      <c r="H1283" s="219"/>
      <c r="I1283" s="219"/>
      <c r="J1283" s="219"/>
      <c r="K1283" s="219"/>
      <c r="L1283" s="219"/>
      <c r="M1283" s="219"/>
      <c r="N1283" s="219"/>
      <c r="O1283" s="219"/>
      <c r="P1283" s="219"/>
      <c r="Q1283" s="221"/>
    </row>
    <row r="1284" spans="2:17" x14ac:dyDescent="0.2">
      <c r="B1284" s="219"/>
      <c r="C1284" s="219"/>
      <c r="D1284" s="219"/>
      <c r="E1284" s="219"/>
      <c r="F1284" s="219"/>
      <c r="G1284" s="219"/>
      <c r="H1284" s="219"/>
      <c r="I1284" s="219"/>
      <c r="J1284" s="219"/>
      <c r="K1284" s="219"/>
      <c r="L1284" s="219"/>
      <c r="M1284" s="219"/>
      <c r="N1284" s="219"/>
      <c r="O1284" s="219"/>
      <c r="P1284" s="219"/>
      <c r="Q1284" s="221"/>
    </row>
    <row r="1285" spans="2:17" x14ac:dyDescent="0.2">
      <c r="B1285" s="219"/>
      <c r="C1285" s="219"/>
      <c r="D1285" s="219"/>
      <c r="E1285" s="219"/>
      <c r="F1285" s="219"/>
      <c r="G1285" s="219"/>
      <c r="H1285" s="219"/>
      <c r="I1285" s="219"/>
      <c r="J1285" s="219"/>
      <c r="K1285" s="219"/>
      <c r="L1285" s="219"/>
      <c r="M1285" s="219"/>
      <c r="N1285" s="219"/>
      <c r="O1285" s="219"/>
      <c r="P1285" s="219"/>
      <c r="Q1285" s="221"/>
    </row>
    <row r="1286" spans="2:17" x14ac:dyDescent="0.2">
      <c r="B1286" s="219"/>
      <c r="C1286" s="219"/>
      <c r="D1286" s="219"/>
      <c r="E1286" s="219"/>
      <c r="F1286" s="219"/>
      <c r="G1286" s="219"/>
      <c r="H1286" s="219"/>
      <c r="I1286" s="219"/>
      <c r="J1286" s="219"/>
      <c r="K1286" s="219"/>
      <c r="L1286" s="219"/>
      <c r="M1286" s="219"/>
      <c r="N1286" s="219"/>
      <c r="O1286" s="219"/>
      <c r="P1286" s="219"/>
      <c r="Q1286" s="221"/>
    </row>
    <row r="1287" spans="2:17" x14ac:dyDescent="0.2">
      <c r="B1287" s="219"/>
      <c r="C1287" s="219"/>
      <c r="D1287" s="219"/>
      <c r="E1287" s="219"/>
      <c r="F1287" s="219"/>
      <c r="G1287" s="219"/>
      <c r="H1287" s="219"/>
      <c r="I1287" s="219"/>
      <c r="J1287" s="219"/>
      <c r="K1287" s="219"/>
      <c r="L1287" s="219"/>
      <c r="M1287" s="219"/>
      <c r="N1287" s="219"/>
      <c r="O1287" s="219"/>
      <c r="P1287" s="219"/>
      <c r="Q1287" s="221"/>
    </row>
    <row r="1288" spans="2:17" x14ac:dyDescent="0.2">
      <c r="B1288" s="219"/>
      <c r="C1288" s="219"/>
      <c r="D1288" s="219"/>
      <c r="E1288" s="219"/>
      <c r="F1288" s="219"/>
      <c r="G1288" s="219"/>
      <c r="H1288" s="219"/>
      <c r="I1288" s="219"/>
      <c r="J1288" s="219"/>
      <c r="K1288" s="219"/>
      <c r="L1288" s="219"/>
      <c r="M1288" s="219"/>
      <c r="N1288" s="219"/>
      <c r="O1288" s="219"/>
      <c r="P1288" s="219"/>
      <c r="Q1288" s="221"/>
    </row>
    <row r="1289" spans="2:17" x14ac:dyDescent="0.2">
      <c r="B1289" s="219"/>
      <c r="C1289" s="219"/>
      <c r="D1289" s="219"/>
      <c r="E1289" s="219"/>
      <c r="F1289" s="219"/>
      <c r="G1289" s="219"/>
      <c r="H1289" s="219"/>
      <c r="I1289" s="219"/>
      <c r="J1289" s="219"/>
      <c r="K1289" s="219"/>
      <c r="L1289" s="219"/>
      <c r="M1289" s="219"/>
      <c r="N1289" s="219"/>
      <c r="O1289" s="219"/>
      <c r="P1289" s="219"/>
      <c r="Q1289" s="221"/>
    </row>
    <row r="1290" spans="2:17" x14ac:dyDescent="0.2">
      <c r="B1290" s="219"/>
      <c r="C1290" s="219"/>
      <c r="D1290" s="219"/>
      <c r="E1290" s="219"/>
      <c r="F1290" s="219"/>
      <c r="G1290" s="219"/>
      <c r="H1290" s="219"/>
      <c r="I1290" s="219"/>
      <c r="J1290" s="219"/>
      <c r="K1290" s="219"/>
      <c r="L1290" s="219"/>
      <c r="M1290" s="219"/>
      <c r="N1290" s="219"/>
      <c r="O1290" s="219"/>
      <c r="P1290" s="219"/>
      <c r="Q1290" s="221"/>
    </row>
    <row r="1291" spans="2:17" x14ac:dyDescent="0.2">
      <c r="B1291" s="219"/>
      <c r="C1291" s="219"/>
      <c r="D1291" s="219"/>
      <c r="E1291" s="219"/>
      <c r="F1291" s="219"/>
      <c r="G1291" s="219"/>
      <c r="H1291" s="219"/>
      <c r="I1291" s="219"/>
      <c r="J1291" s="219"/>
      <c r="K1291" s="219"/>
      <c r="L1291" s="219"/>
      <c r="M1291" s="219"/>
      <c r="N1291" s="219"/>
      <c r="O1291" s="219"/>
      <c r="P1291" s="219"/>
      <c r="Q1291" s="221"/>
    </row>
    <row r="1292" spans="2:17" x14ac:dyDescent="0.2">
      <c r="B1292" s="219"/>
      <c r="C1292" s="219"/>
      <c r="D1292" s="219"/>
      <c r="E1292" s="219"/>
      <c r="F1292" s="219"/>
      <c r="G1292" s="219"/>
      <c r="H1292" s="219"/>
      <c r="I1292" s="219"/>
      <c r="J1292" s="219"/>
      <c r="K1292" s="219"/>
      <c r="L1292" s="219"/>
      <c r="M1292" s="219"/>
      <c r="N1292" s="219"/>
      <c r="O1292" s="219"/>
      <c r="P1292" s="219"/>
      <c r="Q1292" s="221"/>
    </row>
    <row r="1293" spans="2:17" x14ac:dyDescent="0.2">
      <c r="B1293" s="219"/>
      <c r="C1293" s="219"/>
      <c r="D1293" s="219"/>
      <c r="E1293" s="219"/>
      <c r="F1293" s="219"/>
      <c r="G1293" s="219"/>
      <c r="H1293" s="219"/>
      <c r="I1293" s="219"/>
      <c r="J1293" s="219"/>
      <c r="K1293" s="219"/>
      <c r="L1293" s="219"/>
      <c r="M1293" s="219"/>
      <c r="N1293" s="219"/>
      <c r="O1293" s="219"/>
      <c r="P1293" s="219"/>
      <c r="Q1293" s="221"/>
    </row>
    <row r="1294" spans="2:17" x14ac:dyDescent="0.2">
      <c r="B1294" s="219"/>
      <c r="C1294" s="219"/>
      <c r="D1294" s="219"/>
      <c r="E1294" s="219"/>
      <c r="F1294" s="219"/>
      <c r="G1294" s="219"/>
      <c r="H1294" s="219"/>
      <c r="I1294" s="219"/>
      <c r="J1294" s="219"/>
      <c r="K1294" s="219"/>
      <c r="L1294" s="219"/>
      <c r="M1294" s="219"/>
      <c r="N1294" s="219"/>
      <c r="O1294" s="219"/>
      <c r="P1294" s="219"/>
      <c r="Q1294" s="221"/>
    </row>
    <row r="1295" spans="2:17" x14ac:dyDescent="0.2">
      <c r="B1295" s="219"/>
      <c r="C1295" s="219"/>
      <c r="D1295" s="219"/>
      <c r="E1295" s="219"/>
      <c r="F1295" s="219"/>
      <c r="G1295" s="219"/>
      <c r="H1295" s="219"/>
      <c r="I1295" s="219"/>
      <c r="J1295" s="219"/>
      <c r="K1295" s="219"/>
      <c r="L1295" s="219"/>
      <c r="M1295" s="219"/>
      <c r="N1295" s="219"/>
      <c r="O1295" s="219"/>
      <c r="P1295" s="219"/>
      <c r="Q1295" s="221"/>
    </row>
    <row r="1296" spans="2:17" x14ac:dyDescent="0.2">
      <c r="B1296" s="219"/>
      <c r="C1296" s="219"/>
      <c r="D1296" s="219"/>
      <c r="E1296" s="219"/>
      <c r="F1296" s="219"/>
      <c r="G1296" s="219"/>
      <c r="H1296" s="219"/>
      <c r="I1296" s="219"/>
      <c r="J1296" s="219"/>
      <c r="K1296" s="219"/>
      <c r="L1296" s="219"/>
      <c r="M1296" s="219"/>
      <c r="N1296" s="219"/>
      <c r="O1296" s="219"/>
      <c r="P1296" s="219"/>
      <c r="Q1296" s="221"/>
    </row>
    <row r="1297" spans="2:17" x14ac:dyDescent="0.2">
      <c r="B1297" s="219"/>
      <c r="C1297" s="219"/>
      <c r="D1297" s="219"/>
      <c r="E1297" s="219"/>
      <c r="F1297" s="219"/>
      <c r="G1297" s="219"/>
      <c r="H1297" s="219"/>
      <c r="I1297" s="219"/>
      <c r="J1297" s="219"/>
      <c r="K1297" s="219"/>
      <c r="L1297" s="219"/>
      <c r="M1297" s="219"/>
      <c r="N1297" s="219"/>
      <c r="O1297" s="219"/>
      <c r="P1297" s="219"/>
      <c r="Q1297" s="221"/>
    </row>
    <row r="1298" spans="2:17" x14ac:dyDescent="0.2">
      <c r="B1298" s="219"/>
      <c r="C1298" s="219"/>
      <c r="D1298" s="219"/>
      <c r="E1298" s="219"/>
      <c r="F1298" s="219"/>
      <c r="G1298" s="219"/>
      <c r="H1298" s="219"/>
      <c r="I1298" s="219"/>
      <c r="J1298" s="219"/>
      <c r="K1298" s="219"/>
      <c r="L1298" s="219"/>
      <c r="M1298" s="219"/>
      <c r="N1298" s="219"/>
      <c r="O1298" s="219"/>
      <c r="P1298" s="219"/>
      <c r="Q1298" s="221"/>
    </row>
    <row r="1299" spans="2:17" x14ac:dyDescent="0.2">
      <c r="B1299" s="219"/>
      <c r="C1299" s="219"/>
      <c r="D1299" s="219"/>
      <c r="E1299" s="219"/>
      <c r="F1299" s="219"/>
      <c r="G1299" s="219"/>
      <c r="H1299" s="219"/>
      <c r="I1299" s="219"/>
      <c r="J1299" s="219"/>
      <c r="K1299" s="219"/>
      <c r="L1299" s="219"/>
      <c r="M1299" s="219"/>
      <c r="N1299" s="219"/>
      <c r="O1299" s="219"/>
      <c r="P1299" s="219"/>
      <c r="Q1299" s="221"/>
    </row>
    <row r="1300" spans="2:17" x14ac:dyDescent="0.2">
      <c r="B1300" s="219"/>
      <c r="C1300" s="219"/>
      <c r="D1300" s="219"/>
      <c r="E1300" s="219"/>
      <c r="F1300" s="219"/>
      <c r="G1300" s="219"/>
      <c r="H1300" s="219"/>
      <c r="I1300" s="219"/>
      <c r="J1300" s="219"/>
      <c r="K1300" s="219"/>
      <c r="L1300" s="219"/>
      <c r="M1300" s="219"/>
      <c r="N1300" s="219"/>
      <c r="O1300" s="219"/>
      <c r="P1300" s="219"/>
      <c r="Q1300" s="221"/>
    </row>
    <row r="1301" spans="2:17" x14ac:dyDescent="0.2">
      <c r="B1301" s="219"/>
      <c r="C1301" s="219"/>
      <c r="D1301" s="219"/>
      <c r="E1301" s="219"/>
      <c r="F1301" s="219"/>
      <c r="G1301" s="219"/>
      <c r="H1301" s="219"/>
      <c r="I1301" s="219"/>
      <c r="J1301" s="219"/>
      <c r="K1301" s="219"/>
      <c r="L1301" s="219"/>
      <c r="M1301" s="219"/>
      <c r="N1301" s="219"/>
      <c r="O1301" s="219"/>
      <c r="P1301" s="219"/>
      <c r="Q1301" s="221"/>
    </row>
    <row r="1302" spans="2:17" x14ac:dyDescent="0.2">
      <c r="B1302" s="219"/>
      <c r="C1302" s="219"/>
      <c r="D1302" s="219"/>
      <c r="E1302" s="219"/>
      <c r="F1302" s="219"/>
      <c r="G1302" s="219"/>
      <c r="H1302" s="219"/>
      <c r="I1302" s="219"/>
      <c r="J1302" s="219"/>
      <c r="K1302" s="219"/>
      <c r="L1302" s="219"/>
      <c r="M1302" s="219"/>
      <c r="N1302" s="219"/>
      <c r="O1302" s="219"/>
      <c r="P1302" s="219"/>
      <c r="Q1302" s="221"/>
    </row>
    <row r="1303" spans="2:17" x14ac:dyDescent="0.2">
      <c r="B1303" s="219"/>
      <c r="C1303" s="219"/>
      <c r="D1303" s="219"/>
      <c r="E1303" s="219"/>
      <c r="F1303" s="219"/>
      <c r="G1303" s="219"/>
      <c r="H1303" s="219"/>
      <c r="I1303" s="219"/>
      <c r="J1303" s="219"/>
      <c r="K1303" s="219"/>
      <c r="L1303" s="219"/>
      <c r="M1303" s="219"/>
      <c r="N1303" s="219"/>
      <c r="O1303" s="219"/>
      <c r="P1303" s="219"/>
      <c r="Q1303" s="221"/>
    </row>
    <row r="1304" spans="2:17" x14ac:dyDescent="0.2">
      <c r="B1304" s="219"/>
      <c r="C1304" s="219"/>
      <c r="D1304" s="219"/>
      <c r="E1304" s="219"/>
      <c r="F1304" s="219"/>
      <c r="G1304" s="219"/>
      <c r="H1304" s="219"/>
      <c r="I1304" s="219"/>
      <c r="J1304" s="219"/>
      <c r="K1304" s="219"/>
      <c r="L1304" s="219"/>
      <c r="M1304" s="219"/>
      <c r="N1304" s="219"/>
      <c r="O1304" s="219"/>
      <c r="P1304" s="219"/>
      <c r="Q1304" s="221"/>
    </row>
    <row r="1305" spans="2:17" x14ac:dyDescent="0.2">
      <c r="B1305" s="219"/>
      <c r="C1305" s="219"/>
      <c r="D1305" s="219"/>
      <c r="E1305" s="219"/>
      <c r="F1305" s="219"/>
      <c r="G1305" s="219"/>
      <c r="H1305" s="219"/>
      <c r="I1305" s="219"/>
      <c r="J1305" s="219"/>
      <c r="K1305" s="219"/>
      <c r="L1305" s="219"/>
      <c r="M1305" s="219"/>
      <c r="N1305" s="219"/>
      <c r="O1305" s="219"/>
      <c r="P1305" s="219"/>
      <c r="Q1305" s="221"/>
    </row>
    <row r="1306" spans="2:17" x14ac:dyDescent="0.2">
      <c r="B1306" s="219"/>
      <c r="C1306" s="219"/>
      <c r="D1306" s="219"/>
      <c r="E1306" s="219"/>
      <c r="F1306" s="219"/>
      <c r="G1306" s="219"/>
      <c r="H1306" s="219"/>
      <c r="I1306" s="219"/>
      <c r="J1306" s="219"/>
      <c r="K1306" s="219"/>
      <c r="L1306" s="219"/>
      <c r="M1306" s="219"/>
      <c r="N1306" s="219"/>
      <c r="O1306" s="219"/>
      <c r="P1306" s="219"/>
      <c r="Q1306" s="221"/>
    </row>
    <row r="1307" spans="2:17" x14ac:dyDescent="0.2">
      <c r="B1307" s="219"/>
      <c r="C1307" s="219"/>
      <c r="D1307" s="219"/>
      <c r="E1307" s="219"/>
      <c r="F1307" s="219"/>
      <c r="G1307" s="219"/>
      <c r="H1307" s="219"/>
      <c r="I1307" s="219"/>
      <c r="J1307" s="219"/>
      <c r="K1307" s="219"/>
      <c r="L1307" s="219"/>
      <c r="M1307" s="219"/>
      <c r="N1307" s="219"/>
      <c r="O1307" s="219"/>
      <c r="P1307" s="219"/>
      <c r="Q1307" s="221"/>
    </row>
    <row r="1308" spans="2:17" x14ac:dyDescent="0.2">
      <c r="B1308" s="219"/>
      <c r="C1308" s="219"/>
      <c r="D1308" s="219"/>
      <c r="E1308" s="219"/>
      <c r="F1308" s="219"/>
      <c r="G1308" s="219"/>
      <c r="H1308" s="219"/>
      <c r="I1308" s="219"/>
      <c r="J1308" s="219"/>
      <c r="K1308" s="219"/>
      <c r="L1308" s="219"/>
      <c r="M1308" s="219"/>
      <c r="N1308" s="219"/>
      <c r="O1308" s="219"/>
      <c r="P1308" s="219"/>
      <c r="Q1308" s="221"/>
    </row>
    <row r="1309" spans="2:17" x14ac:dyDescent="0.2">
      <c r="B1309" s="219"/>
      <c r="C1309" s="219"/>
      <c r="D1309" s="219"/>
      <c r="E1309" s="219"/>
      <c r="F1309" s="219"/>
      <c r="G1309" s="219"/>
      <c r="H1309" s="219"/>
      <c r="I1309" s="219"/>
      <c r="J1309" s="219"/>
      <c r="K1309" s="219"/>
      <c r="L1309" s="219"/>
      <c r="M1309" s="219"/>
      <c r="N1309" s="219"/>
      <c r="O1309" s="219"/>
      <c r="P1309" s="219"/>
      <c r="Q1309" s="221"/>
    </row>
    <row r="1310" spans="2:17" x14ac:dyDescent="0.2">
      <c r="B1310" s="219"/>
      <c r="C1310" s="219"/>
      <c r="D1310" s="219"/>
      <c r="E1310" s="219"/>
      <c r="F1310" s="219"/>
      <c r="G1310" s="219"/>
      <c r="H1310" s="219"/>
      <c r="I1310" s="219"/>
      <c r="J1310" s="219"/>
      <c r="K1310" s="219"/>
      <c r="L1310" s="219"/>
      <c r="M1310" s="219"/>
      <c r="N1310" s="219"/>
      <c r="O1310" s="219"/>
      <c r="P1310" s="219"/>
      <c r="Q1310" s="221"/>
    </row>
    <row r="1311" spans="2:17" x14ac:dyDescent="0.2">
      <c r="B1311" s="219"/>
      <c r="C1311" s="219"/>
      <c r="D1311" s="219"/>
      <c r="E1311" s="219"/>
      <c r="F1311" s="219"/>
      <c r="G1311" s="219"/>
      <c r="H1311" s="219"/>
      <c r="I1311" s="219"/>
      <c r="J1311" s="219"/>
      <c r="K1311" s="219"/>
      <c r="L1311" s="219"/>
      <c r="M1311" s="219"/>
      <c r="N1311" s="219"/>
      <c r="O1311" s="219"/>
      <c r="P1311" s="219"/>
      <c r="Q1311" s="221"/>
    </row>
    <row r="1312" spans="2:17" x14ac:dyDescent="0.2">
      <c r="B1312" s="219"/>
      <c r="C1312" s="219"/>
      <c r="D1312" s="219"/>
      <c r="E1312" s="219"/>
      <c r="F1312" s="219"/>
      <c r="G1312" s="219"/>
      <c r="H1312" s="219"/>
      <c r="I1312" s="219"/>
      <c r="J1312" s="219"/>
      <c r="K1312" s="219"/>
      <c r="L1312" s="219"/>
      <c r="M1312" s="219"/>
      <c r="N1312" s="219"/>
      <c r="O1312" s="219"/>
      <c r="P1312" s="219"/>
      <c r="Q1312" s="221"/>
    </row>
    <row r="1313" spans="2:17" x14ac:dyDescent="0.2">
      <c r="B1313" s="219"/>
      <c r="C1313" s="219"/>
      <c r="D1313" s="219"/>
      <c r="E1313" s="219"/>
      <c r="F1313" s="219"/>
      <c r="G1313" s="219"/>
      <c r="H1313" s="219"/>
      <c r="I1313" s="219"/>
      <c r="J1313" s="219"/>
      <c r="K1313" s="219"/>
      <c r="L1313" s="219"/>
      <c r="M1313" s="219"/>
      <c r="N1313" s="219"/>
      <c r="O1313" s="219"/>
      <c r="P1313" s="219"/>
      <c r="Q1313" s="221"/>
    </row>
    <row r="1314" spans="2:17" x14ac:dyDescent="0.2">
      <c r="B1314" s="219"/>
      <c r="C1314" s="219"/>
      <c r="D1314" s="219"/>
      <c r="E1314" s="219"/>
      <c r="F1314" s="219"/>
      <c r="G1314" s="219"/>
      <c r="H1314" s="219"/>
      <c r="I1314" s="219"/>
      <c r="J1314" s="219"/>
      <c r="K1314" s="219"/>
      <c r="L1314" s="219"/>
      <c r="M1314" s="219"/>
      <c r="N1314" s="219"/>
      <c r="O1314" s="219"/>
      <c r="P1314" s="219"/>
      <c r="Q1314" s="221"/>
    </row>
    <row r="1315" spans="2:17" x14ac:dyDescent="0.2">
      <c r="B1315" s="219"/>
      <c r="C1315" s="219"/>
      <c r="D1315" s="219"/>
      <c r="E1315" s="219"/>
      <c r="F1315" s="219"/>
      <c r="G1315" s="219"/>
      <c r="H1315" s="219"/>
      <c r="I1315" s="219"/>
      <c r="J1315" s="219"/>
      <c r="K1315" s="219"/>
      <c r="L1315" s="219"/>
      <c r="M1315" s="219"/>
      <c r="N1315" s="219"/>
      <c r="O1315" s="219"/>
      <c r="P1315" s="219"/>
      <c r="Q1315" s="221"/>
    </row>
    <row r="1316" spans="2:17" x14ac:dyDescent="0.2">
      <c r="B1316" s="219"/>
      <c r="C1316" s="219"/>
      <c r="D1316" s="219"/>
      <c r="E1316" s="219"/>
      <c r="F1316" s="219"/>
      <c r="G1316" s="219"/>
      <c r="H1316" s="219"/>
      <c r="I1316" s="219"/>
      <c r="J1316" s="219"/>
      <c r="K1316" s="219"/>
      <c r="L1316" s="219"/>
      <c r="M1316" s="219"/>
      <c r="N1316" s="219"/>
      <c r="O1316" s="219"/>
      <c r="P1316" s="219"/>
      <c r="Q1316" s="221"/>
    </row>
    <row r="1317" spans="2:17" x14ac:dyDescent="0.2">
      <c r="B1317" s="219"/>
      <c r="C1317" s="219"/>
      <c r="D1317" s="219"/>
      <c r="E1317" s="219"/>
      <c r="F1317" s="219"/>
      <c r="G1317" s="219"/>
      <c r="H1317" s="219"/>
      <c r="I1317" s="219"/>
      <c r="J1317" s="219"/>
      <c r="K1317" s="219"/>
      <c r="L1317" s="219"/>
      <c r="M1317" s="219"/>
      <c r="N1317" s="219"/>
      <c r="O1317" s="219"/>
      <c r="P1317" s="219"/>
      <c r="Q1317" s="221"/>
    </row>
    <row r="1318" spans="2:17" x14ac:dyDescent="0.2">
      <c r="B1318" s="219"/>
      <c r="C1318" s="219"/>
      <c r="D1318" s="219"/>
      <c r="E1318" s="219"/>
      <c r="F1318" s="219"/>
      <c r="G1318" s="219"/>
      <c r="H1318" s="219"/>
      <c r="I1318" s="219"/>
      <c r="J1318" s="219"/>
      <c r="K1318" s="219"/>
      <c r="L1318" s="219"/>
      <c r="M1318" s="219"/>
      <c r="N1318" s="219"/>
      <c r="O1318" s="219"/>
      <c r="P1318" s="219"/>
      <c r="Q1318" s="221"/>
    </row>
    <row r="1319" spans="2:17" x14ac:dyDescent="0.2">
      <c r="B1319" s="219"/>
      <c r="C1319" s="219"/>
      <c r="D1319" s="219"/>
      <c r="E1319" s="219"/>
      <c r="F1319" s="219"/>
      <c r="G1319" s="219"/>
      <c r="H1319" s="219"/>
      <c r="I1319" s="219"/>
      <c r="J1319" s="219"/>
      <c r="K1319" s="219"/>
      <c r="L1319" s="219"/>
      <c r="M1319" s="219"/>
      <c r="N1319" s="219"/>
      <c r="O1319" s="219"/>
      <c r="P1319" s="219"/>
      <c r="Q1319" s="221"/>
    </row>
    <row r="1320" spans="2:17" x14ac:dyDescent="0.2">
      <c r="B1320" s="219"/>
      <c r="C1320" s="219"/>
      <c r="D1320" s="219"/>
      <c r="E1320" s="219"/>
      <c r="F1320" s="219"/>
      <c r="G1320" s="219"/>
      <c r="H1320" s="219"/>
      <c r="I1320" s="219"/>
      <c r="J1320" s="219"/>
      <c r="K1320" s="219"/>
      <c r="L1320" s="219"/>
      <c r="M1320" s="219"/>
      <c r="N1320" s="219"/>
      <c r="O1320" s="219"/>
      <c r="P1320" s="219"/>
      <c r="Q1320" s="221"/>
    </row>
    <row r="1321" spans="2:17" x14ac:dyDescent="0.2">
      <c r="B1321" s="219"/>
      <c r="C1321" s="219"/>
      <c r="D1321" s="219"/>
      <c r="E1321" s="219"/>
      <c r="F1321" s="219"/>
      <c r="G1321" s="219"/>
      <c r="H1321" s="219"/>
      <c r="I1321" s="219"/>
      <c r="J1321" s="219"/>
      <c r="K1321" s="219"/>
      <c r="L1321" s="219"/>
      <c r="M1321" s="219"/>
      <c r="N1321" s="219"/>
      <c r="O1321" s="219"/>
      <c r="P1321" s="219"/>
      <c r="Q1321" s="221"/>
    </row>
    <row r="1322" spans="2:17" x14ac:dyDescent="0.2">
      <c r="B1322" s="219"/>
      <c r="C1322" s="219"/>
      <c r="D1322" s="219"/>
      <c r="E1322" s="219"/>
      <c r="F1322" s="219"/>
      <c r="G1322" s="219"/>
      <c r="H1322" s="219"/>
      <c r="I1322" s="219"/>
      <c r="J1322" s="219"/>
      <c r="K1322" s="219"/>
      <c r="L1322" s="219"/>
      <c r="M1322" s="219"/>
      <c r="N1322" s="219"/>
      <c r="O1322" s="219"/>
      <c r="P1322" s="219"/>
      <c r="Q1322" s="221"/>
    </row>
    <row r="1323" spans="2:17" x14ac:dyDescent="0.2">
      <c r="B1323" s="219"/>
      <c r="C1323" s="219"/>
      <c r="D1323" s="219"/>
      <c r="E1323" s="219"/>
      <c r="F1323" s="219"/>
      <c r="G1323" s="219"/>
      <c r="H1323" s="219"/>
      <c r="I1323" s="219"/>
      <c r="J1323" s="219"/>
      <c r="K1323" s="219"/>
      <c r="L1323" s="219"/>
      <c r="M1323" s="219"/>
      <c r="N1323" s="219"/>
      <c r="O1323" s="219"/>
      <c r="P1323" s="219"/>
      <c r="Q1323" s="221"/>
    </row>
    <row r="1324" spans="2:17" x14ac:dyDescent="0.2">
      <c r="B1324" s="219"/>
      <c r="C1324" s="219"/>
      <c r="D1324" s="219"/>
      <c r="E1324" s="219"/>
      <c r="F1324" s="219"/>
      <c r="G1324" s="219"/>
      <c r="H1324" s="219"/>
      <c r="I1324" s="219"/>
      <c r="J1324" s="219"/>
      <c r="K1324" s="219"/>
      <c r="L1324" s="219"/>
      <c r="M1324" s="219"/>
      <c r="N1324" s="219"/>
      <c r="O1324" s="219"/>
      <c r="P1324" s="219"/>
      <c r="Q1324" s="221"/>
    </row>
    <row r="1325" spans="2:17" x14ac:dyDescent="0.2">
      <c r="B1325" s="219"/>
      <c r="C1325" s="219"/>
      <c r="D1325" s="219"/>
      <c r="E1325" s="219"/>
      <c r="F1325" s="219"/>
      <c r="G1325" s="219"/>
      <c r="H1325" s="219"/>
      <c r="I1325" s="219"/>
      <c r="J1325" s="219"/>
      <c r="K1325" s="219"/>
      <c r="L1325" s="219"/>
      <c r="M1325" s="219"/>
      <c r="N1325" s="219"/>
      <c r="O1325" s="219"/>
      <c r="P1325" s="219"/>
      <c r="Q1325" s="221"/>
    </row>
    <row r="1326" spans="2:17" x14ac:dyDescent="0.2">
      <c r="B1326" s="219"/>
      <c r="C1326" s="219"/>
      <c r="D1326" s="219"/>
      <c r="E1326" s="219"/>
      <c r="F1326" s="219"/>
      <c r="G1326" s="219"/>
      <c r="H1326" s="219"/>
      <c r="I1326" s="219"/>
      <c r="J1326" s="219"/>
      <c r="K1326" s="219"/>
      <c r="L1326" s="219"/>
      <c r="M1326" s="219"/>
      <c r="N1326" s="219"/>
      <c r="O1326" s="219"/>
      <c r="P1326" s="219"/>
      <c r="Q1326" s="221"/>
    </row>
    <row r="1327" spans="2:17" x14ac:dyDescent="0.2">
      <c r="B1327" s="219"/>
      <c r="C1327" s="219"/>
      <c r="D1327" s="219"/>
      <c r="E1327" s="219"/>
      <c r="F1327" s="219"/>
      <c r="G1327" s="219"/>
      <c r="H1327" s="219"/>
      <c r="I1327" s="219"/>
      <c r="J1327" s="219"/>
      <c r="K1327" s="219"/>
      <c r="L1327" s="219"/>
      <c r="M1327" s="219"/>
      <c r="N1327" s="219"/>
      <c r="O1327" s="219"/>
      <c r="P1327" s="219"/>
      <c r="Q1327" s="221"/>
    </row>
    <row r="1328" spans="2:17" x14ac:dyDescent="0.2">
      <c r="B1328" s="219"/>
      <c r="C1328" s="219"/>
      <c r="D1328" s="219"/>
      <c r="E1328" s="219"/>
      <c r="F1328" s="219"/>
      <c r="G1328" s="219"/>
      <c r="H1328" s="219"/>
      <c r="I1328" s="219"/>
      <c r="J1328" s="219"/>
      <c r="K1328" s="219"/>
      <c r="L1328" s="219"/>
      <c r="M1328" s="219"/>
      <c r="N1328" s="219"/>
      <c r="O1328" s="219"/>
      <c r="P1328" s="219"/>
      <c r="Q1328" s="221"/>
    </row>
    <row r="1329" spans="2:17" x14ac:dyDescent="0.2">
      <c r="B1329" s="219"/>
      <c r="C1329" s="219"/>
      <c r="D1329" s="219"/>
      <c r="E1329" s="219"/>
      <c r="F1329" s="219"/>
      <c r="G1329" s="219"/>
      <c r="H1329" s="219"/>
      <c r="I1329" s="219"/>
      <c r="J1329" s="219"/>
      <c r="K1329" s="219"/>
      <c r="L1329" s="219"/>
      <c r="M1329" s="219"/>
      <c r="N1329" s="219"/>
      <c r="O1329" s="219"/>
      <c r="P1329" s="219"/>
      <c r="Q1329" s="221"/>
    </row>
    <row r="1330" spans="2:17" x14ac:dyDescent="0.2">
      <c r="B1330" s="219"/>
      <c r="C1330" s="219"/>
      <c r="D1330" s="219"/>
      <c r="E1330" s="219"/>
      <c r="F1330" s="219"/>
      <c r="G1330" s="219"/>
      <c r="H1330" s="219"/>
      <c r="I1330" s="219"/>
      <c r="J1330" s="219"/>
      <c r="K1330" s="219"/>
      <c r="L1330" s="219"/>
      <c r="M1330" s="219"/>
      <c r="N1330" s="219"/>
      <c r="O1330" s="219"/>
      <c r="P1330" s="219"/>
      <c r="Q1330" s="221"/>
    </row>
    <row r="1331" spans="2:17" x14ac:dyDescent="0.2">
      <c r="B1331" s="219"/>
      <c r="C1331" s="219"/>
      <c r="D1331" s="219"/>
      <c r="E1331" s="219"/>
      <c r="F1331" s="219"/>
      <c r="G1331" s="219"/>
      <c r="H1331" s="219"/>
      <c r="I1331" s="219"/>
      <c r="J1331" s="219"/>
      <c r="K1331" s="219"/>
      <c r="L1331" s="219"/>
      <c r="M1331" s="219"/>
      <c r="N1331" s="219"/>
      <c r="O1331" s="219"/>
      <c r="P1331" s="219"/>
      <c r="Q1331" s="221"/>
    </row>
    <row r="1332" spans="2:17" x14ac:dyDescent="0.2">
      <c r="B1332" s="219"/>
      <c r="C1332" s="219"/>
      <c r="D1332" s="219"/>
      <c r="E1332" s="219"/>
      <c r="F1332" s="219"/>
      <c r="G1332" s="219"/>
      <c r="H1332" s="219"/>
      <c r="I1332" s="219"/>
      <c r="J1332" s="219"/>
      <c r="K1332" s="219"/>
      <c r="L1332" s="219"/>
      <c r="M1332" s="219"/>
      <c r="N1332" s="219"/>
      <c r="O1332" s="219"/>
      <c r="P1332" s="219"/>
      <c r="Q1332" s="221"/>
    </row>
    <row r="1333" spans="2:17" x14ac:dyDescent="0.2">
      <c r="B1333" s="219"/>
      <c r="C1333" s="219"/>
      <c r="D1333" s="219"/>
      <c r="E1333" s="219"/>
      <c r="F1333" s="219"/>
      <c r="G1333" s="219"/>
      <c r="H1333" s="219"/>
      <c r="I1333" s="219"/>
      <c r="J1333" s="219"/>
      <c r="K1333" s="219"/>
      <c r="L1333" s="219"/>
      <c r="M1333" s="219"/>
      <c r="N1333" s="219"/>
      <c r="O1333" s="219"/>
      <c r="P1333" s="219"/>
      <c r="Q1333" s="221"/>
    </row>
    <row r="1334" spans="2:17" x14ac:dyDescent="0.2">
      <c r="B1334" s="219"/>
      <c r="C1334" s="219"/>
      <c r="D1334" s="219"/>
      <c r="E1334" s="219"/>
      <c r="F1334" s="219"/>
      <c r="G1334" s="219"/>
      <c r="H1334" s="219"/>
      <c r="I1334" s="219"/>
      <c r="J1334" s="219"/>
      <c r="K1334" s="219"/>
      <c r="L1334" s="219"/>
      <c r="M1334" s="219"/>
      <c r="N1334" s="219"/>
      <c r="O1334" s="219"/>
      <c r="P1334" s="219"/>
      <c r="Q1334" s="221"/>
    </row>
    <row r="1335" spans="2:17" x14ac:dyDescent="0.2">
      <c r="B1335" s="219"/>
      <c r="C1335" s="219"/>
      <c r="D1335" s="219"/>
      <c r="E1335" s="219"/>
      <c r="F1335" s="219"/>
      <c r="G1335" s="219"/>
      <c r="H1335" s="219"/>
      <c r="I1335" s="219"/>
      <c r="J1335" s="219"/>
      <c r="K1335" s="219"/>
      <c r="L1335" s="219"/>
      <c r="M1335" s="219"/>
      <c r="N1335" s="219"/>
      <c r="O1335" s="219"/>
      <c r="P1335" s="219"/>
      <c r="Q1335" s="221"/>
    </row>
    <row r="1336" spans="2:17" x14ac:dyDescent="0.2">
      <c r="B1336" s="219"/>
      <c r="C1336" s="219"/>
      <c r="D1336" s="219"/>
      <c r="E1336" s="219"/>
      <c r="F1336" s="219"/>
      <c r="G1336" s="219"/>
      <c r="H1336" s="219"/>
      <c r="I1336" s="219"/>
      <c r="J1336" s="219"/>
      <c r="K1336" s="219"/>
      <c r="L1336" s="219"/>
      <c r="M1336" s="219"/>
      <c r="N1336" s="219"/>
      <c r="O1336" s="219"/>
      <c r="P1336" s="219"/>
      <c r="Q1336" s="221"/>
    </row>
    <row r="1337" spans="2:17" x14ac:dyDescent="0.2">
      <c r="B1337" s="219"/>
      <c r="C1337" s="219"/>
      <c r="D1337" s="219"/>
      <c r="E1337" s="219"/>
      <c r="F1337" s="219"/>
      <c r="G1337" s="219"/>
      <c r="H1337" s="219"/>
      <c r="I1337" s="219"/>
      <c r="J1337" s="219"/>
      <c r="K1337" s="219"/>
      <c r="L1337" s="219"/>
      <c r="M1337" s="219"/>
      <c r="N1337" s="219"/>
      <c r="O1337" s="219"/>
      <c r="P1337" s="219"/>
      <c r="Q1337" s="221"/>
    </row>
    <row r="1338" spans="2:17" x14ac:dyDescent="0.2">
      <c r="B1338" s="219"/>
      <c r="C1338" s="219"/>
      <c r="D1338" s="219"/>
      <c r="E1338" s="219"/>
      <c r="F1338" s="219"/>
      <c r="G1338" s="219"/>
      <c r="H1338" s="219"/>
      <c r="I1338" s="219"/>
      <c r="J1338" s="219"/>
      <c r="K1338" s="219"/>
      <c r="L1338" s="219"/>
      <c r="M1338" s="219"/>
      <c r="N1338" s="219"/>
      <c r="O1338" s="219"/>
      <c r="P1338" s="219"/>
      <c r="Q1338" s="221"/>
    </row>
    <row r="1339" spans="2:17" x14ac:dyDescent="0.2">
      <c r="B1339" s="219"/>
      <c r="C1339" s="219"/>
      <c r="D1339" s="219"/>
      <c r="E1339" s="219"/>
      <c r="F1339" s="219"/>
      <c r="G1339" s="219"/>
      <c r="H1339" s="219"/>
      <c r="I1339" s="219"/>
      <c r="J1339" s="219"/>
      <c r="K1339" s="219"/>
      <c r="L1339" s="219"/>
      <c r="M1339" s="219"/>
      <c r="N1339" s="219"/>
      <c r="O1339" s="219"/>
      <c r="P1339" s="219"/>
      <c r="Q1339" s="221"/>
    </row>
    <row r="1340" spans="2:17" x14ac:dyDescent="0.2">
      <c r="B1340" s="219"/>
      <c r="C1340" s="219"/>
      <c r="D1340" s="219"/>
      <c r="E1340" s="219"/>
      <c r="F1340" s="219"/>
      <c r="G1340" s="219"/>
      <c r="H1340" s="219"/>
      <c r="I1340" s="219"/>
      <c r="J1340" s="219"/>
      <c r="K1340" s="219"/>
      <c r="L1340" s="219"/>
      <c r="M1340" s="219"/>
      <c r="N1340" s="219"/>
      <c r="O1340" s="219"/>
      <c r="P1340" s="219"/>
      <c r="Q1340" s="221"/>
    </row>
    <row r="1341" spans="2:17" x14ac:dyDescent="0.2">
      <c r="B1341" s="219"/>
      <c r="C1341" s="219"/>
      <c r="D1341" s="219"/>
      <c r="E1341" s="219"/>
      <c r="F1341" s="219"/>
      <c r="G1341" s="219"/>
      <c r="H1341" s="219"/>
      <c r="I1341" s="219"/>
      <c r="J1341" s="219"/>
      <c r="K1341" s="219"/>
      <c r="L1341" s="219"/>
      <c r="M1341" s="219"/>
      <c r="N1341" s="219"/>
      <c r="O1341" s="219"/>
      <c r="P1341" s="219"/>
      <c r="Q1341" s="221"/>
    </row>
    <row r="1342" spans="2:17" x14ac:dyDescent="0.2">
      <c r="B1342" s="219"/>
      <c r="C1342" s="219"/>
      <c r="D1342" s="219"/>
      <c r="E1342" s="219"/>
      <c r="F1342" s="219"/>
      <c r="G1342" s="219"/>
      <c r="H1342" s="219"/>
      <c r="I1342" s="219"/>
      <c r="J1342" s="219"/>
      <c r="K1342" s="219"/>
      <c r="L1342" s="219"/>
      <c r="M1342" s="219"/>
      <c r="N1342" s="219"/>
      <c r="O1342" s="219"/>
      <c r="P1342" s="219"/>
      <c r="Q1342" s="221"/>
    </row>
    <row r="1343" spans="2:17" x14ac:dyDescent="0.2">
      <c r="B1343" s="219"/>
      <c r="C1343" s="219"/>
      <c r="D1343" s="219"/>
      <c r="E1343" s="219"/>
      <c r="F1343" s="219"/>
      <c r="G1343" s="219"/>
      <c r="H1343" s="219"/>
      <c r="I1343" s="219"/>
      <c r="J1343" s="219"/>
      <c r="K1343" s="219"/>
      <c r="L1343" s="219"/>
      <c r="M1343" s="219"/>
      <c r="N1343" s="219"/>
      <c r="O1343" s="219"/>
      <c r="P1343" s="219"/>
      <c r="Q1343" s="221"/>
    </row>
    <row r="1344" spans="2:17" x14ac:dyDescent="0.2">
      <c r="B1344" s="219"/>
      <c r="C1344" s="219"/>
      <c r="D1344" s="219"/>
      <c r="E1344" s="219"/>
      <c r="F1344" s="219"/>
      <c r="G1344" s="219"/>
      <c r="H1344" s="219"/>
      <c r="I1344" s="219"/>
      <c r="J1344" s="219"/>
      <c r="K1344" s="219"/>
      <c r="L1344" s="219"/>
      <c r="M1344" s="219"/>
      <c r="N1344" s="219"/>
      <c r="O1344" s="219"/>
      <c r="P1344" s="219"/>
      <c r="Q1344" s="221"/>
    </row>
    <row r="1345" spans="2:17" x14ac:dyDescent="0.2">
      <c r="B1345" s="219"/>
      <c r="C1345" s="219"/>
      <c r="D1345" s="219"/>
      <c r="E1345" s="219"/>
      <c r="F1345" s="219"/>
      <c r="G1345" s="219"/>
      <c r="H1345" s="219"/>
      <c r="I1345" s="219"/>
      <c r="J1345" s="219"/>
      <c r="K1345" s="219"/>
      <c r="L1345" s="219"/>
      <c r="M1345" s="219"/>
      <c r="N1345" s="219"/>
      <c r="O1345" s="219"/>
      <c r="P1345" s="219"/>
      <c r="Q1345" s="221"/>
    </row>
    <row r="1346" spans="2:17" x14ac:dyDescent="0.2">
      <c r="B1346" s="219"/>
      <c r="C1346" s="219"/>
      <c r="D1346" s="219"/>
      <c r="E1346" s="219"/>
      <c r="F1346" s="219"/>
      <c r="G1346" s="219"/>
      <c r="H1346" s="219"/>
      <c r="I1346" s="219"/>
      <c r="J1346" s="219"/>
      <c r="K1346" s="219"/>
      <c r="L1346" s="219"/>
      <c r="M1346" s="219"/>
      <c r="N1346" s="219"/>
      <c r="O1346" s="219"/>
      <c r="P1346" s="219"/>
      <c r="Q1346" s="221"/>
    </row>
    <row r="1347" spans="2:17" x14ac:dyDescent="0.2">
      <c r="B1347" s="219"/>
      <c r="C1347" s="219"/>
      <c r="D1347" s="219"/>
      <c r="E1347" s="219"/>
      <c r="F1347" s="219"/>
      <c r="G1347" s="219"/>
      <c r="H1347" s="219"/>
      <c r="I1347" s="219"/>
      <c r="J1347" s="219"/>
      <c r="K1347" s="219"/>
      <c r="L1347" s="219"/>
      <c r="M1347" s="219"/>
      <c r="N1347" s="219"/>
      <c r="O1347" s="219"/>
      <c r="P1347" s="219"/>
      <c r="Q1347" s="221"/>
    </row>
    <row r="1348" spans="2:17" x14ac:dyDescent="0.2">
      <c r="B1348" s="219"/>
      <c r="C1348" s="219"/>
      <c r="D1348" s="219"/>
      <c r="E1348" s="219"/>
      <c r="F1348" s="219"/>
      <c r="G1348" s="219"/>
      <c r="H1348" s="219"/>
      <c r="I1348" s="219"/>
      <c r="J1348" s="219"/>
      <c r="K1348" s="219"/>
      <c r="L1348" s="219"/>
      <c r="M1348" s="219"/>
      <c r="N1348" s="219"/>
      <c r="O1348" s="219"/>
      <c r="P1348" s="219"/>
      <c r="Q1348" s="221"/>
    </row>
    <row r="1349" spans="2:17" x14ac:dyDescent="0.2">
      <c r="B1349" s="219"/>
      <c r="C1349" s="219"/>
      <c r="D1349" s="219"/>
      <c r="E1349" s="219"/>
      <c r="F1349" s="219"/>
      <c r="G1349" s="219"/>
      <c r="H1349" s="219"/>
      <c r="I1349" s="219"/>
      <c r="J1349" s="219"/>
      <c r="K1349" s="219"/>
      <c r="L1349" s="219"/>
      <c r="M1349" s="219"/>
      <c r="N1349" s="219"/>
      <c r="O1349" s="219"/>
      <c r="P1349" s="219"/>
      <c r="Q1349" s="221"/>
    </row>
    <row r="1350" spans="2:17" x14ac:dyDescent="0.2">
      <c r="B1350" s="219"/>
      <c r="C1350" s="219"/>
      <c r="D1350" s="219"/>
      <c r="E1350" s="219"/>
      <c r="F1350" s="219"/>
      <c r="G1350" s="219"/>
      <c r="H1350" s="219"/>
      <c r="I1350" s="219"/>
      <c r="J1350" s="219"/>
      <c r="K1350" s="219"/>
      <c r="L1350" s="219"/>
      <c r="M1350" s="219"/>
      <c r="N1350" s="219"/>
      <c r="O1350" s="219"/>
      <c r="P1350" s="219"/>
      <c r="Q1350" s="221"/>
    </row>
    <row r="1351" spans="2:17" x14ac:dyDescent="0.2">
      <c r="B1351" s="219"/>
      <c r="C1351" s="219"/>
      <c r="D1351" s="219"/>
      <c r="E1351" s="219"/>
      <c r="F1351" s="219"/>
      <c r="G1351" s="219"/>
      <c r="H1351" s="219"/>
      <c r="I1351" s="219"/>
      <c r="J1351" s="219"/>
      <c r="K1351" s="219"/>
      <c r="L1351" s="219"/>
      <c r="M1351" s="219"/>
      <c r="N1351" s="219"/>
      <c r="O1351" s="219"/>
      <c r="P1351" s="219"/>
      <c r="Q1351" s="221"/>
    </row>
    <row r="1352" spans="2:17" x14ac:dyDescent="0.2">
      <c r="B1352" s="219"/>
      <c r="C1352" s="219"/>
      <c r="D1352" s="219"/>
      <c r="E1352" s="219"/>
      <c r="F1352" s="219"/>
      <c r="G1352" s="219"/>
      <c r="H1352" s="219"/>
      <c r="I1352" s="219"/>
      <c r="J1352" s="219"/>
      <c r="K1352" s="219"/>
      <c r="L1352" s="219"/>
      <c r="M1352" s="219"/>
      <c r="N1352" s="219"/>
      <c r="O1352" s="219"/>
      <c r="P1352" s="219"/>
      <c r="Q1352" s="221"/>
    </row>
    <row r="1353" spans="2:17" x14ac:dyDescent="0.2">
      <c r="B1353" s="219"/>
      <c r="C1353" s="219"/>
      <c r="D1353" s="219"/>
      <c r="E1353" s="219"/>
      <c r="F1353" s="219"/>
      <c r="G1353" s="219"/>
      <c r="H1353" s="219"/>
      <c r="I1353" s="219"/>
      <c r="J1353" s="219"/>
      <c r="K1353" s="219"/>
      <c r="L1353" s="219"/>
      <c r="M1353" s="219"/>
      <c r="N1353" s="219"/>
      <c r="O1353" s="219"/>
      <c r="P1353" s="219"/>
      <c r="Q1353" s="221"/>
    </row>
    <row r="1354" spans="2:17" x14ac:dyDescent="0.2">
      <c r="B1354" s="219"/>
      <c r="C1354" s="219"/>
      <c r="D1354" s="219"/>
      <c r="E1354" s="219"/>
      <c r="F1354" s="219"/>
      <c r="G1354" s="219"/>
      <c r="H1354" s="219"/>
      <c r="I1354" s="219"/>
      <c r="J1354" s="219"/>
      <c r="K1354" s="219"/>
      <c r="L1354" s="219"/>
      <c r="M1354" s="219"/>
      <c r="N1354" s="219"/>
      <c r="O1354" s="219"/>
      <c r="P1354" s="219"/>
      <c r="Q1354" s="221"/>
    </row>
    <row r="1355" spans="2:17" x14ac:dyDescent="0.2">
      <c r="B1355" s="219"/>
      <c r="C1355" s="219"/>
      <c r="D1355" s="219"/>
      <c r="E1355" s="219"/>
      <c r="F1355" s="219"/>
      <c r="G1355" s="219"/>
      <c r="H1355" s="219"/>
      <c r="I1355" s="219"/>
      <c r="J1355" s="219"/>
      <c r="K1355" s="219"/>
      <c r="L1355" s="219"/>
      <c r="M1355" s="219"/>
      <c r="N1355" s="219"/>
      <c r="O1355" s="219"/>
      <c r="P1355" s="219"/>
      <c r="Q1355" s="221"/>
    </row>
    <row r="1356" spans="2:17" x14ac:dyDescent="0.2">
      <c r="B1356" s="219"/>
      <c r="C1356" s="219"/>
      <c r="D1356" s="219"/>
      <c r="E1356" s="219"/>
      <c r="F1356" s="219"/>
      <c r="G1356" s="219"/>
      <c r="H1356" s="219"/>
      <c r="I1356" s="219"/>
      <c r="J1356" s="219"/>
      <c r="K1356" s="219"/>
      <c r="L1356" s="219"/>
      <c r="M1356" s="219"/>
      <c r="N1356" s="219"/>
      <c r="O1356" s="219"/>
      <c r="P1356" s="219"/>
      <c r="Q1356" s="221"/>
    </row>
    <row r="1357" spans="2:17" x14ac:dyDescent="0.2">
      <c r="B1357" s="219"/>
      <c r="C1357" s="219"/>
      <c r="D1357" s="219"/>
      <c r="E1357" s="219"/>
      <c r="F1357" s="219"/>
      <c r="G1357" s="219"/>
      <c r="H1357" s="219"/>
      <c r="I1357" s="219"/>
      <c r="J1357" s="219"/>
      <c r="K1357" s="219"/>
      <c r="L1357" s="219"/>
      <c r="M1357" s="219"/>
      <c r="N1357" s="219"/>
      <c r="O1357" s="219"/>
      <c r="P1357" s="219"/>
      <c r="Q1357" s="221"/>
    </row>
    <row r="1358" spans="2:17" x14ac:dyDescent="0.2">
      <c r="B1358" s="219"/>
      <c r="C1358" s="219"/>
      <c r="D1358" s="219"/>
      <c r="E1358" s="219"/>
      <c r="F1358" s="219"/>
      <c r="G1358" s="219"/>
      <c r="H1358" s="219"/>
      <c r="I1358" s="219"/>
      <c r="J1358" s="219"/>
      <c r="K1358" s="219"/>
      <c r="L1358" s="219"/>
      <c r="M1358" s="219"/>
      <c r="N1358" s="219"/>
      <c r="O1358" s="219"/>
      <c r="P1358" s="219"/>
      <c r="Q1358" s="221"/>
    </row>
    <row r="1359" spans="2:17" x14ac:dyDescent="0.2">
      <c r="B1359" s="219"/>
      <c r="C1359" s="219"/>
      <c r="D1359" s="219"/>
      <c r="E1359" s="219"/>
      <c r="F1359" s="219"/>
      <c r="G1359" s="219"/>
      <c r="H1359" s="219"/>
      <c r="I1359" s="219"/>
      <c r="J1359" s="219"/>
      <c r="K1359" s="219"/>
      <c r="L1359" s="219"/>
      <c r="M1359" s="219"/>
      <c r="N1359" s="219"/>
      <c r="O1359" s="219"/>
      <c r="P1359" s="219"/>
      <c r="Q1359" s="221"/>
    </row>
    <row r="1360" spans="2:17" x14ac:dyDescent="0.2">
      <c r="B1360" s="219"/>
      <c r="C1360" s="219"/>
      <c r="D1360" s="219"/>
      <c r="E1360" s="219"/>
      <c r="F1360" s="219"/>
      <c r="G1360" s="219"/>
      <c r="H1360" s="219"/>
      <c r="I1360" s="219"/>
      <c r="J1360" s="219"/>
      <c r="K1360" s="219"/>
      <c r="L1360" s="219"/>
      <c r="M1360" s="219"/>
      <c r="N1360" s="219"/>
      <c r="O1360" s="219"/>
      <c r="P1360" s="219"/>
      <c r="Q1360" s="221"/>
    </row>
    <row r="1361" spans="2:17" x14ac:dyDescent="0.2">
      <c r="B1361" s="219"/>
      <c r="C1361" s="219"/>
      <c r="D1361" s="219"/>
      <c r="E1361" s="219"/>
      <c r="F1361" s="219"/>
      <c r="G1361" s="219"/>
      <c r="H1361" s="219"/>
      <c r="I1361" s="219"/>
      <c r="J1361" s="219"/>
      <c r="K1361" s="219"/>
      <c r="L1361" s="219"/>
      <c r="M1361" s="219"/>
      <c r="N1361" s="219"/>
      <c r="O1361" s="219"/>
      <c r="P1361" s="219"/>
      <c r="Q1361" s="221"/>
    </row>
    <row r="1362" spans="2:17" x14ac:dyDescent="0.2">
      <c r="B1362" s="219"/>
      <c r="C1362" s="219"/>
      <c r="D1362" s="219"/>
      <c r="E1362" s="219"/>
      <c r="F1362" s="219"/>
      <c r="G1362" s="219"/>
      <c r="H1362" s="219"/>
      <c r="I1362" s="219"/>
      <c r="J1362" s="219"/>
      <c r="K1362" s="219"/>
      <c r="L1362" s="219"/>
      <c r="M1362" s="219"/>
      <c r="N1362" s="219"/>
      <c r="O1362" s="219"/>
      <c r="P1362" s="219"/>
      <c r="Q1362" s="221"/>
    </row>
    <row r="1363" spans="2:17" x14ac:dyDescent="0.2">
      <c r="B1363" s="219"/>
      <c r="C1363" s="219"/>
      <c r="D1363" s="219"/>
      <c r="E1363" s="219"/>
      <c r="F1363" s="219"/>
      <c r="G1363" s="219"/>
      <c r="H1363" s="219"/>
      <c r="I1363" s="219"/>
      <c r="J1363" s="219"/>
      <c r="K1363" s="219"/>
      <c r="L1363" s="219"/>
      <c r="M1363" s="219"/>
      <c r="N1363" s="219"/>
      <c r="O1363" s="219"/>
      <c r="P1363" s="219"/>
      <c r="Q1363" s="221"/>
    </row>
    <row r="1364" spans="2:17" x14ac:dyDescent="0.2">
      <c r="B1364" s="219"/>
      <c r="C1364" s="219"/>
      <c r="D1364" s="219"/>
      <c r="E1364" s="219"/>
      <c r="F1364" s="219"/>
      <c r="G1364" s="219"/>
      <c r="H1364" s="219"/>
      <c r="I1364" s="219"/>
      <c r="J1364" s="219"/>
      <c r="K1364" s="219"/>
      <c r="L1364" s="219"/>
      <c r="M1364" s="219"/>
      <c r="N1364" s="219"/>
      <c r="O1364" s="219"/>
      <c r="P1364" s="219"/>
      <c r="Q1364" s="221"/>
    </row>
    <row r="1365" spans="2:17" x14ac:dyDescent="0.2">
      <c r="B1365" s="219"/>
      <c r="C1365" s="219"/>
      <c r="D1365" s="219"/>
      <c r="E1365" s="219"/>
      <c r="F1365" s="219"/>
      <c r="G1365" s="219"/>
      <c r="H1365" s="219"/>
      <c r="I1365" s="219"/>
      <c r="J1365" s="219"/>
      <c r="K1365" s="219"/>
      <c r="L1365" s="219"/>
      <c r="M1365" s="219"/>
      <c r="N1365" s="219"/>
      <c r="O1365" s="219"/>
      <c r="P1365" s="219"/>
      <c r="Q1365" s="221"/>
    </row>
    <row r="1366" spans="2:17" x14ac:dyDescent="0.2">
      <c r="B1366" s="219"/>
      <c r="C1366" s="219"/>
      <c r="D1366" s="219"/>
      <c r="E1366" s="219"/>
      <c r="F1366" s="219"/>
      <c r="G1366" s="219"/>
      <c r="H1366" s="219"/>
      <c r="I1366" s="219"/>
      <c r="J1366" s="219"/>
      <c r="K1366" s="219"/>
      <c r="L1366" s="219"/>
      <c r="M1366" s="219"/>
      <c r="N1366" s="219"/>
      <c r="O1366" s="219"/>
      <c r="P1366" s="219"/>
      <c r="Q1366" s="221"/>
    </row>
    <row r="1367" spans="2:17" x14ac:dyDescent="0.2">
      <c r="B1367" s="219"/>
      <c r="C1367" s="219"/>
      <c r="D1367" s="219"/>
      <c r="E1367" s="219"/>
      <c r="F1367" s="219"/>
      <c r="G1367" s="219"/>
      <c r="H1367" s="219"/>
      <c r="I1367" s="219"/>
      <c r="J1367" s="219"/>
      <c r="K1367" s="219"/>
      <c r="L1367" s="219"/>
      <c r="M1367" s="219"/>
      <c r="N1367" s="219"/>
      <c r="O1367" s="219"/>
      <c r="P1367" s="219"/>
      <c r="Q1367" s="221"/>
    </row>
    <row r="1368" spans="2:17" x14ac:dyDescent="0.2">
      <c r="B1368" s="219"/>
      <c r="C1368" s="219"/>
      <c r="D1368" s="219"/>
      <c r="E1368" s="219"/>
      <c r="F1368" s="219"/>
      <c r="G1368" s="219"/>
      <c r="H1368" s="219"/>
      <c r="I1368" s="219"/>
      <c r="J1368" s="219"/>
      <c r="K1368" s="219"/>
      <c r="L1368" s="219"/>
      <c r="M1368" s="219"/>
      <c r="N1368" s="219"/>
      <c r="O1368" s="219"/>
      <c r="P1368" s="219"/>
      <c r="Q1368" s="221"/>
    </row>
    <row r="1369" spans="2:17" x14ac:dyDescent="0.2">
      <c r="B1369" s="219"/>
      <c r="C1369" s="219"/>
      <c r="D1369" s="219"/>
      <c r="E1369" s="219"/>
      <c r="F1369" s="219"/>
      <c r="G1369" s="219"/>
      <c r="H1369" s="219"/>
      <c r="I1369" s="219"/>
      <c r="J1369" s="219"/>
      <c r="K1369" s="219"/>
      <c r="L1369" s="219"/>
      <c r="M1369" s="219"/>
      <c r="N1369" s="219"/>
      <c r="O1369" s="219"/>
      <c r="P1369" s="219"/>
      <c r="Q1369" s="221"/>
    </row>
    <row r="1370" spans="2:17" x14ac:dyDescent="0.2">
      <c r="B1370" s="219"/>
      <c r="C1370" s="219"/>
      <c r="D1370" s="219"/>
      <c r="E1370" s="219"/>
      <c r="F1370" s="219"/>
      <c r="G1370" s="219"/>
      <c r="H1370" s="219"/>
      <c r="I1370" s="219"/>
      <c r="J1370" s="219"/>
      <c r="K1370" s="219"/>
      <c r="L1370" s="219"/>
      <c r="M1370" s="219"/>
      <c r="N1370" s="219"/>
      <c r="O1370" s="219"/>
      <c r="P1370" s="219"/>
      <c r="Q1370" s="221"/>
    </row>
    <row r="1371" spans="2:17" x14ac:dyDescent="0.2">
      <c r="B1371" s="219"/>
      <c r="C1371" s="219"/>
      <c r="D1371" s="219"/>
      <c r="E1371" s="219"/>
      <c r="F1371" s="219"/>
      <c r="G1371" s="219"/>
      <c r="H1371" s="219"/>
      <c r="I1371" s="219"/>
      <c r="J1371" s="219"/>
      <c r="K1371" s="219"/>
      <c r="L1371" s="219"/>
      <c r="M1371" s="219"/>
      <c r="N1371" s="219"/>
      <c r="O1371" s="219"/>
      <c r="P1371" s="219"/>
      <c r="Q1371" s="221"/>
    </row>
    <row r="1372" spans="2:17" x14ac:dyDescent="0.2">
      <c r="B1372" s="219"/>
      <c r="C1372" s="219"/>
      <c r="D1372" s="219"/>
      <c r="E1372" s="219"/>
      <c r="F1372" s="219"/>
      <c r="G1372" s="219"/>
      <c r="H1372" s="219"/>
      <c r="I1372" s="219"/>
      <c r="J1372" s="219"/>
      <c r="K1372" s="219"/>
      <c r="L1372" s="219"/>
      <c r="M1372" s="219"/>
      <c r="N1372" s="219"/>
      <c r="O1372" s="219"/>
      <c r="P1372" s="219"/>
      <c r="Q1372" s="221"/>
    </row>
    <row r="1373" spans="2:17" x14ac:dyDescent="0.2">
      <c r="B1373" s="219"/>
      <c r="C1373" s="219"/>
      <c r="D1373" s="219"/>
      <c r="E1373" s="219"/>
      <c r="F1373" s="219"/>
      <c r="G1373" s="219"/>
      <c r="H1373" s="219"/>
      <c r="I1373" s="219"/>
      <c r="J1373" s="219"/>
      <c r="K1373" s="219"/>
      <c r="L1373" s="219"/>
      <c r="M1373" s="219"/>
      <c r="N1373" s="219"/>
      <c r="O1373" s="219"/>
      <c r="P1373" s="219"/>
      <c r="Q1373" s="221"/>
    </row>
    <row r="1374" spans="2:17" x14ac:dyDescent="0.2">
      <c r="B1374" s="219"/>
      <c r="C1374" s="219"/>
      <c r="D1374" s="219"/>
      <c r="E1374" s="219"/>
      <c r="F1374" s="219"/>
      <c r="G1374" s="219"/>
      <c r="H1374" s="219"/>
      <c r="I1374" s="219"/>
      <c r="J1374" s="219"/>
      <c r="K1374" s="219"/>
      <c r="L1374" s="219"/>
      <c r="M1374" s="219"/>
      <c r="N1374" s="219"/>
      <c r="O1374" s="219"/>
      <c r="P1374" s="219"/>
      <c r="Q1374" s="221"/>
    </row>
    <row r="1375" spans="2:17" x14ac:dyDescent="0.2">
      <c r="B1375" s="219"/>
      <c r="C1375" s="219"/>
      <c r="D1375" s="219"/>
      <c r="E1375" s="219"/>
      <c r="F1375" s="219"/>
      <c r="G1375" s="219"/>
      <c r="H1375" s="219"/>
      <c r="I1375" s="219"/>
      <c r="J1375" s="219"/>
      <c r="K1375" s="219"/>
      <c r="L1375" s="219"/>
      <c r="M1375" s="219"/>
      <c r="N1375" s="219"/>
      <c r="O1375" s="219"/>
      <c r="P1375" s="219"/>
      <c r="Q1375" s="221"/>
    </row>
    <row r="1376" spans="2:17" x14ac:dyDescent="0.2">
      <c r="B1376" s="219"/>
      <c r="C1376" s="219"/>
      <c r="D1376" s="219"/>
      <c r="E1376" s="219"/>
      <c r="F1376" s="219"/>
      <c r="G1376" s="219"/>
      <c r="H1376" s="219"/>
      <c r="I1376" s="219"/>
      <c r="J1376" s="219"/>
      <c r="K1376" s="219"/>
      <c r="L1376" s="219"/>
      <c r="M1376" s="219"/>
      <c r="N1376" s="219"/>
      <c r="O1376" s="219"/>
      <c r="P1376" s="219"/>
      <c r="Q1376" s="221"/>
    </row>
    <row r="1377" spans="2:17" x14ac:dyDescent="0.2">
      <c r="B1377" s="219"/>
      <c r="C1377" s="219"/>
      <c r="D1377" s="219"/>
      <c r="E1377" s="219"/>
      <c r="F1377" s="219"/>
      <c r="G1377" s="219"/>
      <c r="H1377" s="219"/>
      <c r="I1377" s="219"/>
      <c r="J1377" s="219"/>
      <c r="K1377" s="219"/>
      <c r="L1377" s="219"/>
      <c r="M1377" s="219"/>
      <c r="N1377" s="219"/>
      <c r="O1377" s="219"/>
      <c r="P1377" s="219"/>
      <c r="Q1377" s="221"/>
    </row>
    <row r="1378" spans="2:17" x14ac:dyDescent="0.2">
      <c r="B1378" s="219"/>
      <c r="C1378" s="219"/>
      <c r="D1378" s="219"/>
      <c r="E1378" s="219"/>
      <c r="F1378" s="219"/>
      <c r="G1378" s="219"/>
      <c r="H1378" s="219"/>
      <c r="I1378" s="219"/>
      <c r="J1378" s="219"/>
      <c r="K1378" s="219"/>
      <c r="L1378" s="219"/>
      <c r="M1378" s="219"/>
      <c r="N1378" s="219"/>
      <c r="O1378" s="219"/>
      <c r="P1378" s="219"/>
      <c r="Q1378" s="221"/>
    </row>
    <row r="1379" spans="2:17" x14ac:dyDescent="0.2">
      <c r="B1379" s="219"/>
      <c r="C1379" s="219"/>
      <c r="D1379" s="219"/>
      <c r="E1379" s="219"/>
      <c r="F1379" s="219"/>
      <c r="G1379" s="219"/>
      <c r="H1379" s="219"/>
      <c r="I1379" s="219"/>
      <c r="J1379" s="219"/>
      <c r="K1379" s="219"/>
      <c r="L1379" s="219"/>
      <c r="M1379" s="219"/>
      <c r="N1379" s="219"/>
      <c r="O1379" s="219"/>
      <c r="P1379" s="219"/>
      <c r="Q1379" s="221"/>
    </row>
    <row r="1380" spans="2:17" x14ac:dyDescent="0.2">
      <c r="B1380" s="219"/>
      <c r="C1380" s="219"/>
      <c r="D1380" s="219"/>
      <c r="E1380" s="219"/>
      <c r="F1380" s="219"/>
      <c r="G1380" s="219"/>
      <c r="H1380" s="219"/>
      <c r="I1380" s="219"/>
      <c r="J1380" s="219"/>
      <c r="K1380" s="219"/>
      <c r="L1380" s="219"/>
      <c r="M1380" s="219"/>
      <c r="N1380" s="219"/>
      <c r="O1380" s="219"/>
      <c r="P1380" s="219"/>
      <c r="Q1380" s="221"/>
    </row>
    <row r="1381" spans="2:17" x14ac:dyDescent="0.2">
      <c r="B1381" s="219"/>
      <c r="C1381" s="219"/>
      <c r="D1381" s="219"/>
      <c r="E1381" s="219"/>
      <c r="F1381" s="219"/>
      <c r="G1381" s="219"/>
      <c r="H1381" s="219"/>
      <c r="I1381" s="219"/>
      <c r="J1381" s="219"/>
      <c r="K1381" s="219"/>
      <c r="L1381" s="219"/>
      <c r="M1381" s="219"/>
      <c r="N1381" s="219"/>
      <c r="O1381" s="219"/>
      <c r="P1381" s="219"/>
      <c r="Q1381" s="221"/>
    </row>
    <row r="1382" spans="2:17" x14ac:dyDescent="0.2">
      <c r="B1382" s="219"/>
      <c r="C1382" s="219"/>
      <c r="D1382" s="219"/>
      <c r="E1382" s="219"/>
      <c r="F1382" s="219"/>
      <c r="G1382" s="219"/>
      <c r="H1382" s="219"/>
      <c r="I1382" s="219"/>
      <c r="J1382" s="219"/>
      <c r="K1382" s="219"/>
      <c r="L1382" s="219"/>
      <c r="M1382" s="219"/>
      <c r="N1382" s="219"/>
      <c r="O1382" s="219"/>
      <c r="P1382" s="219"/>
      <c r="Q1382" s="221"/>
    </row>
    <row r="1383" spans="2:17" x14ac:dyDescent="0.2">
      <c r="B1383" s="219"/>
      <c r="C1383" s="219"/>
      <c r="D1383" s="219"/>
      <c r="E1383" s="219"/>
      <c r="F1383" s="219"/>
      <c r="G1383" s="219"/>
      <c r="H1383" s="219"/>
      <c r="I1383" s="219"/>
      <c r="J1383" s="219"/>
      <c r="K1383" s="219"/>
      <c r="L1383" s="219"/>
      <c r="M1383" s="219"/>
      <c r="N1383" s="219"/>
      <c r="O1383" s="219"/>
      <c r="P1383" s="219"/>
      <c r="Q1383" s="221"/>
    </row>
    <row r="1384" spans="2:17" x14ac:dyDescent="0.2">
      <c r="B1384" s="219"/>
      <c r="C1384" s="219"/>
      <c r="D1384" s="219"/>
      <c r="E1384" s="219"/>
      <c r="F1384" s="219"/>
      <c r="G1384" s="219"/>
      <c r="H1384" s="219"/>
      <c r="I1384" s="219"/>
      <c r="J1384" s="219"/>
      <c r="K1384" s="219"/>
      <c r="L1384" s="219"/>
      <c r="M1384" s="219"/>
      <c r="N1384" s="219"/>
      <c r="O1384" s="219"/>
      <c r="P1384" s="219"/>
      <c r="Q1384" s="221"/>
    </row>
    <row r="1385" spans="2:17" x14ac:dyDescent="0.2">
      <c r="B1385" s="219"/>
      <c r="C1385" s="219"/>
      <c r="D1385" s="219"/>
      <c r="E1385" s="219"/>
      <c r="F1385" s="219"/>
      <c r="G1385" s="219"/>
      <c r="H1385" s="219"/>
      <c r="I1385" s="219"/>
      <c r="J1385" s="219"/>
      <c r="K1385" s="219"/>
      <c r="L1385" s="219"/>
      <c r="M1385" s="219"/>
      <c r="N1385" s="219"/>
      <c r="O1385" s="219"/>
      <c r="P1385" s="219"/>
      <c r="Q1385" s="221"/>
    </row>
    <row r="1386" spans="2:17" x14ac:dyDescent="0.2">
      <c r="B1386" s="219"/>
      <c r="C1386" s="219"/>
      <c r="D1386" s="219"/>
      <c r="E1386" s="219"/>
      <c r="F1386" s="219"/>
      <c r="G1386" s="219"/>
      <c r="H1386" s="219"/>
      <c r="I1386" s="219"/>
      <c r="J1386" s="219"/>
      <c r="K1386" s="219"/>
      <c r="L1386" s="219"/>
      <c r="M1386" s="219"/>
      <c r="N1386" s="219"/>
      <c r="O1386" s="219"/>
      <c r="P1386" s="219"/>
      <c r="Q1386" s="221"/>
    </row>
    <row r="1387" spans="2:17" x14ac:dyDescent="0.2">
      <c r="B1387" s="219"/>
      <c r="C1387" s="219"/>
      <c r="D1387" s="219"/>
      <c r="E1387" s="219"/>
      <c r="F1387" s="219"/>
      <c r="G1387" s="219"/>
      <c r="H1387" s="219"/>
      <c r="I1387" s="219"/>
      <c r="J1387" s="219"/>
      <c r="K1387" s="219"/>
      <c r="L1387" s="219"/>
      <c r="M1387" s="219"/>
      <c r="N1387" s="219"/>
      <c r="O1387" s="219"/>
      <c r="P1387" s="219"/>
      <c r="Q1387" s="221"/>
    </row>
    <row r="1388" spans="2:17" x14ac:dyDescent="0.2">
      <c r="B1388" s="219"/>
      <c r="C1388" s="219"/>
      <c r="D1388" s="219"/>
      <c r="E1388" s="219"/>
      <c r="F1388" s="219"/>
      <c r="G1388" s="219"/>
      <c r="H1388" s="219"/>
      <c r="I1388" s="219"/>
      <c r="J1388" s="219"/>
      <c r="K1388" s="219"/>
      <c r="L1388" s="219"/>
      <c r="M1388" s="219"/>
      <c r="N1388" s="219"/>
      <c r="O1388" s="219"/>
      <c r="P1388" s="219"/>
      <c r="Q1388" s="221"/>
    </row>
    <row r="1389" spans="2:17" x14ac:dyDescent="0.2">
      <c r="B1389" s="219"/>
      <c r="C1389" s="219"/>
      <c r="D1389" s="219"/>
      <c r="E1389" s="219"/>
      <c r="F1389" s="219"/>
      <c r="G1389" s="219"/>
      <c r="H1389" s="219"/>
      <c r="I1389" s="219"/>
      <c r="J1389" s="219"/>
      <c r="K1389" s="219"/>
      <c r="L1389" s="219"/>
      <c r="M1389" s="219"/>
      <c r="N1389" s="219"/>
      <c r="O1389" s="219"/>
      <c r="P1389" s="219"/>
      <c r="Q1389" s="221"/>
    </row>
    <row r="1390" spans="2:17" x14ac:dyDescent="0.2">
      <c r="B1390" s="219"/>
      <c r="C1390" s="219"/>
      <c r="D1390" s="219"/>
      <c r="E1390" s="219"/>
      <c r="F1390" s="219"/>
      <c r="G1390" s="219"/>
      <c r="H1390" s="219"/>
      <c r="I1390" s="219"/>
      <c r="J1390" s="219"/>
      <c r="K1390" s="219"/>
      <c r="L1390" s="219"/>
      <c r="M1390" s="219"/>
      <c r="N1390" s="219"/>
      <c r="O1390" s="219"/>
      <c r="P1390" s="219"/>
      <c r="Q1390" s="221"/>
    </row>
    <row r="1391" spans="2:17" x14ac:dyDescent="0.2">
      <c r="B1391" s="219"/>
      <c r="C1391" s="219"/>
      <c r="D1391" s="219"/>
      <c r="E1391" s="219"/>
      <c r="F1391" s="219"/>
      <c r="G1391" s="219"/>
      <c r="H1391" s="219"/>
      <c r="I1391" s="219"/>
      <c r="J1391" s="219"/>
      <c r="K1391" s="219"/>
      <c r="L1391" s="219"/>
      <c r="M1391" s="219"/>
      <c r="N1391" s="219"/>
      <c r="O1391" s="219"/>
      <c r="P1391" s="219"/>
      <c r="Q1391" s="221"/>
    </row>
    <row r="1392" spans="2:17" x14ac:dyDescent="0.2">
      <c r="B1392" s="219"/>
      <c r="C1392" s="219"/>
      <c r="D1392" s="219"/>
      <c r="E1392" s="219"/>
      <c r="F1392" s="219"/>
      <c r="G1392" s="219"/>
      <c r="H1392" s="219"/>
      <c r="I1392" s="219"/>
      <c r="J1392" s="219"/>
      <c r="K1392" s="219"/>
      <c r="L1392" s="219"/>
      <c r="M1392" s="219"/>
      <c r="N1392" s="219"/>
      <c r="O1392" s="219"/>
      <c r="P1392" s="219"/>
      <c r="Q1392" s="221"/>
    </row>
    <row r="1393" spans="2:17" x14ac:dyDescent="0.2">
      <c r="B1393" s="219"/>
      <c r="C1393" s="219"/>
      <c r="D1393" s="219"/>
      <c r="E1393" s="219"/>
      <c r="F1393" s="219"/>
      <c r="G1393" s="219"/>
      <c r="H1393" s="219"/>
      <c r="I1393" s="219"/>
      <c r="J1393" s="219"/>
      <c r="K1393" s="219"/>
      <c r="L1393" s="219"/>
      <c r="M1393" s="219"/>
      <c r="N1393" s="219"/>
      <c r="O1393" s="219"/>
      <c r="P1393" s="219"/>
      <c r="Q1393" s="221"/>
    </row>
    <row r="1394" spans="2:17" x14ac:dyDescent="0.2">
      <c r="B1394" s="219"/>
      <c r="C1394" s="219"/>
      <c r="D1394" s="219"/>
      <c r="E1394" s="219"/>
      <c r="F1394" s="219"/>
      <c r="G1394" s="219"/>
      <c r="H1394" s="219"/>
      <c r="I1394" s="219"/>
      <c r="J1394" s="219"/>
      <c r="K1394" s="219"/>
      <c r="L1394" s="219"/>
      <c r="M1394" s="219"/>
      <c r="N1394" s="219"/>
      <c r="O1394" s="219"/>
      <c r="P1394" s="219"/>
      <c r="Q1394" s="221"/>
    </row>
    <row r="1395" spans="2:17" x14ac:dyDescent="0.2">
      <c r="B1395" s="219"/>
      <c r="C1395" s="219"/>
      <c r="D1395" s="219"/>
      <c r="E1395" s="219"/>
      <c r="F1395" s="219"/>
      <c r="G1395" s="219"/>
      <c r="H1395" s="219"/>
      <c r="I1395" s="219"/>
      <c r="J1395" s="219"/>
      <c r="K1395" s="219"/>
      <c r="L1395" s="219"/>
      <c r="M1395" s="219"/>
      <c r="N1395" s="219"/>
      <c r="O1395" s="219"/>
      <c r="P1395" s="219"/>
      <c r="Q1395" s="221"/>
    </row>
    <row r="1396" spans="2:17" x14ac:dyDescent="0.2">
      <c r="B1396" s="219"/>
      <c r="C1396" s="219"/>
      <c r="D1396" s="219"/>
      <c r="E1396" s="219"/>
      <c r="F1396" s="219"/>
      <c r="G1396" s="219"/>
      <c r="H1396" s="219"/>
      <c r="I1396" s="219"/>
      <c r="J1396" s="219"/>
      <c r="K1396" s="219"/>
      <c r="L1396" s="219"/>
      <c r="M1396" s="219"/>
      <c r="N1396" s="219"/>
      <c r="O1396" s="219"/>
      <c r="P1396" s="219"/>
      <c r="Q1396" s="221"/>
    </row>
    <row r="1397" spans="2:17" x14ac:dyDescent="0.2">
      <c r="B1397" s="219"/>
      <c r="C1397" s="219"/>
      <c r="D1397" s="219"/>
      <c r="E1397" s="219"/>
      <c r="F1397" s="219"/>
      <c r="G1397" s="219"/>
      <c r="H1397" s="219"/>
      <c r="I1397" s="219"/>
      <c r="J1397" s="219"/>
      <c r="K1397" s="219"/>
      <c r="L1397" s="219"/>
      <c r="M1397" s="219"/>
      <c r="N1397" s="219"/>
      <c r="O1397" s="219"/>
      <c r="P1397" s="219"/>
      <c r="Q1397" s="221"/>
    </row>
    <row r="1398" spans="2:17" x14ac:dyDescent="0.2">
      <c r="B1398" s="219"/>
      <c r="C1398" s="219"/>
      <c r="D1398" s="219"/>
      <c r="E1398" s="219"/>
      <c r="F1398" s="219"/>
      <c r="G1398" s="219"/>
      <c r="H1398" s="219"/>
      <c r="I1398" s="219"/>
      <c r="J1398" s="219"/>
      <c r="K1398" s="219"/>
      <c r="L1398" s="219"/>
      <c r="M1398" s="219"/>
      <c r="N1398" s="219"/>
      <c r="O1398" s="219"/>
      <c r="P1398" s="219"/>
      <c r="Q1398" s="221"/>
    </row>
    <row r="1399" spans="2:17" x14ac:dyDescent="0.2">
      <c r="B1399" s="219"/>
      <c r="C1399" s="219"/>
      <c r="D1399" s="219"/>
      <c r="E1399" s="219"/>
      <c r="F1399" s="219"/>
      <c r="G1399" s="219"/>
      <c r="H1399" s="219"/>
      <c r="I1399" s="219"/>
      <c r="J1399" s="219"/>
      <c r="K1399" s="219"/>
      <c r="L1399" s="219"/>
      <c r="M1399" s="219"/>
      <c r="N1399" s="219"/>
      <c r="O1399" s="219"/>
      <c r="P1399" s="219"/>
      <c r="Q1399" s="221"/>
    </row>
    <row r="1400" spans="2:17" x14ac:dyDescent="0.2">
      <c r="B1400" s="219"/>
      <c r="C1400" s="219"/>
      <c r="D1400" s="219"/>
      <c r="E1400" s="219"/>
      <c r="F1400" s="219"/>
      <c r="G1400" s="219"/>
      <c r="H1400" s="219"/>
      <c r="I1400" s="219"/>
      <c r="J1400" s="219"/>
      <c r="K1400" s="219"/>
      <c r="L1400" s="219"/>
      <c r="M1400" s="219"/>
      <c r="N1400" s="219"/>
      <c r="O1400" s="219"/>
      <c r="P1400" s="219"/>
      <c r="Q1400" s="221"/>
    </row>
    <row r="1401" spans="2:17" x14ac:dyDescent="0.2">
      <c r="B1401" s="219"/>
      <c r="C1401" s="219"/>
      <c r="D1401" s="219"/>
      <c r="E1401" s="219"/>
      <c r="F1401" s="219"/>
      <c r="G1401" s="219"/>
      <c r="H1401" s="219"/>
      <c r="I1401" s="219"/>
      <c r="J1401" s="219"/>
      <c r="K1401" s="219"/>
      <c r="L1401" s="219"/>
      <c r="M1401" s="219"/>
      <c r="N1401" s="219"/>
      <c r="O1401" s="219"/>
      <c r="P1401" s="219"/>
      <c r="Q1401" s="221"/>
    </row>
    <row r="1402" spans="2:17" x14ac:dyDescent="0.2">
      <c r="B1402" s="219"/>
      <c r="C1402" s="219"/>
      <c r="D1402" s="219"/>
      <c r="E1402" s="219"/>
      <c r="F1402" s="219"/>
      <c r="G1402" s="219"/>
      <c r="H1402" s="219"/>
      <c r="I1402" s="219"/>
      <c r="J1402" s="219"/>
      <c r="K1402" s="219"/>
      <c r="L1402" s="219"/>
      <c r="M1402" s="219"/>
      <c r="N1402" s="219"/>
      <c r="O1402" s="219"/>
      <c r="P1402" s="219"/>
      <c r="Q1402" s="221"/>
    </row>
    <row r="1403" spans="2:17" x14ac:dyDescent="0.2">
      <c r="B1403" s="219"/>
      <c r="C1403" s="219"/>
      <c r="D1403" s="219"/>
      <c r="E1403" s="219"/>
      <c r="F1403" s="219"/>
      <c r="G1403" s="219"/>
      <c r="H1403" s="219"/>
      <c r="I1403" s="219"/>
      <c r="J1403" s="219"/>
      <c r="K1403" s="219"/>
      <c r="L1403" s="219"/>
      <c r="M1403" s="219"/>
      <c r="N1403" s="219"/>
      <c r="O1403" s="219"/>
      <c r="P1403" s="219"/>
      <c r="Q1403" s="221"/>
    </row>
    <row r="1404" spans="2:17" x14ac:dyDescent="0.2">
      <c r="B1404" s="219"/>
      <c r="C1404" s="219"/>
      <c r="D1404" s="219"/>
      <c r="E1404" s="219"/>
      <c r="F1404" s="219"/>
      <c r="G1404" s="219"/>
      <c r="H1404" s="219"/>
      <c r="I1404" s="219"/>
      <c r="J1404" s="219"/>
      <c r="K1404" s="219"/>
      <c r="L1404" s="219"/>
      <c r="M1404" s="219"/>
      <c r="N1404" s="219"/>
      <c r="O1404" s="219"/>
      <c r="P1404" s="219"/>
      <c r="Q1404" s="221"/>
    </row>
    <row r="1405" spans="2:17" x14ac:dyDescent="0.2">
      <c r="B1405" s="219"/>
      <c r="C1405" s="219"/>
      <c r="D1405" s="219"/>
      <c r="E1405" s="219"/>
      <c r="F1405" s="219"/>
      <c r="G1405" s="219"/>
      <c r="H1405" s="219"/>
      <c r="I1405" s="219"/>
      <c r="J1405" s="219"/>
      <c r="K1405" s="219"/>
      <c r="L1405" s="219"/>
      <c r="M1405" s="219"/>
      <c r="N1405" s="219"/>
      <c r="O1405" s="219"/>
      <c r="P1405" s="219"/>
      <c r="Q1405" s="221"/>
    </row>
    <row r="1406" spans="2:17" x14ac:dyDescent="0.2">
      <c r="B1406" s="219"/>
      <c r="C1406" s="219"/>
      <c r="D1406" s="219"/>
      <c r="E1406" s="219"/>
      <c r="F1406" s="219"/>
      <c r="G1406" s="219"/>
      <c r="H1406" s="219"/>
      <c r="I1406" s="219"/>
      <c r="J1406" s="219"/>
      <c r="K1406" s="219"/>
      <c r="L1406" s="219"/>
      <c r="M1406" s="219"/>
      <c r="N1406" s="219"/>
      <c r="O1406" s="219"/>
      <c r="P1406" s="219"/>
      <c r="Q1406" s="221"/>
    </row>
    <row r="1407" spans="2:17" x14ac:dyDescent="0.2">
      <c r="B1407" s="219"/>
      <c r="C1407" s="219"/>
      <c r="D1407" s="219"/>
      <c r="E1407" s="219"/>
      <c r="F1407" s="219"/>
      <c r="G1407" s="219"/>
      <c r="H1407" s="219"/>
      <c r="I1407" s="219"/>
      <c r="J1407" s="219"/>
      <c r="K1407" s="219"/>
      <c r="L1407" s="219"/>
      <c r="M1407" s="219"/>
      <c r="N1407" s="219"/>
      <c r="O1407" s="219"/>
      <c r="P1407" s="219"/>
      <c r="Q1407" s="221"/>
    </row>
    <row r="1408" spans="2:17" x14ac:dyDescent="0.2">
      <c r="B1408" s="219"/>
      <c r="C1408" s="219"/>
      <c r="D1408" s="219"/>
      <c r="E1408" s="219"/>
      <c r="F1408" s="219"/>
      <c r="G1408" s="219"/>
      <c r="H1408" s="219"/>
      <c r="I1408" s="219"/>
      <c r="J1408" s="219"/>
      <c r="K1408" s="219"/>
      <c r="L1408" s="219"/>
      <c r="M1408" s="219"/>
      <c r="N1408" s="219"/>
      <c r="O1408" s="219"/>
      <c r="P1408" s="219"/>
      <c r="Q1408" s="221"/>
    </row>
    <row r="1409" spans="2:17" x14ac:dyDescent="0.2">
      <c r="B1409" s="219"/>
      <c r="C1409" s="219"/>
      <c r="D1409" s="219"/>
      <c r="E1409" s="219"/>
      <c r="F1409" s="219"/>
      <c r="G1409" s="219"/>
      <c r="H1409" s="219"/>
      <c r="I1409" s="219"/>
      <c r="J1409" s="219"/>
      <c r="K1409" s="219"/>
      <c r="L1409" s="219"/>
      <c r="M1409" s="219"/>
      <c r="N1409" s="219"/>
      <c r="O1409" s="219"/>
      <c r="P1409" s="219"/>
      <c r="Q1409" s="221"/>
    </row>
    <row r="1410" spans="2:17" x14ac:dyDescent="0.2">
      <c r="B1410" s="219"/>
      <c r="C1410" s="219"/>
      <c r="D1410" s="219"/>
      <c r="E1410" s="219"/>
      <c r="F1410" s="219"/>
      <c r="G1410" s="219"/>
      <c r="H1410" s="219"/>
      <c r="I1410" s="219"/>
      <c r="J1410" s="219"/>
      <c r="K1410" s="219"/>
      <c r="L1410" s="219"/>
      <c r="M1410" s="219"/>
      <c r="N1410" s="219"/>
      <c r="O1410" s="219"/>
      <c r="P1410" s="219"/>
      <c r="Q1410" s="221"/>
    </row>
    <row r="1411" spans="2:17" x14ac:dyDescent="0.2">
      <c r="B1411" s="219"/>
      <c r="C1411" s="219"/>
      <c r="D1411" s="219"/>
      <c r="E1411" s="219"/>
      <c r="F1411" s="219"/>
      <c r="G1411" s="219"/>
      <c r="H1411" s="219"/>
      <c r="I1411" s="219"/>
      <c r="J1411" s="219"/>
      <c r="K1411" s="219"/>
      <c r="L1411" s="219"/>
      <c r="M1411" s="219"/>
      <c r="N1411" s="219"/>
      <c r="O1411" s="219"/>
      <c r="P1411" s="219"/>
      <c r="Q1411" s="221"/>
    </row>
    <row r="1412" spans="2:17" x14ac:dyDescent="0.2">
      <c r="B1412" s="219"/>
      <c r="C1412" s="219"/>
      <c r="D1412" s="219"/>
      <c r="E1412" s="219"/>
      <c r="F1412" s="219"/>
      <c r="G1412" s="219"/>
      <c r="H1412" s="219"/>
      <c r="I1412" s="219"/>
      <c r="J1412" s="219"/>
      <c r="K1412" s="219"/>
      <c r="L1412" s="219"/>
      <c r="M1412" s="219"/>
      <c r="N1412" s="219"/>
      <c r="O1412" s="219"/>
      <c r="P1412" s="219"/>
      <c r="Q1412" s="221"/>
    </row>
    <row r="1413" spans="2:17" x14ac:dyDescent="0.2">
      <c r="B1413" s="219"/>
      <c r="C1413" s="219"/>
      <c r="D1413" s="219"/>
      <c r="E1413" s="219"/>
      <c r="F1413" s="219"/>
      <c r="G1413" s="219"/>
      <c r="H1413" s="219"/>
      <c r="I1413" s="219"/>
      <c r="J1413" s="219"/>
      <c r="K1413" s="219"/>
      <c r="L1413" s="219"/>
      <c r="M1413" s="219"/>
      <c r="N1413" s="219"/>
      <c r="O1413" s="219"/>
      <c r="P1413" s="219"/>
      <c r="Q1413" s="221"/>
    </row>
    <row r="1414" spans="2:17" x14ac:dyDescent="0.2">
      <c r="B1414" s="219"/>
      <c r="C1414" s="219"/>
      <c r="D1414" s="219"/>
      <c r="E1414" s="219"/>
      <c r="F1414" s="219"/>
      <c r="G1414" s="219"/>
      <c r="H1414" s="219"/>
      <c r="I1414" s="219"/>
      <c r="J1414" s="219"/>
      <c r="K1414" s="219"/>
      <c r="L1414" s="219"/>
      <c r="M1414" s="219"/>
      <c r="N1414" s="219"/>
      <c r="O1414" s="219"/>
      <c r="P1414" s="219"/>
      <c r="Q1414" s="221"/>
    </row>
    <row r="1415" spans="2:17" x14ac:dyDescent="0.2">
      <c r="B1415" s="219"/>
      <c r="C1415" s="219"/>
      <c r="D1415" s="219"/>
      <c r="E1415" s="219"/>
      <c r="F1415" s="219"/>
      <c r="G1415" s="219"/>
      <c r="H1415" s="219"/>
      <c r="I1415" s="219"/>
      <c r="J1415" s="219"/>
      <c r="K1415" s="219"/>
      <c r="L1415" s="219"/>
      <c r="M1415" s="219"/>
      <c r="N1415" s="219"/>
      <c r="O1415" s="219"/>
      <c r="P1415" s="219"/>
      <c r="Q1415" s="221"/>
    </row>
    <row r="1416" spans="2:17" x14ac:dyDescent="0.2">
      <c r="B1416" s="219"/>
      <c r="C1416" s="219"/>
      <c r="D1416" s="219"/>
      <c r="E1416" s="219"/>
      <c r="F1416" s="219"/>
      <c r="G1416" s="219"/>
      <c r="H1416" s="219"/>
      <c r="I1416" s="219"/>
      <c r="J1416" s="219"/>
      <c r="K1416" s="219"/>
      <c r="L1416" s="219"/>
      <c r="M1416" s="219"/>
      <c r="N1416" s="219"/>
      <c r="O1416" s="219"/>
      <c r="P1416" s="219"/>
      <c r="Q1416" s="221"/>
    </row>
    <row r="1417" spans="2:17" x14ac:dyDescent="0.2">
      <c r="B1417" s="219"/>
      <c r="C1417" s="219"/>
      <c r="D1417" s="219"/>
      <c r="E1417" s="219"/>
      <c r="F1417" s="219"/>
      <c r="G1417" s="219"/>
      <c r="H1417" s="219"/>
      <c r="I1417" s="219"/>
      <c r="J1417" s="219"/>
      <c r="K1417" s="219"/>
      <c r="L1417" s="219"/>
      <c r="M1417" s="219"/>
      <c r="N1417" s="219"/>
      <c r="O1417" s="219"/>
      <c r="P1417" s="219"/>
      <c r="Q1417" s="221"/>
    </row>
    <row r="1418" spans="2:17" x14ac:dyDescent="0.2">
      <c r="B1418" s="219"/>
      <c r="C1418" s="219"/>
      <c r="D1418" s="219"/>
      <c r="E1418" s="219"/>
      <c r="F1418" s="219"/>
      <c r="G1418" s="219"/>
      <c r="H1418" s="219"/>
      <c r="I1418" s="219"/>
      <c r="J1418" s="219"/>
      <c r="K1418" s="219"/>
      <c r="L1418" s="219"/>
      <c r="M1418" s="219"/>
      <c r="N1418" s="219"/>
      <c r="O1418" s="219"/>
      <c r="P1418" s="219"/>
      <c r="Q1418" s="221"/>
    </row>
    <row r="1419" spans="2:17" x14ac:dyDescent="0.2">
      <c r="B1419" s="219"/>
      <c r="C1419" s="219"/>
      <c r="D1419" s="219"/>
      <c r="E1419" s="219"/>
      <c r="F1419" s="219"/>
      <c r="G1419" s="219"/>
      <c r="H1419" s="219"/>
      <c r="I1419" s="219"/>
      <c r="J1419" s="219"/>
      <c r="K1419" s="219"/>
      <c r="L1419" s="219"/>
      <c r="M1419" s="219"/>
      <c r="N1419" s="219"/>
      <c r="O1419" s="219"/>
      <c r="P1419" s="219"/>
      <c r="Q1419" s="221"/>
    </row>
    <row r="1420" spans="2:17" x14ac:dyDescent="0.2">
      <c r="B1420" s="219"/>
      <c r="C1420" s="219"/>
      <c r="D1420" s="219"/>
      <c r="E1420" s="219"/>
      <c r="F1420" s="219"/>
      <c r="G1420" s="219"/>
      <c r="H1420" s="219"/>
      <c r="I1420" s="219"/>
      <c r="J1420" s="219"/>
      <c r="K1420" s="219"/>
      <c r="L1420" s="219"/>
      <c r="M1420" s="219"/>
      <c r="N1420" s="219"/>
      <c r="O1420" s="219"/>
      <c r="P1420" s="219"/>
      <c r="Q1420" s="221"/>
    </row>
    <row r="1421" spans="2:17" x14ac:dyDescent="0.2">
      <c r="B1421" s="219"/>
      <c r="C1421" s="219"/>
      <c r="D1421" s="219"/>
      <c r="E1421" s="219"/>
      <c r="F1421" s="219"/>
      <c r="G1421" s="219"/>
      <c r="H1421" s="219"/>
      <c r="I1421" s="219"/>
      <c r="J1421" s="219"/>
      <c r="K1421" s="219"/>
      <c r="L1421" s="219"/>
      <c r="M1421" s="219"/>
      <c r="N1421" s="219"/>
      <c r="O1421" s="219"/>
      <c r="P1421" s="219"/>
      <c r="Q1421" s="221"/>
    </row>
    <row r="1422" spans="2:17" x14ac:dyDescent="0.2">
      <c r="B1422" s="219"/>
      <c r="C1422" s="219"/>
      <c r="D1422" s="219"/>
      <c r="E1422" s="219"/>
      <c r="F1422" s="219"/>
      <c r="G1422" s="219"/>
      <c r="H1422" s="219"/>
      <c r="I1422" s="219"/>
      <c r="J1422" s="219"/>
      <c r="K1422" s="219"/>
      <c r="L1422" s="219"/>
      <c r="M1422" s="219"/>
      <c r="N1422" s="219"/>
      <c r="O1422" s="219"/>
      <c r="P1422" s="219"/>
      <c r="Q1422" s="221"/>
    </row>
    <row r="1423" spans="2:17" x14ac:dyDescent="0.2">
      <c r="B1423" s="219"/>
      <c r="C1423" s="219"/>
      <c r="D1423" s="219"/>
      <c r="E1423" s="219"/>
      <c r="F1423" s="219"/>
      <c r="G1423" s="219"/>
      <c r="H1423" s="219"/>
      <c r="I1423" s="219"/>
      <c r="J1423" s="219"/>
      <c r="K1423" s="219"/>
      <c r="L1423" s="219"/>
      <c r="M1423" s="219"/>
      <c r="N1423" s="219"/>
      <c r="O1423" s="219"/>
      <c r="P1423" s="219"/>
      <c r="Q1423" s="221"/>
    </row>
    <row r="1424" spans="2:17" x14ac:dyDescent="0.2">
      <c r="B1424" s="219"/>
      <c r="C1424" s="219"/>
      <c r="D1424" s="219"/>
      <c r="E1424" s="219"/>
      <c r="F1424" s="219"/>
      <c r="G1424" s="219"/>
      <c r="H1424" s="219"/>
      <c r="I1424" s="219"/>
      <c r="J1424" s="219"/>
      <c r="K1424" s="219"/>
      <c r="L1424" s="219"/>
      <c r="M1424" s="219"/>
      <c r="N1424" s="219"/>
      <c r="O1424" s="219"/>
      <c r="P1424" s="219"/>
      <c r="Q1424" s="221"/>
    </row>
    <row r="1425" spans="2:17" x14ac:dyDescent="0.2">
      <c r="B1425" s="219"/>
      <c r="C1425" s="219"/>
      <c r="D1425" s="219"/>
      <c r="E1425" s="219"/>
      <c r="F1425" s="219"/>
      <c r="G1425" s="219"/>
      <c r="H1425" s="219"/>
      <c r="I1425" s="219"/>
      <c r="J1425" s="219"/>
      <c r="K1425" s="219"/>
      <c r="L1425" s="219"/>
      <c r="M1425" s="219"/>
      <c r="N1425" s="219"/>
      <c r="O1425" s="219"/>
      <c r="P1425" s="219"/>
      <c r="Q1425" s="221"/>
    </row>
    <row r="1426" spans="2:17" x14ac:dyDescent="0.2">
      <c r="B1426" s="219"/>
      <c r="C1426" s="219"/>
      <c r="D1426" s="219"/>
      <c r="E1426" s="219"/>
      <c r="F1426" s="219"/>
      <c r="G1426" s="219"/>
      <c r="H1426" s="219"/>
      <c r="I1426" s="219"/>
      <c r="J1426" s="219"/>
      <c r="K1426" s="219"/>
      <c r="L1426" s="219"/>
      <c r="M1426" s="219"/>
      <c r="N1426" s="219"/>
      <c r="O1426" s="219"/>
      <c r="P1426" s="219"/>
      <c r="Q1426" s="221"/>
    </row>
    <row r="1427" spans="2:17" x14ac:dyDescent="0.2">
      <c r="B1427" s="219"/>
      <c r="C1427" s="219"/>
      <c r="D1427" s="219"/>
      <c r="E1427" s="219"/>
      <c r="F1427" s="219"/>
      <c r="G1427" s="219"/>
      <c r="H1427" s="219"/>
      <c r="I1427" s="219"/>
      <c r="J1427" s="219"/>
      <c r="K1427" s="219"/>
      <c r="L1427" s="219"/>
      <c r="M1427" s="219"/>
      <c r="N1427" s="219"/>
      <c r="O1427" s="219"/>
      <c r="P1427" s="219"/>
      <c r="Q1427" s="221"/>
    </row>
    <row r="1428" spans="2:17" x14ac:dyDescent="0.2">
      <c r="B1428" s="219"/>
      <c r="C1428" s="219"/>
      <c r="D1428" s="219"/>
      <c r="E1428" s="219"/>
      <c r="F1428" s="219"/>
      <c r="G1428" s="219"/>
      <c r="H1428" s="219"/>
      <c r="I1428" s="219"/>
      <c r="J1428" s="219"/>
      <c r="K1428" s="219"/>
      <c r="L1428" s="219"/>
      <c r="M1428" s="219"/>
      <c r="N1428" s="219"/>
      <c r="O1428" s="219"/>
      <c r="P1428" s="219"/>
      <c r="Q1428" s="221"/>
    </row>
    <row r="1429" spans="2:17" x14ac:dyDescent="0.2">
      <c r="B1429" s="219"/>
      <c r="C1429" s="219"/>
      <c r="D1429" s="219"/>
      <c r="E1429" s="219"/>
      <c r="F1429" s="219"/>
      <c r="G1429" s="219"/>
      <c r="H1429" s="219"/>
      <c r="I1429" s="219"/>
      <c r="J1429" s="219"/>
      <c r="K1429" s="219"/>
      <c r="L1429" s="219"/>
      <c r="M1429" s="219"/>
      <c r="N1429" s="219"/>
      <c r="O1429" s="219"/>
      <c r="P1429" s="219"/>
      <c r="Q1429" s="221"/>
    </row>
    <row r="1430" spans="2:17" x14ac:dyDescent="0.2">
      <c r="B1430" s="219"/>
      <c r="C1430" s="219"/>
      <c r="D1430" s="219"/>
      <c r="E1430" s="219"/>
      <c r="F1430" s="219"/>
      <c r="G1430" s="219"/>
      <c r="H1430" s="219"/>
      <c r="I1430" s="219"/>
      <c r="J1430" s="219"/>
      <c r="K1430" s="219"/>
      <c r="L1430" s="219"/>
      <c r="M1430" s="219"/>
      <c r="N1430" s="219"/>
      <c r="O1430" s="219"/>
      <c r="P1430" s="219"/>
      <c r="Q1430" s="221"/>
    </row>
    <row r="1431" spans="2:17" x14ac:dyDescent="0.2">
      <c r="B1431" s="219"/>
      <c r="C1431" s="219"/>
      <c r="D1431" s="219"/>
      <c r="E1431" s="219"/>
      <c r="F1431" s="219"/>
      <c r="G1431" s="219"/>
      <c r="H1431" s="219"/>
      <c r="I1431" s="219"/>
      <c r="J1431" s="219"/>
      <c r="K1431" s="219"/>
      <c r="L1431" s="219"/>
      <c r="M1431" s="219"/>
      <c r="N1431" s="219"/>
      <c r="O1431" s="219"/>
      <c r="P1431" s="219"/>
      <c r="Q1431" s="221"/>
    </row>
    <row r="1432" spans="2:17" x14ac:dyDescent="0.2">
      <c r="B1432" s="219"/>
      <c r="C1432" s="219"/>
      <c r="D1432" s="219"/>
      <c r="E1432" s="219"/>
      <c r="F1432" s="219"/>
      <c r="G1432" s="219"/>
      <c r="H1432" s="219"/>
      <c r="I1432" s="219"/>
      <c r="J1432" s="219"/>
      <c r="K1432" s="219"/>
      <c r="L1432" s="219"/>
      <c r="M1432" s="219"/>
      <c r="N1432" s="219"/>
      <c r="O1432" s="219"/>
      <c r="P1432" s="219"/>
      <c r="Q1432" s="221"/>
    </row>
    <row r="1433" spans="2:17" x14ac:dyDescent="0.2">
      <c r="B1433" s="219"/>
      <c r="C1433" s="219"/>
      <c r="D1433" s="219"/>
      <c r="E1433" s="219"/>
      <c r="F1433" s="219"/>
      <c r="G1433" s="219"/>
      <c r="H1433" s="219"/>
      <c r="I1433" s="219"/>
      <c r="J1433" s="219"/>
      <c r="K1433" s="219"/>
      <c r="L1433" s="219"/>
      <c r="M1433" s="219"/>
      <c r="N1433" s="219"/>
      <c r="O1433" s="219"/>
      <c r="P1433" s="219"/>
      <c r="Q1433" s="221"/>
    </row>
    <row r="1434" spans="2:17" x14ac:dyDescent="0.2">
      <c r="B1434" s="219"/>
      <c r="C1434" s="219"/>
      <c r="D1434" s="219"/>
      <c r="E1434" s="219"/>
      <c r="F1434" s="219"/>
      <c r="G1434" s="219"/>
      <c r="H1434" s="219"/>
      <c r="I1434" s="219"/>
      <c r="J1434" s="219"/>
      <c r="K1434" s="219"/>
      <c r="L1434" s="219"/>
      <c r="M1434" s="219"/>
      <c r="N1434" s="219"/>
      <c r="O1434" s="219"/>
      <c r="P1434" s="219"/>
      <c r="Q1434" s="221"/>
    </row>
    <row r="1435" spans="2:17" x14ac:dyDescent="0.2">
      <c r="B1435" s="219"/>
      <c r="C1435" s="219"/>
      <c r="D1435" s="219"/>
      <c r="E1435" s="219"/>
      <c r="F1435" s="219"/>
      <c r="G1435" s="219"/>
      <c r="H1435" s="219"/>
      <c r="I1435" s="219"/>
      <c r="J1435" s="219"/>
      <c r="K1435" s="219"/>
      <c r="L1435" s="219"/>
      <c r="M1435" s="219"/>
      <c r="N1435" s="219"/>
      <c r="O1435" s="219"/>
      <c r="P1435" s="219"/>
      <c r="Q1435" s="221"/>
    </row>
    <row r="1436" spans="2:17" x14ac:dyDescent="0.2">
      <c r="B1436" s="219"/>
      <c r="C1436" s="219"/>
      <c r="D1436" s="219"/>
      <c r="E1436" s="219"/>
      <c r="F1436" s="219"/>
      <c r="G1436" s="219"/>
      <c r="H1436" s="219"/>
      <c r="I1436" s="219"/>
      <c r="J1436" s="219"/>
      <c r="K1436" s="219"/>
      <c r="L1436" s="219"/>
      <c r="M1436" s="219"/>
      <c r="N1436" s="219"/>
      <c r="O1436" s="219"/>
      <c r="P1436" s="219"/>
      <c r="Q1436" s="221"/>
    </row>
    <row r="1437" spans="2:17" x14ac:dyDescent="0.2">
      <c r="B1437" s="219"/>
      <c r="C1437" s="219"/>
      <c r="D1437" s="219"/>
      <c r="E1437" s="219"/>
      <c r="F1437" s="219"/>
      <c r="G1437" s="219"/>
      <c r="H1437" s="219"/>
      <c r="I1437" s="219"/>
      <c r="J1437" s="219"/>
      <c r="K1437" s="219"/>
      <c r="L1437" s="219"/>
      <c r="M1437" s="219"/>
      <c r="N1437" s="219"/>
      <c r="O1437" s="219"/>
      <c r="P1437" s="219"/>
      <c r="Q1437" s="221"/>
    </row>
    <row r="1438" spans="2:17" x14ac:dyDescent="0.2">
      <c r="B1438" s="219"/>
      <c r="C1438" s="219"/>
      <c r="D1438" s="219"/>
      <c r="E1438" s="219"/>
      <c r="F1438" s="219"/>
      <c r="G1438" s="219"/>
      <c r="H1438" s="219"/>
      <c r="I1438" s="219"/>
      <c r="J1438" s="219"/>
      <c r="K1438" s="219"/>
      <c r="L1438" s="219"/>
      <c r="M1438" s="219"/>
      <c r="N1438" s="219"/>
      <c r="O1438" s="219"/>
      <c r="P1438" s="219"/>
      <c r="Q1438" s="221"/>
    </row>
    <row r="1439" spans="2:17" x14ac:dyDescent="0.2">
      <c r="B1439" s="219"/>
      <c r="C1439" s="219"/>
      <c r="D1439" s="219"/>
      <c r="E1439" s="219"/>
      <c r="F1439" s="219"/>
      <c r="G1439" s="219"/>
      <c r="H1439" s="219"/>
      <c r="I1439" s="219"/>
      <c r="J1439" s="219"/>
      <c r="K1439" s="219"/>
      <c r="L1439" s="219"/>
      <c r="M1439" s="219"/>
      <c r="N1439" s="219"/>
      <c r="O1439" s="219"/>
      <c r="P1439" s="219"/>
      <c r="Q1439" s="221"/>
    </row>
    <row r="1440" spans="2:17" x14ac:dyDescent="0.2">
      <c r="B1440" s="219"/>
      <c r="C1440" s="219"/>
      <c r="D1440" s="219"/>
      <c r="E1440" s="219"/>
      <c r="F1440" s="219"/>
      <c r="G1440" s="219"/>
      <c r="H1440" s="219"/>
      <c r="I1440" s="219"/>
      <c r="J1440" s="219"/>
      <c r="K1440" s="219"/>
      <c r="L1440" s="219"/>
      <c r="M1440" s="219"/>
      <c r="N1440" s="219"/>
      <c r="O1440" s="219"/>
      <c r="P1440" s="219"/>
      <c r="Q1440" s="221"/>
    </row>
    <row r="1441" spans="2:17" x14ac:dyDescent="0.2">
      <c r="B1441" s="219"/>
      <c r="C1441" s="219"/>
      <c r="D1441" s="219"/>
      <c r="E1441" s="219"/>
      <c r="F1441" s="219"/>
      <c r="G1441" s="219"/>
      <c r="H1441" s="219"/>
      <c r="I1441" s="219"/>
      <c r="J1441" s="219"/>
      <c r="K1441" s="219"/>
      <c r="L1441" s="219"/>
      <c r="M1441" s="219"/>
      <c r="N1441" s="219"/>
      <c r="O1441" s="219"/>
      <c r="P1441" s="219"/>
      <c r="Q1441" s="221"/>
    </row>
    <row r="1442" spans="2:17" x14ac:dyDescent="0.2">
      <c r="B1442" s="219"/>
      <c r="C1442" s="219"/>
      <c r="D1442" s="219"/>
      <c r="E1442" s="219"/>
      <c r="F1442" s="219"/>
      <c r="G1442" s="219"/>
      <c r="H1442" s="219"/>
      <c r="I1442" s="219"/>
      <c r="J1442" s="219"/>
      <c r="K1442" s="219"/>
      <c r="L1442" s="219"/>
      <c r="M1442" s="219"/>
      <c r="N1442" s="219"/>
      <c r="O1442" s="219"/>
      <c r="P1442" s="219"/>
      <c r="Q1442" s="221"/>
    </row>
    <row r="1443" spans="2:17" x14ac:dyDescent="0.2">
      <c r="B1443" s="219"/>
      <c r="C1443" s="219"/>
      <c r="D1443" s="219"/>
      <c r="E1443" s="219"/>
      <c r="F1443" s="219"/>
      <c r="G1443" s="219"/>
      <c r="H1443" s="219"/>
      <c r="I1443" s="219"/>
      <c r="J1443" s="219"/>
      <c r="K1443" s="219"/>
      <c r="L1443" s="219"/>
      <c r="M1443" s="219"/>
      <c r="N1443" s="219"/>
      <c r="O1443" s="219"/>
      <c r="P1443" s="219"/>
      <c r="Q1443" s="221"/>
    </row>
    <row r="1444" spans="2:17" x14ac:dyDescent="0.2">
      <c r="B1444" s="219"/>
      <c r="C1444" s="219"/>
      <c r="D1444" s="219"/>
      <c r="E1444" s="219"/>
      <c r="F1444" s="219"/>
      <c r="G1444" s="219"/>
      <c r="H1444" s="219"/>
      <c r="I1444" s="219"/>
      <c r="J1444" s="219"/>
      <c r="K1444" s="219"/>
      <c r="L1444" s="219"/>
      <c r="M1444" s="219"/>
      <c r="N1444" s="219"/>
      <c r="O1444" s="219"/>
      <c r="P1444" s="219"/>
      <c r="Q1444" s="221"/>
    </row>
    <row r="1445" spans="2:17" x14ac:dyDescent="0.2">
      <c r="B1445" s="219"/>
      <c r="C1445" s="219"/>
      <c r="D1445" s="219"/>
      <c r="E1445" s="219"/>
      <c r="F1445" s="219"/>
      <c r="G1445" s="219"/>
      <c r="H1445" s="219"/>
      <c r="I1445" s="219"/>
      <c r="J1445" s="219"/>
      <c r="K1445" s="219"/>
      <c r="L1445" s="219"/>
      <c r="M1445" s="219"/>
      <c r="N1445" s="219"/>
      <c r="O1445" s="219"/>
      <c r="P1445" s="219"/>
      <c r="Q1445" s="221"/>
    </row>
    <row r="1446" spans="2:17" x14ac:dyDescent="0.2">
      <c r="B1446" s="219"/>
      <c r="C1446" s="219"/>
      <c r="D1446" s="219"/>
      <c r="E1446" s="219"/>
      <c r="F1446" s="219"/>
      <c r="G1446" s="219"/>
      <c r="H1446" s="219"/>
      <c r="I1446" s="219"/>
      <c r="J1446" s="219"/>
      <c r="K1446" s="219"/>
      <c r="L1446" s="219"/>
      <c r="M1446" s="219"/>
      <c r="N1446" s="219"/>
      <c r="O1446" s="219"/>
      <c r="P1446" s="219"/>
      <c r="Q1446" s="221"/>
    </row>
    <row r="1447" spans="2:17" x14ac:dyDescent="0.2">
      <c r="B1447" s="219"/>
      <c r="C1447" s="219"/>
      <c r="D1447" s="219"/>
      <c r="E1447" s="219"/>
      <c r="F1447" s="219"/>
      <c r="G1447" s="219"/>
      <c r="H1447" s="219"/>
      <c r="I1447" s="219"/>
      <c r="J1447" s="219"/>
      <c r="K1447" s="219"/>
      <c r="L1447" s="219"/>
      <c r="M1447" s="219"/>
      <c r="N1447" s="219"/>
      <c r="O1447" s="219"/>
      <c r="P1447" s="219"/>
      <c r="Q1447" s="221"/>
    </row>
    <row r="1448" spans="2:17" x14ac:dyDescent="0.2">
      <c r="B1448" s="219"/>
      <c r="C1448" s="219"/>
      <c r="D1448" s="219"/>
      <c r="E1448" s="219"/>
      <c r="F1448" s="219"/>
      <c r="G1448" s="219"/>
      <c r="H1448" s="219"/>
      <c r="I1448" s="219"/>
      <c r="J1448" s="219"/>
      <c r="K1448" s="219"/>
      <c r="L1448" s="219"/>
      <c r="M1448" s="219"/>
      <c r="N1448" s="219"/>
      <c r="O1448" s="219"/>
      <c r="P1448" s="219"/>
      <c r="Q1448" s="221"/>
    </row>
    <row r="1449" spans="2:17" x14ac:dyDescent="0.2">
      <c r="B1449" s="219"/>
      <c r="C1449" s="219"/>
      <c r="D1449" s="219"/>
      <c r="E1449" s="219"/>
      <c r="F1449" s="219"/>
      <c r="G1449" s="219"/>
      <c r="H1449" s="219"/>
      <c r="I1449" s="219"/>
      <c r="J1449" s="219"/>
      <c r="K1449" s="219"/>
      <c r="L1449" s="219"/>
      <c r="M1449" s="219"/>
      <c r="N1449" s="219"/>
      <c r="O1449" s="219"/>
      <c r="P1449" s="219"/>
      <c r="Q1449" s="221"/>
    </row>
    <row r="1450" spans="2:17" x14ac:dyDescent="0.2">
      <c r="B1450" s="219"/>
      <c r="C1450" s="219"/>
      <c r="D1450" s="219"/>
      <c r="E1450" s="219"/>
      <c r="F1450" s="219"/>
      <c r="G1450" s="219"/>
      <c r="H1450" s="219"/>
      <c r="I1450" s="219"/>
      <c r="J1450" s="219"/>
      <c r="K1450" s="219"/>
      <c r="L1450" s="219"/>
      <c r="M1450" s="219"/>
      <c r="N1450" s="219"/>
      <c r="O1450" s="219"/>
      <c r="P1450" s="219"/>
      <c r="Q1450" s="221"/>
    </row>
    <row r="1451" spans="2:17" x14ac:dyDescent="0.2">
      <c r="B1451" s="219"/>
      <c r="C1451" s="219"/>
      <c r="D1451" s="219"/>
      <c r="E1451" s="219"/>
      <c r="F1451" s="219"/>
      <c r="G1451" s="219"/>
      <c r="H1451" s="219"/>
      <c r="I1451" s="219"/>
      <c r="J1451" s="219"/>
      <c r="K1451" s="219"/>
      <c r="L1451" s="219"/>
      <c r="M1451" s="219"/>
      <c r="N1451" s="219"/>
      <c r="O1451" s="219"/>
      <c r="P1451" s="219"/>
      <c r="Q1451" s="221"/>
    </row>
    <row r="1452" spans="2:17" x14ac:dyDescent="0.2">
      <c r="B1452" s="219"/>
      <c r="C1452" s="219"/>
      <c r="D1452" s="219"/>
      <c r="E1452" s="219"/>
      <c r="F1452" s="219"/>
      <c r="G1452" s="219"/>
      <c r="H1452" s="219"/>
      <c r="I1452" s="219"/>
      <c r="J1452" s="219"/>
      <c r="K1452" s="219"/>
      <c r="L1452" s="219"/>
      <c r="M1452" s="219"/>
      <c r="N1452" s="219"/>
      <c r="O1452" s="219"/>
      <c r="P1452" s="219"/>
      <c r="Q1452" s="221"/>
    </row>
    <row r="1453" spans="2:17" x14ac:dyDescent="0.2">
      <c r="B1453" s="219"/>
      <c r="C1453" s="219"/>
      <c r="D1453" s="219"/>
      <c r="E1453" s="219"/>
      <c r="F1453" s="219"/>
      <c r="G1453" s="219"/>
      <c r="H1453" s="219"/>
      <c r="I1453" s="219"/>
      <c r="J1453" s="219"/>
      <c r="K1453" s="219"/>
      <c r="L1453" s="219"/>
      <c r="M1453" s="219"/>
      <c r="N1453" s="219"/>
      <c r="O1453" s="219"/>
      <c r="P1453" s="219"/>
      <c r="Q1453" s="221"/>
    </row>
    <row r="1454" spans="2:17" x14ac:dyDescent="0.2">
      <c r="B1454" s="219"/>
      <c r="C1454" s="219"/>
      <c r="D1454" s="219"/>
      <c r="E1454" s="219"/>
      <c r="F1454" s="219"/>
      <c r="G1454" s="219"/>
      <c r="H1454" s="219"/>
      <c r="I1454" s="219"/>
      <c r="J1454" s="219"/>
      <c r="K1454" s="219"/>
      <c r="L1454" s="219"/>
      <c r="M1454" s="219"/>
      <c r="N1454" s="219"/>
      <c r="O1454" s="219"/>
      <c r="P1454" s="219"/>
      <c r="Q1454" s="221"/>
    </row>
    <row r="1455" spans="2:17" x14ac:dyDescent="0.2">
      <c r="B1455" s="219"/>
      <c r="C1455" s="219"/>
      <c r="D1455" s="219"/>
      <c r="E1455" s="219"/>
      <c r="F1455" s="219"/>
      <c r="G1455" s="219"/>
      <c r="H1455" s="219"/>
      <c r="I1455" s="219"/>
      <c r="J1455" s="219"/>
      <c r="K1455" s="219"/>
      <c r="L1455" s="219"/>
      <c r="M1455" s="219"/>
      <c r="N1455" s="219"/>
      <c r="O1455" s="219"/>
      <c r="P1455" s="219"/>
      <c r="Q1455" s="221"/>
    </row>
    <row r="1456" spans="2:17" x14ac:dyDescent="0.2">
      <c r="B1456" s="219"/>
      <c r="C1456" s="219"/>
      <c r="D1456" s="219"/>
      <c r="E1456" s="219"/>
      <c r="F1456" s="219"/>
      <c r="G1456" s="219"/>
      <c r="H1456" s="219"/>
      <c r="I1456" s="219"/>
      <c r="J1456" s="219"/>
      <c r="K1456" s="219"/>
      <c r="L1456" s="219"/>
      <c r="M1456" s="219"/>
      <c r="N1456" s="219"/>
      <c r="O1456" s="219"/>
      <c r="P1456" s="219"/>
      <c r="Q1456" s="221"/>
    </row>
    <row r="1457" spans="2:17" x14ac:dyDescent="0.2">
      <c r="B1457" s="219"/>
      <c r="C1457" s="219"/>
      <c r="D1457" s="219"/>
      <c r="E1457" s="219"/>
      <c r="F1457" s="219"/>
      <c r="G1457" s="219"/>
      <c r="H1457" s="219"/>
      <c r="I1457" s="219"/>
      <c r="J1457" s="219"/>
      <c r="K1457" s="219"/>
      <c r="L1457" s="219"/>
      <c r="M1457" s="219"/>
      <c r="N1457" s="219"/>
      <c r="O1457" s="219"/>
      <c r="P1457" s="219"/>
      <c r="Q1457" s="221"/>
    </row>
    <row r="1458" spans="2:17" x14ac:dyDescent="0.2">
      <c r="B1458" s="219"/>
      <c r="C1458" s="219"/>
      <c r="D1458" s="219"/>
      <c r="E1458" s="219"/>
      <c r="F1458" s="219"/>
      <c r="G1458" s="219"/>
      <c r="H1458" s="219"/>
      <c r="I1458" s="219"/>
      <c r="J1458" s="219"/>
      <c r="K1458" s="219"/>
      <c r="L1458" s="219"/>
      <c r="M1458" s="219"/>
      <c r="N1458" s="219"/>
      <c r="O1458" s="219"/>
      <c r="P1458" s="219"/>
      <c r="Q1458" s="221"/>
    </row>
    <row r="1459" spans="2:17" x14ac:dyDescent="0.2">
      <c r="B1459" s="219"/>
      <c r="C1459" s="219"/>
      <c r="D1459" s="219"/>
      <c r="E1459" s="219"/>
      <c r="F1459" s="219"/>
      <c r="G1459" s="219"/>
      <c r="H1459" s="219"/>
      <c r="I1459" s="219"/>
      <c r="J1459" s="219"/>
      <c r="K1459" s="219"/>
      <c r="L1459" s="219"/>
      <c r="M1459" s="219"/>
      <c r="N1459" s="219"/>
      <c r="O1459" s="219"/>
      <c r="P1459" s="219"/>
      <c r="Q1459" s="221"/>
    </row>
    <row r="1460" spans="2:17" x14ac:dyDescent="0.2">
      <c r="B1460" s="219"/>
      <c r="C1460" s="219"/>
      <c r="D1460" s="219"/>
      <c r="E1460" s="219"/>
      <c r="F1460" s="219"/>
      <c r="G1460" s="219"/>
      <c r="H1460" s="219"/>
      <c r="I1460" s="219"/>
      <c r="J1460" s="219"/>
      <c r="K1460" s="219"/>
      <c r="L1460" s="219"/>
      <c r="M1460" s="219"/>
      <c r="N1460" s="219"/>
      <c r="O1460" s="219"/>
      <c r="P1460" s="219"/>
      <c r="Q1460" s="221"/>
    </row>
    <row r="1461" spans="2:17" x14ac:dyDescent="0.2">
      <c r="B1461" s="219"/>
      <c r="C1461" s="219"/>
      <c r="D1461" s="219"/>
      <c r="E1461" s="219"/>
      <c r="F1461" s="219"/>
      <c r="G1461" s="219"/>
      <c r="H1461" s="219"/>
      <c r="I1461" s="219"/>
      <c r="J1461" s="219"/>
      <c r="K1461" s="219"/>
      <c r="L1461" s="219"/>
      <c r="M1461" s="219"/>
      <c r="N1461" s="219"/>
      <c r="O1461" s="219"/>
      <c r="P1461" s="219"/>
      <c r="Q1461" s="221"/>
    </row>
    <row r="1462" spans="2:17" x14ac:dyDescent="0.2">
      <c r="B1462" s="219"/>
      <c r="C1462" s="219"/>
      <c r="D1462" s="219"/>
      <c r="E1462" s="219"/>
      <c r="F1462" s="219"/>
      <c r="G1462" s="219"/>
      <c r="H1462" s="219"/>
      <c r="I1462" s="219"/>
      <c r="J1462" s="219"/>
      <c r="K1462" s="219"/>
      <c r="L1462" s="219"/>
      <c r="M1462" s="219"/>
      <c r="N1462" s="219"/>
      <c r="O1462" s="219"/>
      <c r="P1462" s="219"/>
      <c r="Q1462" s="221"/>
    </row>
    <row r="1463" spans="2:17" x14ac:dyDescent="0.2">
      <c r="B1463" s="219"/>
      <c r="C1463" s="219"/>
      <c r="D1463" s="219"/>
      <c r="E1463" s="219"/>
      <c r="F1463" s="219"/>
      <c r="G1463" s="219"/>
      <c r="H1463" s="219"/>
      <c r="I1463" s="219"/>
      <c r="J1463" s="219"/>
      <c r="K1463" s="219"/>
      <c r="L1463" s="219"/>
      <c r="M1463" s="219"/>
      <c r="N1463" s="219"/>
      <c r="O1463" s="219"/>
      <c r="P1463" s="219"/>
      <c r="Q1463" s="221"/>
    </row>
    <row r="1464" spans="2:17" x14ac:dyDescent="0.2">
      <c r="B1464" s="219"/>
      <c r="C1464" s="219"/>
      <c r="D1464" s="219"/>
      <c r="E1464" s="219"/>
      <c r="F1464" s="219"/>
      <c r="G1464" s="219"/>
      <c r="H1464" s="219"/>
      <c r="I1464" s="219"/>
      <c r="J1464" s="219"/>
      <c r="K1464" s="219"/>
      <c r="L1464" s="219"/>
      <c r="M1464" s="219"/>
      <c r="N1464" s="219"/>
      <c r="O1464" s="219"/>
      <c r="P1464" s="219"/>
      <c r="Q1464" s="221"/>
    </row>
    <row r="1465" spans="2:17" x14ac:dyDescent="0.2">
      <c r="B1465" s="219"/>
      <c r="C1465" s="219"/>
      <c r="D1465" s="219"/>
      <c r="E1465" s="219"/>
      <c r="F1465" s="219"/>
      <c r="G1465" s="219"/>
      <c r="H1465" s="219"/>
      <c r="I1465" s="219"/>
      <c r="J1465" s="219"/>
      <c r="K1465" s="219"/>
      <c r="L1465" s="219"/>
      <c r="M1465" s="219"/>
      <c r="N1465" s="219"/>
      <c r="O1465" s="219"/>
      <c r="P1465" s="219"/>
      <c r="Q1465" s="221"/>
    </row>
    <row r="1466" spans="2:17" x14ac:dyDescent="0.2">
      <c r="B1466" s="219"/>
      <c r="C1466" s="219"/>
      <c r="D1466" s="219"/>
      <c r="E1466" s="219"/>
      <c r="F1466" s="219"/>
      <c r="G1466" s="219"/>
      <c r="H1466" s="219"/>
      <c r="I1466" s="219"/>
      <c r="J1466" s="219"/>
      <c r="K1466" s="219"/>
      <c r="L1466" s="219"/>
      <c r="M1466" s="219"/>
      <c r="N1466" s="219"/>
      <c r="O1466" s="219"/>
      <c r="P1466" s="219"/>
      <c r="Q1466" s="221"/>
    </row>
    <row r="1467" spans="2:17" x14ac:dyDescent="0.2">
      <c r="B1467" s="219"/>
      <c r="C1467" s="219"/>
      <c r="D1467" s="219"/>
      <c r="E1467" s="219"/>
      <c r="F1467" s="219"/>
      <c r="G1467" s="219"/>
      <c r="H1467" s="219"/>
      <c r="I1467" s="219"/>
      <c r="J1467" s="219"/>
      <c r="K1467" s="219"/>
      <c r="L1467" s="219"/>
      <c r="M1467" s="219"/>
      <c r="N1467" s="219"/>
      <c r="O1467" s="219"/>
      <c r="P1467" s="219"/>
      <c r="Q1467" s="221"/>
    </row>
    <row r="1468" spans="2:17" x14ac:dyDescent="0.2">
      <c r="B1468" s="219"/>
      <c r="C1468" s="219"/>
      <c r="D1468" s="219"/>
      <c r="E1468" s="219"/>
      <c r="F1468" s="219"/>
      <c r="G1468" s="219"/>
      <c r="H1468" s="219"/>
      <c r="I1468" s="219"/>
      <c r="J1468" s="219"/>
      <c r="K1468" s="219"/>
      <c r="L1468" s="219"/>
      <c r="M1468" s="219"/>
      <c r="N1468" s="219"/>
      <c r="O1468" s="219"/>
      <c r="P1468" s="219"/>
      <c r="Q1468" s="221"/>
    </row>
    <row r="1469" spans="2:17" x14ac:dyDescent="0.2">
      <c r="B1469" s="219"/>
      <c r="C1469" s="219"/>
      <c r="D1469" s="219"/>
      <c r="E1469" s="219"/>
      <c r="F1469" s="219"/>
      <c r="G1469" s="219"/>
      <c r="H1469" s="219"/>
      <c r="I1469" s="219"/>
      <c r="J1469" s="219"/>
      <c r="K1469" s="219"/>
      <c r="L1469" s="219"/>
      <c r="M1469" s="219"/>
      <c r="N1469" s="219"/>
      <c r="O1469" s="219"/>
      <c r="P1469" s="219"/>
      <c r="Q1469" s="221"/>
    </row>
    <row r="1470" spans="2:17" x14ac:dyDescent="0.2">
      <c r="B1470" s="219"/>
      <c r="C1470" s="219"/>
      <c r="D1470" s="219"/>
      <c r="E1470" s="219"/>
      <c r="F1470" s="219"/>
      <c r="G1470" s="219"/>
      <c r="H1470" s="219"/>
      <c r="I1470" s="219"/>
      <c r="J1470" s="219"/>
      <c r="K1470" s="219"/>
      <c r="L1470" s="219"/>
      <c r="M1470" s="219"/>
      <c r="N1470" s="219"/>
      <c r="O1470" s="219"/>
      <c r="P1470" s="219"/>
      <c r="Q1470" s="221"/>
    </row>
    <row r="1471" spans="2:17" x14ac:dyDescent="0.2">
      <c r="B1471" s="219"/>
      <c r="C1471" s="219"/>
      <c r="D1471" s="219"/>
      <c r="E1471" s="219"/>
      <c r="F1471" s="219"/>
      <c r="G1471" s="219"/>
      <c r="H1471" s="219"/>
      <c r="I1471" s="219"/>
      <c r="J1471" s="219"/>
      <c r="K1471" s="219"/>
      <c r="L1471" s="219"/>
      <c r="M1471" s="219"/>
      <c r="N1471" s="219"/>
      <c r="O1471" s="219"/>
      <c r="P1471" s="219"/>
      <c r="Q1471" s="221"/>
    </row>
    <row r="1472" spans="2:17" x14ac:dyDescent="0.2">
      <c r="B1472" s="219"/>
      <c r="C1472" s="219"/>
      <c r="D1472" s="219"/>
      <c r="E1472" s="219"/>
      <c r="F1472" s="219"/>
      <c r="G1472" s="219"/>
      <c r="H1472" s="219"/>
      <c r="I1472" s="219"/>
      <c r="J1472" s="219"/>
      <c r="K1472" s="219"/>
      <c r="L1472" s="219"/>
      <c r="M1472" s="219"/>
      <c r="N1472" s="219"/>
      <c r="O1472" s="219"/>
      <c r="P1472" s="219"/>
      <c r="Q1472" s="221"/>
    </row>
    <row r="1473" spans="2:17" x14ac:dyDescent="0.2">
      <c r="B1473" s="219"/>
      <c r="C1473" s="219"/>
      <c r="D1473" s="219"/>
      <c r="E1473" s="219"/>
      <c r="F1473" s="219"/>
      <c r="G1473" s="219"/>
      <c r="H1473" s="219"/>
      <c r="I1473" s="219"/>
      <c r="J1473" s="219"/>
      <c r="K1473" s="219"/>
      <c r="L1473" s="219"/>
      <c r="M1473" s="219"/>
      <c r="N1473" s="219"/>
      <c r="O1473" s="219"/>
      <c r="P1473" s="219"/>
      <c r="Q1473" s="221"/>
    </row>
    <row r="1474" spans="2:17" x14ac:dyDescent="0.2">
      <c r="B1474" s="219"/>
      <c r="C1474" s="219"/>
      <c r="D1474" s="219"/>
      <c r="E1474" s="219"/>
      <c r="F1474" s="219"/>
      <c r="G1474" s="219"/>
      <c r="H1474" s="219"/>
      <c r="I1474" s="219"/>
      <c r="J1474" s="219"/>
      <c r="K1474" s="219"/>
      <c r="L1474" s="219"/>
      <c r="M1474" s="219"/>
      <c r="N1474" s="219"/>
      <c r="O1474" s="219"/>
      <c r="P1474" s="219"/>
      <c r="Q1474" s="221"/>
    </row>
    <row r="1475" spans="2:17" x14ac:dyDescent="0.2">
      <c r="B1475" s="219"/>
      <c r="C1475" s="219"/>
      <c r="D1475" s="219"/>
      <c r="E1475" s="219"/>
      <c r="F1475" s="219"/>
      <c r="G1475" s="219"/>
      <c r="H1475" s="219"/>
      <c r="I1475" s="219"/>
      <c r="J1475" s="219"/>
      <c r="K1475" s="219"/>
      <c r="L1475" s="219"/>
      <c r="M1475" s="219"/>
      <c r="N1475" s="219"/>
      <c r="O1475" s="219"/>
      <c r="P1475" s="219"/>
      <c r="Q1475" s="221"/>
    </row>
    <row r="1476" spans="2:17" x14ac:dyDescent="0.2">
      <c r="B1476" s="219"/>
      <c r="C1476" s="219"/>
      <c r="D1476" s="219"/>
      <c r="E1476" s="219"/>
      <c r="F1476" s="219"/>
      <c r="G1476" s="219"/>
      <c r="H1476" s="219"/>
      <c r="I1476" s="219"/>
      <c r="J1476" s="219"/>
      <c r="K1476" s="219"/>
      <c r="L1476" s="219"/>
      <c r="M1476" s="219"/>
      <c r="N1476" s="219"/>
      <c r="O1476" s="219"/>
      <c r="P1476" s="219"/>
      <c r="Q1476" s="221"/>
    </row>
    <row r="1477" spans="2:17" x14ac:dyDescent="0.2">
      <c r="B1477" s="219"/>
      <c r="C1477" s="219"/>
      <c r="D1477" s="219"/>
      <c r="E1477" s="219"/>
      <c r="F1477" s="219"/>
      <c r="G1477" s="219"/>
      <c r="H1477" s="219"/>
      <c r="I1477" s="219"/>
      <c r="J1477" s="219"/>
      <c r="K1477" s="219"/>
      <c r="L1477" s="219"/>
      <c r="M1477" s="219"/>
      <c r="N1477" s="219"/>
      <c r="O1477" s="219"/>
      <c r="P1477" s="219"/>
      <c r="Q1477" s="221"/>
    </row>
    <row r="1478" spans="2:17" x14ac:dyDescent="0.2">
      <c r="B1478" s="219"/>
      <c r="C1478" s="219"/>
      <c r="D1478" s="219"/>
      <c r="E1478" s="219"/>
      <c r="F1478" s="219"/>
      <c r="G1478" s="219"/>
      <c r="H1478" s="219"/>
      <c r="I1478" s="219"/>
      <c r="J1478" s="219"/>
      <c r="K1478" s="219"/>
      <c r="L1478" s="219"/>
      <c r="M1478" s="219"/>
      <c r="N1478" s="219"/>
      <c r="O1478" s="219"/>
      <c r="P1478" s="219"/>
      <c r="Q1478" s="221"/>
    </row>
    <row r="1479" spans="2:17" x14ac:dyDescent="0.2">
      <c r="B1479" s="219"/>
      <c r="C1479" s="219"/>
      <c r="D1479" s="219"/>
      <c r="E1479" s="219"/>
      <c r="F1479" s="219"/>
      <c r="G1479" s="219"/>
      <c r="H1479" s="219"/>
      <c r="I1479" s="219"/>
      <c r="J1479" s="219"/>
      <c r="K1479" s="219"/>
      <c r="L1479" s="219"/>
      <c r="M1479" s="219"/>
      <c r="N1479" s="219"/>
      <c r="O1479" s="219"/>
      <c r="P1479" s="219"/>
      <c r="Q1479" s="221"/>
    </row>
    <row r="1480" spans="2:17" x14ac:dyDescent="0.2">
      <c r="B1480" s="219"/>
      <c r="C1480" s="219"/>
      <c r="D1480" s="219"/>
      <c r="E1480" s="219"/>
      <c r="F1480" s="219"/>
      <c r="G1480" s="219"/>
      <c r="H1480" s="219"/>
      <c r="I1480" s="219"/>
      <c r="J1480" s="219"/>
      <c r="K1480" s="219"/>
      <c r="L1480" s="219"/>
      <c r="M1480" s="219"/>
      <c r="N1480" s="219"/>
      <c r="O1480" s="219"/>
      <c r="P1480" s="219"/>
      <c r="Q1480" s="221"/>
    </row>
    <row r="1481" spans="2:17" x14ac:dyDescent="0.2">
      <c r="B1481" s="219"/>
      <c r="C1481" s="219"/>
      <c r="D1481" s="219"/>
      <c r="E1481" s="219"/>
      <c r="F1481" s="219"/>
      <c r="G1481" s="219"/>
      <c r="H1481" s="219"/>
      <c r="I1481" s="219"/>
      <c r="J1481" s="219"/>
      <c r="K1481" s="219"/>
      <c r="L1481" s="219"/>
      <c r="M1481" s="219"/>
      <c r="N1481" s="219"/>
      <c r="O1481" s="219"/>
      <c r="P1481" s="219"/>
      <c r="Q1481" s="221"/>
    </row>
    <row r="1482" spans="2:17" x14ac:dyDescent="0.2">
      <c r="B1482" s="219"/>
      <c r="C1482" s="219"/>
      <c r="D1482" s="219"/>
      <c r="E1482" s="219"/>
      <c r="F1482" s="219"/>
      <c r="G1482" s="219"/>
      <c r="H1482" s="219"/>
      <c r="I1482" s="219"/>
      <c r="J1482" s="219"/>
      <c r="K1482" s="219"/>
      <c r="L1482" s="219"/>
      <c r="M1482" s="219"/>
      <c r="N1482" s="219"/>
      <c r="O1482" s="219"/>
      <c r="P1482" s="219"/>
      <c r="Q1482" s="221"/>
    </row>
    <row r="1483" spans="2:17" x14ac:dyDescent="0.2">
      <c r="B1483" s="219"/>
      <c r="C1483" s="219"/>
      <c r="D1483" s="219"/>
      <c r="E1483" s="219"/>
      <c r="F1483" s="219"/>
      <c r="G1483" s="219"/>
      <c r="H1483" s="219"/>
      <c r="I1483" s="219"/>
      <c r="J1483" s="219"/>
      <c r="K1483" s="219"/>
      <c r="L1483" s="219"/>
      <c r="M1483" s="219"/>
      <c r="N1483" s="219"/>
      <c r="O1483" s="219"/>
      <c r="P1483" s="219"/>
      <c r="Q1483" s="221"/>
    </row>
    <row r="1484" spans="2:17" x14ac:dyDescent="0.2">
      <c r="B1484" s="219"/>
      <c r="C1484" s="219"/>
      <c r="D1484" s="219"/>
      <c r="E1484" s="219"/>
      <c r="F1484" s="219"/>
      <c r="G1484" s="219"/>
      <c r="H1484" s="219"/>
      <c r="I1484" s="219"/>
      <c r="J1484" s="219"/>
      <c r="K1484" s="219"/>
      <c r="L1484" s="219"/>
      <c r="M1484" s="219"/>
      <c r="N1484" s="219"/>
      <c r="O1484" s="219"/>
      <c r="P1484" s="219"/>
      <c r="Q1484" s="221"/>
    </row>
    <row r="1485" spans="2:17" x14ac:dyDescent="0.2">
      <c r="B1485" s="219"/>
      <c r="C1485" s="219"/>
      <c r="D1485" s="219"/>
      <c r="E1485" s="219"/>
      <c r="F1485" s="219"/>
      <c r="G1485" s="219"/>
      <c r="H1485" s="219"/>
      <c r="I1485" s="219"/>
      <c r="J1485" s="219"/>
      <c r="K1485" s="219"/>
      <c r="L1485" s="219"/>
      <c r="M1485" s="219"/>
      <c r="N1485" s="219"/>
      <c r="O1485" s="219"/>
      <c r="P1485" s="219"/>
      <c r="Q1485" s="221"/>
    </row>
    <row r="1486" spans="2:17" x14ac:dyDescent="0.2">
      <c r="B1486" s="219"/>
      <c r="C1486" s="219"/>
      <c r="D1486" s="219"/>
      <c r="E1486" s="219"/>
      <c r="F1486" s="219"/>
      <c r="G1486" s="219"/>
      <c r="H1486" s="219"/>
      <c r="I1486" s="219"/>
      <c r="J1486" s="219"/>
      <c r="K1486" s="219"/>
      <c r="L1486" s="219"/>
      <c r="M1486" s="219"/>
      <c r="N1486" s="219"/>
      <c r="O1486" s="219"/>
      <c r="P1486" s="219"/>
      <c r="Q1486" s="221"/>
    </row>
    <row r="1487" spans="2:17" x14ac:dyDescent="0.2">
      <c r="B1487" s="219"/>
      <c r="C1487" s="219"/>
      <c r="D1487" s="219"/>
      <c r="E1487" s="219"/>
      <c r="F1487" s="219"/>
      <c r="G1487" s="219"/>
      <c r="H1487" s="219"/>
      <c r="I1487" s="219"/>
      <c r="J1487" s="219"/>
      <c r="K1487" s="219"/>
      <c r="L1487" s="219"/>
      <c r="M1487" s="219"/>
      <c r="N1487" s="219"/>
      <c r="O1487" s="219"/>
      <c r="P1487" s="219"/>
      <c r="Q1487" s="221"/>
    </row>
    <row r="1488" spans="2:17" x14ac:dyDescent="0.2">
      <c r="B1488" s="219"/>
      <c r="C1488" s="219"/>
      <c r="D1488" s="219"/>
      <c r="E1488" s="219"/>
      <c r="F1488" s="219"/>
      <c r="G1488" s="219"/>
      <c r="H1488" s="219"/>
      <c r="I1488" s="219"/>
      <c r="J1488" s="219"/>
      <c r="K1488" s="219"/>
      <c r="L1488" s="219"/>
      <c r="M1488" s="219"/>
      <c r="N1488" s="219"/>
      <c r="O1488" s="219"/>
      <c r="P1488" s="219"/>
      <c r="Q1488" s="221"/>
    </row>
    <row r="1489" spans="2:17" x14ac:dyDescent="0.2">
      <c r="B1489" s="219"/>
      <c r="C1489" s="219"/>
      <c r="D1489" s="219"/>
      <c r="E1489" s="219"/>
      <c r="F1489" s="219"/>
      <c r="G1489" s="219"/>
      <c r="H1489" s="219"/>
      <c r="I1489" s="219"/>
      <c r="J1489" s="219"/>
      <c r="K1489" s="219"/>
      <c r="L1489" s="219"/>
      <c r="M1489" s="219"/>
      <c r="N1489" s="219"/>
      <c r="O1489" s="219"/>
      <c r="P1489" s="219"/>
      <c r="Q1489" s="221"/>
    </row>
    <row r="1490" spans="2:17" x14ac:dyDescent="0.2">
      <c r="B1490" s="219"/>
      <c r="C1490" s="219"/>
      <c r="D1490" s="219"/>
      <c r="E1490" s="219"/>
      <c r="F1490" s="219"/>
      <c r="G1490" s="219"/>
      <c r="H1490" s="219"/>
      <c r="I1490" s="219"/>
      <c r="J1490" s="219"/>
      <c r="K1490" s="219"/>
      <c r="L1490" s="219"/>
      <c r="M1490" s="219"/>
      <c r="N1490" s="219"/>
      <c r="O1490" s="219"/>
      <c r="P1490" s="219"/>
      <c r="Q1490" s="221"/>
    </row>
    <row r="1491" spans="2:17" x14ac:dyDescent="0.2">
      <c r="B1491" s="219"/>
      <c r="C1491" s="219"/>
      <c r="D1491" s="219"/>
      <c r="E1491" s="219"/>
      <c r="F1491" s="219"/>
      <c r="G1491" s="219"/>
      <c r="H1491" s="219"/>
      <c r="I1491" s="219"/>
      <c r="J1491" s="219"/>
      <c r="K1491" s="219"/>
      <c r="L1491" s="219"/>
      <c r="M1491" s="219"/>
      <c r="N1491" s="219"/>
      <c r="O1491" s="219"/>
      <c r="P1491" s="219"/>
      <c r="Q1491" s="221"/>
    </row>
    <row r="1492" spans="2:17" x14ac:dyDescent="0.2">
      <c r="B1492" s="219"/>
      <c r="C1492" s="219"/>
      <c r="D1492" s="219"/>
      <c r="E1492" s="219"/>
      <c r="F1492" s="219"/>
      <c r="G1492" s="219"/>
      <c r="H1492" s="219"/>
      <c r="I1492" s="219"/>
      <c r="J1492" s="219"/>
      <c r="K1492" s="219"/>
      <c r="L1492" s="219"/>
      <c r="M1492" s="219"/>
      <c r="N1492" s="219"/>
      <c r="O1492" s="219"/>
      <c r="P1492" s="219"/>
      <c r="Q1492" s="221"/>
    </row>
    <row r="1493" spans="2:17" x14ac:dyDescent="0.2">
      <c r="B1493" s="219"/>
      <c r="C1493" s="219"/>
      <c r="D1493" s="219"/>
      <c r="E1493" s="219"/>
      <c r="F1493" s="219"/>
      <c r="G1493" s="219"/>
      <c r="H1493" s="219"/>
      <c r="I1493" s="219"/>
      <c r="J1493" s="219"/>
      <c r="K1493" s="219"/>
      <c r="L1493" s="219"/>
      <c r="M1493" s="219"/>
      <c r="N1493" s="219"/>
      <c r="O1493" s="219"/>
      <c r="P1493" s="219"/>
      <c r="Q1493" s="221"/>
    </row>
    <row r="1494" spans="2:17" x14ac:dyDescent="0.2">
      <c r="B1494" s="219"/>
      <c r="C1494" s="219"/>
      <c r="D1494" s="219"/>
      <c r="E1494" s="219"/>
      <c r="F1494" s="219"/>
      <c r="G1494" s="219"/>
      <c r="H1494" s="219"/>
      <c r="I1494" s="219"/>
      <c r="J1494" s="219"/>
      <c r="K1494" s="219"/>
      <c r="L1494" s="219"/>
      <c r="M1494" s="219"/>
      <c r="N1494" s="219"/>
      <c r="O1494" s="219"/>
      <c r="P1494" s="219"/>
      <c r="Q1494" s="221"/>
    </row>
    <row r="1495" spans="2:17" x14ac:dyDescent="0.2">
      <c r="B1495" s="219"/>
      <c r="C1495" s="219"/>
      <c r="D1495" s="219"/>
      <c r="E1495" s="219"/>
      <c r="F1495" s="219"/>
      <c r="G1495" s="219"/>
      <c r="H1495" s="219"/>
      <c r="I1495" s="219"/>
      <c r="J1495" s="219"/>
      <c r="K1495" s="219"/>
      <c r="L1495" s="219"/>
      <c r="M1495" s="219"/>
      <c r="N1495" s="219"/>
      <c r="O1495" s="219"/>
      <c r="P1495" s="219"/>
      <c r="Q1495" s="221"/>
    </row>
    <row r="1496" spans="2:17" x14ac:dyDescent="0.2">
      <c r="B1496" s="219"/>
      <c r="C1496" s="219"/>
      <c r="D1496" s="219"/>
      <c r="E1496" s="219"/>
      <c r="F1496" s="219"/>
      <c r="G1496" s="219"/>
      <c r="H1496" s="219"/>
      <c r="I1496" s="219"/>
      <c r="J1496" s="219"/>
      <c r="K1496" s="219"/>
      <c r="L1496" s="219"/>
      <c r="M1496" s="219"/>
      <c r="N1496" s="219"/>
      <c r="O1496" s="219"/>
      <c r="P1496" s="219"/>
      <c r="Q1496" s="221"/>
    </row>
    <row r="1497" spans="2:17" x14ac:dyDescent="0.2">
      <c r="B1497" s="219"/>
      <c r="C1497" s="219"/>
      <c r="D1497" s="219"/>
      <c r="E1497" s="219"/>
      <c r="F1497" s="219"/>
      <c r="G1497" s="219"/>
      <c r="H1497" s="219"/>
      <c r="I1497" s="219"/>
      <c r="J1497" s="219"/>
      <c r="K1497" s="219"/>
      <c r="L1497" s="219"/>
      <c r="M1497" s="219"/>
      <c r="N1497" s="219"/>
      <c r="O1497" s="219"/>
      <c r="P1497" s="219"/>
      <c r="Q1497" s="221"/>
    </row>
    <row r="1498" spans="2:17" x14ac:dyDescent="0.2">
      <c r="B1498" s="219"/>
      <c r="C1498" s="219"/>
      <c r="D1498" s="219"/>
      <c r="E1498" s="219"/>
      <c r="F1498" s="219"/>
      <c r="G1498" s="219"/>
      <c r="H1498" s="219"/>
      <c r="I1498" s="219"/>
      <c r="J1498" s="219"/>
      <c r="K1498" s="219"/>
      <c r="L1498" s="219"/>
      <c r="M1498" s="219"/>
      <c r="N1498" s="219"/>
      <c r="O1498" s="219"/>
      <c r="P1498" s="219"/>
      <c r="Q1498" s="221"/>
    </row>
    <row r="1499" spans="2:17" x14ac:dyDescent="0.2">
      <c r="B1499" s="219"/>
      <c r="C1499" s="219"/>
      <c r="D1499" s="219"/>
      <c r="E1499" s="219"/>
      <c r="F1499" s="219"/>
      <c r="G1499" s="219"/>
      <c r="H1499" s="219"/>
      <c r="I1499" s="219"/>
      <c r="J1499" s="219"/>
      <c r="K1499" s="219"/>
      <c r="L1499" s="219"/>
      <c r="M1499" s="219"/>
      <c r="N1499" s="219"/>
      <c r="O1499" s="219"/>
      <c r="P1499" s="219"/>
      <c r="Q1499" s="221"/>
    </row>
    <row r="1500" spans="2:17" x14ac:dyDescent="0.2">
      <c r="B1500" s="219"/>
      <c r="C1500" s="219"/>
      <c r="D1500" s="219"/>
      <c r="E1500" s="219"/>
      <c r="F1500" s="219"/>
      <c r="G1500" s="219"/>
      <c r="H1500" s="219"/>
      <c r="I1500" s="219"/>
      <c r="J1500" s="219"/>
      <c r="K1500" s="219"/>
      <c r="L1500" s="219"/>
      <c r="M1500" s="219"/>
      <c r="N1500" s="219"/>
      <c r="O1500" s="219"/>
      <c r="P1500" s="219"/>
      <c r="Q1500" s="221"/>
    </row>
    <row r="1501" spans="2:17" x14ac:dyDescent="0.2">
      <c r="B1501" s="219"/>
      <c r="C1501" s="219"/>
      <c r="D1501" s="219"/>
      <c r="E1501" s="219"/>
      <c r="F1501" s="219"/>
      <c r="G1501" s="219"/>
      <c r="H1501" s="219"/>
      <c r="I1501" s="219"/>
      <c r="J1501" s="219"/>
      <c r="K1501" s="219"/>
      <c r="L1501" s="219"/>
      <c r="M1501" s="219"/>
      <c r="N1501" s="219"/>
      <c r="O1501" s="219"/>
      <c r="P1501" s="219"/>
      <c r="Q1501" s="221"/>
    </row>
    <row r="1502" spans="2:17" x14ac:dyDescent="0.2">
      <c r="B1502" s="219"/>
      <c r="C1502" s="219"/>
      <c r="D1502" s="219"/>
      <c r="E1502" s="219"/>
      <c r="F1502" s="219"/>
      <c r="G1502" s="219"/>
      <c r="H1502" s="219"/>
      <c r="I1502" s="219"/>
      <c r="J1502" s="219"/>
      <c r="K1502" s="219"/>
      <c r="L1502" s="219"/>
      <c r="M1502" s="219"/>
      <c r="N1502" s="219"/>
      <c r="O1502" s="219"/>
      <c r="P1502" s="219"/>
      <c r="Q1502" s="221"/>
    </row>
    <row r="1503" spans="2:17" x14ac:dyDescent="0.2">
      <c r="B1503" s="219"/>
      <c r="C1503" s="219"/>
      <c r="D1503" s="219"/>
      <c r="E1503" s="219"/>
      <c r="F1503" s="219"/>
      <c r="G1503" s="219"/>
      <c r="H1503" s="219"/>
      <c r="I1503" s="219"/>
      <c r="J1503" s="219"/>
      <c r="K1503" s="219"/>
      <c r="L1503" s="219"/>
      <c r="M1503" s="219"/>
      <c r="N1503" s="219"/>
      <c r="O1503" s="219"/>
      <c r="P1503" s="219"/>
      <c r="Q1503" s="221"/>
    </row>
    <row r="1504" spans="2:17" x14ac:dyDescent="0.2">
      <c r="B1504" s="219"/>
      <c r="C1504" s="219"/>
      <c r="D1504" s="219"/>
      <c r="E1504" s="219"/>
      <c r="F1504" s="219"/>
      <c r="G1504" s="219"/>
      <c r="H1504" s="219"/>
      <c r="I1504" s="219"/>
      <c r="J1504" s="219"/>
      <c r="K1504" s="219"/>
      <c r="L1504" s="219"/>
      <c r="M1504" s="219"/>
      <c r="N1504" s="219"/>
      <c r="O1504" s="219"/>
      <c r="P1504" s="219"/>
      <c r="Q1504" s="221"/>
    </row>
    <row r="1505" spans="2:17" x14ac:dyDescent="0.2">
      <c r="B1505" s="219"/>
      <c r="C1505" s="219"/>
      <c r="D1505" s="219"/>
      <c r="E1505" s="219"/>
      <c r="F1505" s="219"/>
      <c r="G1505" s="219"/>
      <c r="H1505" s="219"/>
      <c r="I1505" s="219"/>
      <c r="J1505" s="219"/>
      <c r="K1505" s="219"/>
      <c r="L1505" s="219"/>
      <c r="M1505" s="219"/>
      <c r="N1505" s="219"/>
      <c r="O1505" s="219"/>
      <c r="P1505" s="219"/>
      <c r="Q1505" s="221"/>
    </row>
    <row r="1506" spans="2:17" x14ac:dyDescent="0.2">
      <c r="B1506" s="219"/>
      <c r="C1506" s="219"/>
      <c r="D1506" s="219"/>
      <c r="E1506" s="219"/>
      <c r="F1506" s="219"/>
      <c r="G1506" s="219"/>
      <c r="H1506" s="219"/>
      <c r="I1506" s="219"/>
      <c r="J1506" s="219"/>
      <c r="K1506" s="219"/>
      <c r="L1506" s="219"/>
      <c r="M1506" s="219"/>
      <c r="N1506" s="219"/>
      <c r="O1506" s="219"/>
      <c r="P1506" s="219"/>
      <c r="Q1506" s="221"/>
    </row>
    <row r="1507" spans="2:17" x14ac:dyDescent="0.2">
      <c r="B1507" s="219"/>
      <c r="C1507" s="219"/>
      <c r="D1507" s="219"/>
      <c r="E1507" s="219"/>
      <c r="F1507" s="219"/>
      <c r="G1507" s="219"/>
      <c r="H1507" s="219"/>
      <c r="I1507" s="219"/>
      <c r="J1507" s="219"/>
      <c r="K1507" s="219"/>
      <c r="L1507" s="219"/>
      <c r="M1507" s="219"/>
      <c r="N1507" s="219"/>
      <c r="O1507" s="219"/>
      <c r="P1507" s="219"/>
      <c r="Q1507" s="221"/>
    </row>
    <row r="1508" spans="2:17" x14ac:dyDescent="0.2">
      <c r="B1508" s="219"/>
      <c r="C1508" s="219"/>
      <c r="D1508" s="219"/>
      <c r="E1508" s="219"/>
      <c r="F1508" s="219"/>
      <c r="G1508" s="219"/>
      <c r="H1508" s="219"/>
      <c r="I1508" s="219"/>
      <c r="J1508" s="219"/>
      <c r="K1508" s="219"/>
      <c r="L1508" s="219"/>
      <c r="M1508" s="219"/>
      <c r="N1508" s="219"/>
      <c r="O1508" s="219"/>
      <c r="P1508" s="219"/>
      <c r="Q1508" s="221"/>
    </row>
    <row r="1509" spans="2:17" x14ac:dyDescent="0.2">
      <c r="B1509" s="219"/>
      <c r="C1509" s="219"/>
      <c r="D1509" s="219"/>
      <c r="E1509" s="219"/>
      <c r="F1509" s="219"/>
      <c r="G1509" s="219"/>
      <c r="H1509" s="219"/>
      <c r="I1509" s="219"/>
      <c r="J1509" s="219"/>
      <c r="K1509" s="219"/>
      <c r="L1509" s="219"/>
      <c r="M1509" s="219"/>
      <c r="N1509" s="219"/>
      <c r="O1509" s="219"/>
      <c r="P1509" s="219"/>
      <c r="Q1509" s="221"/>
    </row>
    <row r="1510" spans="2:17" x14ac:dyDescent="0.2">
      <c r="B1510" s="219"/>
      <c r="C1510" s="219"/>
      <c r="D1510" s="219"/>
      <c r="E1510" s="219"/>
      <c r="F1510" s="219"/>
      <c r="G1510" s="219"/>
      <c r="H1510" s="219"/>
      <c r="I1510" s="219"/>
      <c r="J1510" s="219"/>
      <c r="K1510" s="219"/>
      <c r="L1510" s="219"/>
      <c r="M1510" s="219"/>
      <c r="N1510" s="219"/>
      <c r="O1510" s="219"/>
      <c r="P1510" s="219"/>
      <c r="Q1510" s="221"/>
    </row>
    <row r="1511" spans="2:17" x14ac:dyDescent="0.2">
      <c r="B1511" s="219"/>
      <c r="C1511" s="219"/>
      <c r="D1511" s="219"/>
      <c r="E1511" s="219"/>
      <c r="F1511" s="219"/>
      <c r="G1511" s="219"/>
      <c r="H1511" s="219"/>
      <c r="I1511" s="219"/>
      <c r="J1511" s="219"/>
      <c r="K1511" s="219"/>
      <c r="L1511" s="219"/>
      <c r="M1511" s="219"/>
      <c r="N1511" s="219"/>
      <c r="O1511" s="219"/>
      <c r="P1511" s="219"/>
      <c r="Q1511" s="221"/>
    </row>
    <row r="1512" spans="2:17" x14ac:dyDescent="0.2">
      <c r="B1512" s="219"/>
      <c r="C1512" s="219"/>
      <c r="D1512" s="219"/>
      <c r="E1512" s="219"/>
      <c r="F1512" s="219"/>
      <c r="G1512" s="219"/>
      <c r="H1512" s="219"/>
      <c r="I1512" s="219"/>
      <c r="J1512" s="219"/>
      <c r="K1512" s="219"/>
      <c r="L1512" s="219"/>
      <c r="M1512" s="219"/>
      <c r="N1512" s="219"/>
      <c r="O1512" s="219"/>
      <c r="P1512" s="219"/>
      <c r="Q1512" s="221"/>
    </row>
    <row r="1513" spans="2:17" x14ac:dyDescent="0.2">
      <c r="B1513" s="219"/>
      <c r="C1513" s="219"/>
      <c r="D1513" s="219"/>
      <c r="E1513" s="219"/>
      <c r="F1513" s="219"/>
      <c r="G1513" s="219"/>
      <c r="H1513" s="219"/>
      <c r="I1513" s="219"/>
      <c r="J1513" s="219"/>
      <c r="K1513" s="219"/>
      <c r="L1513" s="219"/>
      <c r="M1513" s="219"/>
      <c r="N1513" s="219"/>
      <c r="O1513" s="219"/>
      <c r="P1513" s="219"/>
      <c r="Q1513" s="221"/>
    </row>
    <row r="1514" spans="2:17" x14ac:dyDescent="0.2">
      <c r="B1514" s="219"/>
      <c r="C1514" s="219"/>
      <c r="D1514" s="219"/>
      <c r="E1514" s="219"/>
      <c r="F1514" s="219"/>
      <c r="G1514" s="219"/>
      <c r="H1514" s="219"/>
      <c r="I1514" s="219"/>
      <c r="J1514" s="219"/>
      <c r="K1514" s="219"/>
      <c r="L1514" s="219"/>
      <c r="M1514" s="219"/>
      <c r="N1514" s="219"/>
      <c r="O1514" s="219"/>
      <c r="P1514" s="219"/>
      <c r="Q1514" s="221"/>
    </row>
    <row r="1515" spans="2:17" x14ac:dyDescent="0.2">
      <c r="B1515" s="219"/>
      <c r="C1515" s="219"/>
      <c r="D1515" s="219"/>
      <c r="E1515" s="219"/>
      <c r="F1515" s="219"/>
      <c r="G1515" s="219"/>
      <c r="H1515" s="219"/>
      <c r="I1515" s="219"/>
      <c r="J1515" s="219"/>
      <c r="K1515" s="219"/>
      <c r="L1515" s="219"/>
      <c r="M1515" s="219"/>
      <c r="N1515" s="219"/>
      <c r="O1515" s="219"/>
      <c r="P1515" s="219"/>
      <c r="Q1515" s="221"/>
    </row>
    <row r="1516" spans="2:17" x14ac:dyDescent="0.2">
      <c r="B1516" s="219"/>
      <c r="C1516" s="219"/>
      <c r="D1516" s="219"/>
      <c r="E1516" s="219"/>
      <c r="F1516" s="219"/>
      <c r="G1516" s="219"/>
      <c r="H1516" s="219"/>
      <c r="I1516" s="219"/>
      <c r="J1516" s="219"/>
      <c r="K1516" s="219"/>
      <c r="L1516" s="219"/>
      <c r="M1516" s="219"/>
      <c r="N1516" s="219"/>
      <c r="O1516" s="219"/>
      <c r="P1516" s="219"/>
      <c r="Q1516" s="221"/>
    </row>
    <row r="1517" spans="2:17" x14ac:dyDescent="0.2">
      <c r="B1517" s="219"/>
      <c r="C1517" s="219"/>
      <c r="D1517" s="219"/>
      <c r="E1517" s="219"/>
      <c r="F1517" s="219"/>
      <c r="G1517" s="219"/>
      <c r="H1517" s="219"/>
      <c r="I1517" s="219"/>
      <c r="J1517" s="219"/>
      <c r="K1517" s="219"/>
      <c r="L1517" s="219"/>
      <c r="M1517" s="219"/>
      <c r="N1517" s="219"/>
      <c r="O1517" s="219"/>
      <c r="P1517" s="219"/>
      <c r="Q1517" s="221"/>
    </row>
    <row r="1518" spans="2:17" x14ac:dyDescent="0.2">
      <c r="B1518" s="219"/>
      <c r="C1518" s="219"/>
      <c r="D1518" s="219"/>
      <c r="E1518" s="219"/>
      <c r="F1518" s="219"/>
      <c r="G1518" s="219"/>
      <c r="H1518" s="219"/>
      <c r="I1518" s="219"/>
      <c r="J1518" s="219"/>
      <c r="K1518" s="219"/>
      <c r="L1518" s="219"/>
      <c r="M1518" s="219"/>
      <c r="N1518" s="219"/>
      <c r="O1518" s="219"/>
      <c r="P1518" s="219"/>
      <c r="Q1518" s="221"/>
    </row>
    <row r="1519" spans="2:17" x14ac:dyDescent="0.2">
      <c r="B1519" s="219"/>
      <c r="C1519" s="219"/>
      <c r="D1519" s="219"/>
      <c r="E1519" s="219"/>
      <c r="F1519" s="219"/>
      <c r="G1519" s="219"/>
      <c r="H1519" s="219"/>
      <c r="I1519" s="219"/>
      <c r="J1519" s="219"/>
      <c r="K1519" s="219"/>
      <c r="L1519" s="219"/>
      <c r="M1519" s="219"/>
      <c r="N1519" s="219"/>
      <c r="O1519" s="219"/>
      <c r="P1519" s="219"/>
      <c r="Q1519" s="221"/>
    </row>
    <row r="1520" spans="2:17" x14ac:dyDescent="0.2">
      <c r="B1520" s="219"/>
      <c r="C1520" s="219"/>
      <c r="D1520" s="219"/>
      <c r="E1520" s="219"/>
      <c r="F1520" s="219"/>
      <c r="G1520" s="219"/>
      <c r="H1520" s="219"/>
      <c r="I1520" s="219"/>
      <c r="J1520" s="219"/>
      <c r="K1520" s="219"/>
      <c r="L1520" s="219"/>
      <c r="M1520" s="219"/>
      <c r="N1520" s="219"/>
      <c r="O1520" s="219"/>
      <c r="P1520" s="219"/>
      <c r="Q1520" s="221"/>
    </row>
    <row r="1521" spans="2:17" x14ac:dyDescent="0.2">
      <c r="B1521" s="219"/>
      <c r="C1521" s="219"/>
      <c r="D1521" s="219"/>
      <c r="E1521" s="219"/>
      <c r="F1521" s="219"/>
      <c r="G1521" s="219"/>
      <c r="H1521" s="219"/>
      <c r="I1521" s="219"/>
      <c r="J1521" s="219"/>
      <c r="K1521" s="219"/>
      <c r="L1521" s="219"/>
      <c r="M1521" s="219"/>
      <c r="N1521" s="219"/>
      <c r="O1521" s="219"/>
      <c r="P1521" s="219"/>
      <c r="Q1521" s="221"/>
    </row>
    <row r="1522" spans="2:17" x14ac:dyDescent="0.2">
      <c r="B1522" s="219"/>
      <c r="C1522" s="219"/>
      <c r="D1522" s="219"/>
      <c r="E1522" s="219"/>
      <c r="F1522" s="219"/>
      <c r="G1522" s="219"/>
      <c r="H1522" s="219"/>
      <c r="I1522" s="219"/>
      <c r="J1522" s="219"/>
      <c r="K1522" s="219"/>
      <c r="L1522" s="219"/>
      <c r="M1522" s="219"/>
      <c r="N1522" s="219"/>
      <c r="O1522" s="219"/>
      <c r="P1522" s="219"/>
      <c r="Q1522" s="221"/>
    </row>
    <row r="1523" spans="2:17" x14ac:dyDescent="0.2">
      <c r="B1523" s="219"/>
      <c r="C1523" s="219"/>
      <c r="D1523" s="219"/>
      <c r="E1523" s="219"/>
      <c r="F1523" s="219"/>
      <c r="G1523" s="219"/>
      <c r="H1523" s="219"/>
      <c r="I1523" s="219"/>
      <c r="J1523" s="219"/>
      <c r="K1523" s="219"/>
      <c r="L1523" s="219"/>
      <c r="M1523" s="219"/>
      <c r="N1523" s="219"/>
      <c r="O1523" s="219"/>
      <c r="P1523" s="219"/>
      <c r="Q1523" s="221"/>
    </row>
    <row r="1524" spans="2:17" x14ac:dyDescent="0.2">
      <c r="B1524" s="219"/>
      <c r="C1524" s="219"/>
      <c r="D1524" s="219"/>
      <c r="E1524" s="219"/>
      <c r="F1524" s="219"/>
      <c r="G1524" s="219"/>
      <c r="H1524" s="219"/>
      <c r="I1524" s="219"/>
      <c r="J1524" s="219"/>
      <c r="K1524" s="219"/>
      <c r="L1524" s="219"/>
      <c r="M1524" s="219"/>
      <c r="N1524" s="219"/>
      <c r="O1524" s="219"/>
      <c r="P1524" s="219"/>
      <c r="Q1524" s="221"/>
    </row>
    <row r="1525" spans="2:17" x14ac:dyDescent="0.2">
      <c r="B1525" s="219"/>
      <c r="C1525" s="219"/>
      <c r="D1525" s="219"/>
      <c r="E1525" s="219"/>
      <c r="F1525" s="219"/>
      <c r="G1525" s="219"/>
      <c r="H1525" s="219"/>
      <c r="I1525" s="219"/>
      <c r="J1525" s="219"/>
      <c r="K1525" s="219"/>
      <c r="L1525" s="219"/>
      <c r="M1525" s="219"/>
      <c r="N1525" s="219"/>
      <c r="O1525" s="219"/>
      <c r="P1525" s="219"/>
      <c r="Q1525" s="221"/>
    </row>
    <row r="1526" spans="2:17" x14ac:dyDescent="0.2">
      <c r="B1526" s="219"/>
      <c r="C1526" s="219"/>
      <c r="D1526" s="219"/>
      <c r="E1526" s="219"/>
      <c r="F1526" s="219"/>
      <c r="G1526" s="219"/>
      <c r="H1526" s="219"/>
      <c r="I1526" s="219"/>
      <c r="J1526" s="219"/>
      <c r="K1526" s="219"/>
      <c r="L1526" s="219"/>
      <c r="M1526" s="219"/>
      <c r="N1526" s="219"/>
      <c r="O1526" s="219"/>
      <c r="P1526" s="219"/>
      <c r="Q1526" s="221"/>
    </row>
    <row r="1527" spans="2:17" x14ac:dyDescent="0.2">
      <c r="B1527" s="219"/>
      <c r="C1527" s="219"/>
      <c r="D1527" s="219"/>
      <c r="E1527" s="219"/>
      <c r="F1527" s="219"/>
      <c r="G1527" s="219"/>
      <c r="H1527" s="219"/>
      <c r="I1527" s="219"/>
      <c r="J1527" s="219"/>
      <c r="K1527" s="219"/>
      <c r="L1527" s="219"/>
      <c r="M1527" s="219"/>
      <c r="N1527" s="219"/>
      <c r="O1527" s="219"/>
      <c r="P1527" s="219"/>
      <c r="Q1527" s="221"/>
    </row>
    <row r="1528" spans="2:17" x14ac:dyDescent="0.2">
      <c r="B1528" s="219"/>
      <c r="C1528" s="219"/>
      <c r="D1528" s="219"/>
      <c r="E1528" s="219"/>
      <c r="F1528" s="219"/>
      <c r="G1528" s="219"/>
      <c r="H1528" s="219"/>
      <c r="I1528" s="219"/>
      <c r="J1528" s="219"/>
      <c r="K1528" s="219"/>
      <c r="L1528" s="219"/>
      <c r="M1528" s="219"/>
      <c r="N1528" s="219"/>
      <c r="O1528" s="219"/>
      <c r="P1528" s="219"/>
      <c r="Q1528" s="221"/>
    </row>
    <row r="1529" spans="2:17" x14ac:dyDescent="0.2">
      <c r="B1529" s="219"/>
      <c r="C1529" s="219"/>
      <c r="D1529" s="219"/>
      <c r="E1529" s="219"/>
      <c r="F1529" s="219"/>
      <c r="G1529" s="219"/>
      <c r="H1529" s="219"/>
      <c r="I1529" s="219"/>
      <c r="J1529" s="219"/>
      <c r="K1529" s="219"/>
      <c r="L1529" s="219"/>
      <c r="M1529" s="219"/>
      <c r="N1529" s="219"/>
      <c r="O1529" s="219"/>
      <c r="P1529" s="219"/>
      <c r="Q1529" s="221"/>
    </row>
    <row r="1530" spans="2:17" x14ac:dyDescent="0.2">
      <c r="B1530" s="219"/>
      <c r="C1530" s="219"/>
      <c r="D1530" s="219"/>
      <c r="E1530" s="219"/>
      <c r="F1530" s="219"/>
      <c r="G1530" s="219"/>
      <c r="H1530" s="219"/>
      <c r="I1530" s="219"/>
      <c r="J1530" s="219"/>
      <c r="K1530" s="219"/>
      <c r="L1530" s="219"/>
      <c r="M1530" s="219"/>
      <c r="N1530" s="219"/>
      <c r="O1530" s="219"/>
      <c r="P1530" s="219"/>
      <c r="Q1530" s="221"/>
    </row>
    <row r="1531" spans="2:17" x14ac:dyDescent="0.2">
      <c r="B1531" s="219"/>
      <c r="C1531" s="219"/>
      <c r="D1531" s="219"/>
      <c r="E1531" s="219"/>
      <c r="F1531" s="219"/>
      <c r="G1531" s="219"/>
      <c r="H1531" s="219"/>
      <c r="I1531" s="219"/>
      <c r="J1531" s="219"/>
      <c r="K1531" s="219"/>
      <c r="L1531" s="219"/>
      <c r="M1531" s="219"/>
      <c r="N1531" s="219"/>
      <c r="O1531" s="219"/>
      <c r="P1531" s="219"/>
      <c r="Q1531" s="221"/>
    </row>
    <row r="1532" spans="2:17" x14ac:dyDescent="0.2">
      <c r="B1532" s="219"/>
      <c r="C1532" s="219"/>
      <c r="D1532" s="219"/>
      <c r="E1532" s="219"/>
      <c r="F1532" s="219"/>
      <c r="G1532" s="219"/>
      <c r="H1532" s="219"/>
      <c r="I1532" s="219"/>
      <c r="J1532" s="219"/>
      <c r="K1532" s="219"/>
      <c r="L1532" s="219"/>
      <c r="M1532" s="219"/>
      <c r="N1532" s="219"/>
      <c r="O1532" s="219"/>
      <c r="P1532" s="219"/>
      <c r="Q1532" s="221"/>
    </row>
    <row r="1533" spans="2:17" x14ac:dyDescent="0.2">
      <c r="B1533" s="219"/>
      <c r="C1533" s="219"/>
      <c r="D1533" s="219"/>
      <c r="E1533" s="219"/>
      <c r="F1533" s="219"/>
      <c r="G1533" s="219"/>
      <c r="H1533" s="219"/>
      <c r="I1533" s="219"/>
      <c r="J1533" s="219"/>
      <c r="K1533" s="219"/>
      <c r="L1533" s="219"/>
      <c r="M1533" s="219"/>
      <c r="N1533" s="219"/>
      <c r="O1533" s="219"/>
      <c r="P1533" s="219"/>
      <c r="Q1533" s="221"/>
    </row>
    <row r="1534" spans="2:17" x14ac:dyDescent="0.2">
      <c r="B1534" s="219"/>
      <c r="C1534" s="219"/>
      <c r="D1534" s="219"/>
      <c r="E1534" s="219"/>
      <c r="F1534" s="219"/>
      <c r="G1534" s="219"/>
      <c r="H1534" s="219"/>
      <c r="I1534" s="219"/>
      <c r="J1534" s="219"/>
      <c r="K1534" s="219"/>
      <c r="L1534" s="219"/>
      <c r="M1534" s="219"/>
      <c r="N1534" s="219"/>
      <c r="O1534" s="219"/>
      <c r="P1534" s="219"/>
      <c r="Q1534" s="221"/>
    </row>
    <row r="1535" spans="2:17" x14ac:dyDescent="0.2">
      <c r="B1535" s="219"/>
      <c r="C1535" s="219"/>
      <c r="D1535" s="219"/>
      <c r="E1535" s="219"/>
      <c r="F1535" s="219"/>
      <c r="G1535" s="219"/>
      <c r="H1535" s="219"/>
      <c r="I1535" s="219"/>
      <c r="J1535" s="219"/>
      <c r="K1535" s="219"/>
      <c r="L1535" s="219"/>
      <c r="M1535" s="219"/>
      <c r="N1535" s="219"/>
      <c r="O1535" s="219"/>
      <c r="P1535" s="219"/>
      <c r="Q1535" s="221"/>
    </row>
    <row r="1536" spans="2:17" x14ac:dyDescent="0.2">
      <c r="B1536" s="219"/>
      <c r="C1536" s="219"/>
      <c r="D1536" s="219"/>
      <c r="E1536" s="219"/>
      <c r="F1536" s="219"/>
      <c r="G1536" s="219"/>
      <c r="H1536" s="219"/>
      <c r="I1536" s="219"/>
      <c r="J1536" s="219"/>
      <c r="K1536" s="219"/>
      <c r="L1536" s="219"/>
      <c r="M1536" s="219"/>
      <c r="N1536" s="219"/>
      <c r="O1536" s="219"/>
      <c r="P1536" s="219"/>
      <c r="Q1536" s="221"/>
    </row>
    <row r="1537" spans="2:17" x14ac:dyDescent="0.2">
      <c r="B1537" s="219"/>
      <c r="C1537" s="219"/>
      <c r="D1537" s="219"/>
      <c r="E1537" s="219"/>
      <c r="F1537" s="219"/>
      <c r="G1537" s="219"/>
      <c r="H1537" s="219"/>
      <c r="I1537" s="219"/>
      <c r="J1537" s="219"/>
      <c r="K1537" s="219"/>
      <c r="L1537" s="219"/>
      <c r="M1537" s="219"/>
      <c r="N1537" s="219"/>
      <c r="O1537" s="219"/>
      <c r="P1537" s="219"/>
      <c r="Q1537" s="221"/>
    </row>
    <row r="1538" spans="2:17" x14ac:dyDescent="0.2">
      <c r="B1538" s="219"/>
      <c r="C1538" s="219"/>
      <c r="D1538" s="219"/>
      <c r="E1538" s="219"/>
      <c r="F1538" s="219"/>
      <c r="G1538" s="219"/>
      <c r="H1538" s="219"/>
      <c r="I1538" s="219"/>
      <c r="J1538" s="219"/>
      <c r="K1538" s="219"/>
      <c r="L1538" s="219"/>
      <c r="M1538" s="219"/>
      <c r="N1538" s="219"/>
      <c r="O1538" s="219"/>
      <c r="P1538" s="219"/>
      <c r="Q1538" s="221"/>
    </row>
    <row r="1539" spans="2:17" x14ac:dyDescent="0.2">
      <c r="B1539" s="219"/>
      <c r="C1539" s="219"/>
      <c r="D1539" s="219"/>
      <c r="E1539" s="219"/>
      <c r="F1539" s="219"/>
      <c r="G1539" s="219"/>
      <c r="H1539" s="219"/>
      <c r="I1539" s="219"/>
      <c r="J1539" s="219"/>
      <c r="K1539" s="219"/>
      <c r="L1539" s="219"/>
      <c r="M1539" s="219"/>
      <c r="N1539" s="219"/>
      <c r="O1539" s="219"/>
      <c r="P1539" s="219"/>
      <c r="Q1539" s="221"/>
    </row>
    <row r="1540" spans="2:17" x14ac:dyDescent="0.2">
      <c r="B1540" s="219"/>
      <c r="C1540" s="219"/>
      <c r="D1540" s="219"/>
      <c r="E1540" s="219"/>
      <c r="F1540" s="219"/>
      <c r="G1540" s="219"/>
      <c r="H1540" s="219"/>
      <c r="I1540" s="219"/>
      <c r="J1540" s="219"/>
      <c r="K1540" s="219"/>
      <c r="L1540" s="219"/>
      <c r="M1540" s="219"/>
      <c r="N1540" s="219"/>
      <c r="O1540" s="219"/>
      <c r="P1540" s="219"/>
      <c r="Q1540" s="221"/>
    </row>
    <row r="1541" spans="2:17" x14ac:dyDescent="0.2">
      <c r="B1541" s="219"/>
      <c r="C1541" s="219"/>
      <c r="D1541" s="219"/>
      <c r="E1541" s="219"/>
      <c r="F1541" s="219"/>
      <c r="G1541" s="219"/>
      <c r="H1541" s="219"/>
      <c r="I1541" s="219"/>
      <c r="J1541" s="219"/>
      <c r="K1541" s="219"/>
      <c r="L1541" s="219"/>
      <c r="M1541" s="219"/>
      <c r="N1541" s="219"/>
      <c r="O1541" s="219"/>
      <c r="P1541" s="219"/>
      <c r="Q1541" s="221"/>
    </row>
    <row r="1542" spans="2:17" x14ac:dyDescent="0.2">
      <c r="B1542" s="219"/>
      <c r="C1542" s="219"/>
      <c r="D1542" s="219"/>
      <c r="E1542" s="219"/>
      <c r="F1542" s="219"/>
      <c r="G1542" s="219"/>
      <c r="H1542" s="219"/>
      <c r="I1542" s="219"/>
      <c r="J1542" s="219"/>
      <c r="K1542" s="219"/>
      <c r="L1542" s="219"/>
      <c r="M1542" s="219"/>
      <c r="N1542" s="219"/>
      <c r="O1542" s="219"/>
      <c r="P1542" s="219"/>
      <c r="Q1542" s="221"/>
    </row>
    <row r="1543" spans="2:17" x14ac:dyDescent="0.2">
      <c r="B1543" s="219"/>
      <c r="C1543" s="219"/>
      <c r="D1543" s="219"/>
      <c r="E1543" s="219"/>
      <c r="F1543" s="219"/>
      <c r="G1543" s="219"/>
      <c r="H1543" s="219"/>
      <c r="I1543" s="219"/>
      <c r="J1543" s="219"/>
      <c r="K1543" s="219"/>
      <c r="L1543" s="219"/>
      <c r="M1543" s="219"/>
      <c r="N1543" s="219"/>
      <c r="O1543" s="219"/>
      <c r="P1543" s="219"/>
      <c r="Q1543" s="221"/>
    </row>
    <row r="1544" spans="2:17" x14ac:dyDescent="0.2">
      <c r="B1544" s="219"/>
      <c r="C1544" s="219"/>
      <c r="D1544" s="219"/>
      <c r="E1544" s="219"/>
      <c r="F1544" s="219"/>
      <c r="G1544" s="219"/>
      <c r="H1544" s="219"/>
      <c r="I1544" s="219"/>
      <c r="J1544" s="219"/>
      <c r="K1544" s="219"/>
      <c r="L1544" s="219"/>
      <c r="M1544" s="219"/>
      <c r="N1544" s="219"/>
      <c r="O1544" s="219"/>
      <c r="P1544" s="219"/>
      <c r="Q1544" s="221"/>
    </row>
    <row r="1545" spans="2:17" x14ac:dyDescent="0.2">
      <c r="B1545" s="219"/>
      <c r="C1545" s="219"/>
      <c r="D1545" s="219"/>
      <c r="E1545" s="219"/>
      <c r="F1545" s="219"/>
      <c r="G1545" s="219"/>
      <c r="H1545" s="219"/>
      <c r="I1545" s="219"/>
      <c r="J1545" s="219"/>
      <c r="K1545" s="219"/>
      <c r="L1545" s="219"/>
      <c r="M1545" s="219"/>
      <c r="N1545" s="219"/>
      <c r="O1545" s="219"/>
      <c r="P1545" s="219"/>
      <c r="Q1545" s="221"/>
    </row>
    <row r="1546" spans="2:17" x14ac:dyDescent="0.2">
      <c r="B1546" s="219"/>
      <c r="C1546" s="219"/>
      <c r="D1546" s="219"/>
      <c r="E1546" s="219"/>
      <c r="F1546" s="219"/>
      <c r="G1546" s="219"/>
      <c r="H1546" s="219"/>
      <c r="I1546" s="219"/>
      <c r="J1546" s="219"/>
      <c r="K1546" s="219"/>
      <c r="L1546" s="219"/>
      <c r="M1546" s="219"/>
      <c r="N1546" s="219"/>
      <c r="O1546" s="219"/>
      <c r="P1546" s="219"/>
      <c r="Q1546" s="221"/>
    </row>
    <row r="1547" spans="2:17" x14ac:dyDescent="0.2">
      <c r="B1547" s="219"/>
      <c r="C1547" s="219"/>
      <c r="D1547" s="219"/>
      <c r="E1547" s="219"/>
      <c r="F1547" s="219"/>
      <c r="G1547" s="219"/>
      <c r="H1547" s="219"/>
      <c r="I1547" s="219"/>
      <c r="J1547" s="219"/>
      <c r="K1547" s="219"/>
      <c r="L1547" s="219"/>
      <c r="M1547" s="219"/>
      <c r="N1547" s="219"/>
      <c r="O1547" s="219"/>
      <c r="P1547" s="219"/>
      <c r="Q1547" s="221"/>
    </row>
    <row r="1548" spans="2:17" x14ac:dyDescent="0.2">
      <c r="B1548" s="219"/>
      <c r="C1548" s="219"/>
      <c r="D1548" s="219"/>
      <c r="E1548" s="219"/>
      <c r="F1548" s="219"/>
      <c r="G1548" s="219"/>
      <c r="H1548" s="219"/>
      <c r="I1548" s="219"/>
      <c r="J1548" s="219"/>
      <c r="K1548" s="219"/>
      <c r="L1548" s="219"/>
      <c r="M1548" s="219"/>
      <c r="N1548" s="219"/>
      <c r="O1548" s="219"/>
      <c r="P1548" s="219"/>
      <c r="Q1548" s="221"/>
    </row>
    <row r="1549" spans="2:17" x14ac:dyDescent="0.2">
      <c r="B1549" s="219"/>
      <c r="C1549" s="219"/>
      <c r="D1549" s="219"/>
      <c r="E1549" s="219"/>
      <c r="F1549" s="219"/>
      <c r="G1549" s="219"/>
      <c r="H1549" s="219"/>
      <c r="I1549" s="219"/>
      <c r="J1549" s="219"/>
      <c r="K1549" s="219"/>
      <c r="L1549" s="219"/>
      <c r="M1549" s="219"/>
      <c r="N1549" s="219"/>
      <c r="O1549" s="219"/>
      <c r="P1549" s="219"/>
      <c r="Q1549" s="221"/>
    </row>
    <row r="1550" spans="2:17" x14ac:dyDescent="0.2">
      <c r="B1550" s="219"/>
      <c r="C1550" s="219"/>
      <c r="D1550" s="219"/>
      <c r="E1550" s="219"/>
      <c r="F1550" s="219"/>
      <c r="G1550" s="219"/>
      <c r="H1550" s="219"/>
      <c r="I1550" s="219"/>
      <c r="J1550" s="219"/>
      <c r="K1550" s="219"/>
      <c r="L1550" s="219"/>
      <c r="M1550" s="219"/>
      <c r="N1550" s="219"/>
      <c r="O1550" s="219"/>
      <c r="P1550" s="219"/>
      <c r="Q1550" s="221"/>
    </row>
    <row r="1551" spans="2:17" x14ac:dyDescent="0.2">
      <c r="B1551" s="219"/>
      <c r="C1551" s="219"/>
      <c r="D1551" s="219"/>
      <c r="E1551" s="219"/>
      <c r="F1551" s="219"/>
      <c r="G1551" s="219"/>
      <c r="H1551" s="219"/>
      <c r="I1551" s="219"/>
      <c r="J1551" s="219"/>
      <c r="K1551" s="219"/>
      <c r="L1551" s="219"/>
      <c r="M1551" s="219"/>
      <c r="N1551" s="219"/>
      <c r="O1551" s="219"/>
      <c r="P1551" s="219"/>
      <c r="Q1551" s="221"/>
    </row>
    <row r="1552" spans="2:17" x14ac:dyDescent="0.2">
      <c r="B1552" s="219"/>
      <c r="C1552" s="219"/>
      <c r="D1552" s="219"/>
      <c r="E1552" s="219"/>
      <c r="F1552" s="219"/>
      <c r="G1552" s="219"/>
      <c r="H1552" s="219"/>
      <c r="I1552" s="219"/>
      <c r="J1552" s="219"/>
      <c r="K1552" s="219"/>
      <c r="L1552" s="219"/>
      <c r="M1552" s="219"/>
      <c r="N1552" s="219"/>
      <c r="O1552" s="219"/>
      <c r="P1552" s="219"/>
      <c r="Q1552" s="221"/>
    </row>
    <row r="1553" spans="2:17" x14ac:dyDescent="0.2">
      <c r="B1553" s="219"/>
      <c r="C1553" s="219"/>
      <c r="D1553" s="219"/>
      <c r="E1553" s="219"/>
      <c r="F1553" s="219"/>
      <c r="G1553" s="219"/>
      <c r="H1553" s="219"/>
      <c r="I1553" s="219"/>
      <c r="J1553" s="219"/>
      <c r="K1553" s="219"/>
      <c r="L1553" s="219"/>
      <c r="M1553" s="219"/>
      <c r="N1553" s="219"/>
      <c r="O1553" s="219"/>
      <c r="P1553" s="219"/>
      <c r="Q1553" s="221"/>
    </row>
    <row r="1554" spans="2:17" x14ac:dyDescent="0.2">
      <c r="B1554" s="219"/>
      <c r="C1554" s="219"/>
      <c r="D1554" s="219"/>
      <c r="E1554" s="219"/>
      <c r="F1554" s="219"/>
      <c r="G1554" s="219"/>
      <c r="H1554" s="219"/>
      <c r="I1554" s="219"/>
      <c r="J1554" s="219"/>
      <c r="K1554" s="219"/>
      <c r="L1554" s="219"/>
      <c r="M1554" s="219"/>
      <c r="N1554" s="219"/>
      <c r="O1554" s="219"/>
      <c r="P1554" s="219"/>
      <c r="Q1554" s="221"/>
    </row>
    <row r="1555" spans="2:17" x14ac:dyDescent="0.2">
      <c r="B1555" s="219"/>
      <c r="C1555" s="219"/>
      <c r="D1555" s="219"/>
      <c r="E1555" s="219"/>
      <c r="F1555" s="219"/>
      <c r="G1555" s="219"/>
      <c r="H1555" s="219"/>
      <c r="I1555" s="219"/>
      <c r="J1555" s="219"/>
      <c r="K1555" s="219"/>
      <c r="L1555" s="219"/>
      <c r="M1555" s="219"/>
      <c r="N1555" s="219"/>
      <c r="O1555" s="219"/>
      <c r="P1555" s="219"/>
      <c r="Q1555" s="221"/>
    </row>
    <row r="1556" spans="2:17" x14ac:dyDescent="0.2">
      <c r="B1556" s="219"/>
      <c r="C1556" s="219"/>
      <c r="D1556" s="219"/>
      <c r="E1556" s="219"/>
      <c r="F1556" s="219"/>
      <c r="G1556" s="219"/>
      <c r="H1556" s="219"/>
      <c r="I1556" s="219"/>
      <c r="J1556" s="219"/>
      <c r="K1556" s="219"/>
      <c r="L1556" s="219"/>
      <c r="M1556" s="219"/>
      <c r="N1556" s="219"/>
      <c r="O1556" s="219"/>
      <c r="P1556" s="219"/>
      <c r="Q1556" s="221"/>
    </row>
    <row r="1557" spans="2:17" x14ac:dyDescent="0.2">
      <c r="B1557" s="219"/>
      <c r="C1557" s="219"/>
      <c r="D1557" s="219"/>
      <c r="E1557" s="219"/>
      <c r="F1557" s="219"/>
      <c r="G1557" s="219"/>
      <c r="H1557" s="219"/>
      <c r="I1557" s="219"/>
      <c r="J1557" s="219"/>
      <c r="K1557" s="219"/>
      <c r="L1557" s="219"/>
      <c r="M1557" s="219"/>
      <c r="N1557" s="219"/>
      <c r="O1557" s="219"/>
      <c r="P1557" s="219"/>
      <c r="Q1557" s="221"/>
    </row>
    <row r="1558" spans="2:17" x14ac:dyDescent="0.2">
      <c r="B1558" s="219"/>
      <c r="C1558" s="219"/>
      <c r="D1558" s="219"/>
      <c r="E1558" s="219"/>
      <c r="F1558" s="219"/>
      <c r="G1558" s="219"/>
      <c r="H1558" s="219"/>
      <c r="I1558" s="219"/>
      <c r="J1558" s="219"/>
      <c r="K1558" s="219"/>
      <c r="L1558" s="219"/>
      <c r="M1558" s="219"/>
      <c r="N1558" s="219"/>
      <c r="O1558" s="219"/>
      <c r="P1558" s="219"/>
      <c r="Q1558" s="221"/>
    </row>
    <row r="1559" spans="2:17" x14ac:dyDescent="0.2">
      <c r="B1559" s="219"/>
      <c r="C1559" s="219"/>
      <c r="D1559" s="219"/>
      <c r="E1559" s="219"/>
      <c r="F1559" s="219"/>
      <c r="G1559" s="219"/>
      <c r="H1559" s="219"/>
      <c r="I1559" s="219"/>
      <c r="J1559" s="219"/>
      <c r="K1559" s="219"/>
      <c r="L1559" s="219"/>
      <c r="M1559" s="219"/>
      <c r="N1559" s="219"/>
      <c r="O1559" s="219"/>
      <c r="P1559" s="219"/>
      <c r="Q1559" s="221"/>
    </row>
    <row r="1560" spans="2:17" x14ac:dyDescent="0.2">
      <c r="B1560" s="219"/>
      <c r="C1560" s="219"/>
      <c r="D1560" s="219"/>
      <c r="E1560" s="219"/>
      <c r="F1560" s="219"/>
      <c r="G1560" s="219"/>
      <c r="H1560" s="219"/>
      <c r="I1560" s="219"/>
      <c r="J1560" s="219"/>
      <c r="K1560" s="219"/>
      <c r="L1560" s="219"/>
      <c r="M1560" s="219"/>
      <c r="N1560" s="219"/>
      <c r="O1560" s="219"/>
      <c r="P1560" s="219"/>
      <c r="Q1560" s="221"/>
    </row>
    <row r="1561" spans="2:17" x14ac:dyDescent="0.2">
      <c r="B1561" s="219"/>
      <c r="C1561" s="219"/>
      <c r="D1561" s="219"/>
      <c r="E1561" s="219"/>
      <c r="F1561" s="219"/>
      <c r="G1561" s="219"/>
      <c r="H1561" s="219"/>
      <c r="I1561" s="219"/>
      <c r="J1561" s="219"/>
      <c r="K1561" s="219"/>
      <c r="L1561" s="219"/>
      <c r="M1561" s="219"/>
      <c r="N1561" s="219"/>
      <c r="O1561" s="219"/>
      <c r="P1561" s="219"/>
      <c r="Q1561" s="221"/>
    </row>
    <row r="1562" spans="2:17" x14ac:dyDescent="0.2">
      <c r="B1562" s="219"/>
      <c r="C1562" s="219"/>
      <c r="D1562" s="219"/>
      <c r="E1562" s="219"/>
      <c r="F1562" s="219"/>
      <c r="G1562" s="219"/>
      <c r="H1562" s="219"/>
      <c r="I1562" s="219"/>
      <c r="J1562" s="219"/>
      <c r="K1562" s="219"/>
      <c r="L1562" s="219"/>
      <c r="M1562" s="219"/>
      <c r="N1562" s="219"/>
      <c r="O1562" s="219"/>
      <c r="P1562" s="219"/>
      <c r="Q1562" s="221"/>
    </row>
    <row r="1563" spans="2:17" x14ac:dyDescent="0.2">
      <c r="B1563" s="219"/>
      <c r="C1563" s="219"/>
      <c r="D1563" s="219"/>
      <c r="E1563" s="219"/>
      <c r="F1563" s="219"/>
      <c r="G1563" s="219"/>
      <c r="H1563" s="219"/>
      <c r="I1563" s="219"/>
      <c r="J1563" s="219"/>
      <c r="K1563" s="219"/>
      <c r="L1563" s="219"/>
      <c r="M1563" s="219"/>
      <c r="N1563" s="219"/>
      <c r="O1563" s="219"/>
      <c r="P1563" s="219"/>
      <c r="Q1563" s="221"/>
    </row>
    <row r="1564" spans="2:17" x14ac:dyDescent="0.2">
      <c r="B1564" s="219"/>
      <c r="C1564" s="219"/>
      <c r="D1564" s="219"/>
      <c r="E1564" s="219"/>
      <c r="F1564" s="219"/>
      <c r="G1564" s="219"/>
      <c r="H1564" s="219"/>
      <c r="I1564" s="219"/>
      <c r="J1564" s="219"/>
      <c r="K1564" s="219"/>
      <c r="L1564" s="219"/>
      <c r="M1564" s="219"/>
      <c r="N1564" s="219"/>
      <c r="O1564" s="219"/>
      <c r="P1564" s="219"/>
      <c r="Q1564" s="221"/>
    </row>
    <row r="1565" spans="2:17" x14ac:dyDescent="0.2">
      <c r="B1565" s="219"/>
      <c r="C1565" s="219"/>
      <c r="D1565" s="219"/>
      <c r="E1565" s="219"/>
      <c r="F1565" s="219"/>
      <c r="G1565" s="219"/>
      <c r="H1565" s="219"/>
      <c r="I1565" s="219"/>
      <c r="J1565" s="219"/>
      <c r="K1565" s="219"/>
      <c r="L1565" s="219"/>
      <c r="M1565" s="219"/>
      <c r="N1565" s="219"/>
      <c r="O1565" s="219"/>
      <c r="P1565" s="219"/>
      <c r="Q1565" s="221"/>
    </row>
    <row r="1566" spans="2:17" x14ac:dyDescent="0.2">
      <c r="B1566" s="219"/>
      <c r="C1566" s="219"/>
      <c r="D1566" s="219"/>
      <c r="E1566" s="219"/>
      <c r="F1566" s="219"/>
      <c r="G1566" s="219"/>
      <c r="H1566" s="219"/>
      <c r="I1566" s="219"/>
      <c r="J1566" s="219"/>
      <c r="K1566" s="219"/>
      <c r="L1566" s="219"/>
      <c r="M1566" s="219"/>
      <c r="N1566" s="219"/>
      <c r="O1566" s="219"/>
      <c r="P1566" s="219"/>
      <c r="Q1566" s="221"/>
    </row>
    <row r="1567" spans="2:17" x14ac:dyDescent="0.2">
      <c r="B1567" s="219"/>
      <c r="C1567" s="219"/>
      <c r="D1567" s="219"/>
      <c r="E1567" s="219"/>
      <c r="F1567" s="219"/>
      <c r="G1567" s="219"/>
      <c r="H1567" s="219"/>
      <c r="I1567" s="219"/>
      <c r="J1567" s="219"/>
      <c r="K1567" s="219"/>
      <c r="L1567" s="219"/>
      <c r="M1567" s="219"/>
      <c r="N1567" s="219"/>
      <c r="O1567" s="219"/>
      <c r="P1567" s="219"/>
      <c r="Q1567" s="221"/>
    </row>
    <row r="1568" spans="2:17" x14ac:dyDescent="0.2">
      <c r="B1568" s="219"/>
      <c r="C1568" s="219"/>
      <c r="D1568" s="219"/>
      <c r="E1568" s="219"/>
      <c r="F1568" s="219"/>
      <c r="G1568" s="219"/>
      <c r="H1568" s="219"/>
      <c r="I1568" s="219"/>
      <c r="J1568" s="219"/>
      <c r="K1568" s="219"/>
      <c r="L1568" s="219"/>
      <c r="M1568" s="219"/>
      <c r="N1568" s="219"/>
      <c r="O1568" s="219"/>
      <c r="P1568" s="219"/>
      <c r="Q1568" s="221"/>
    </row>
    <row r="1569" spans="2:17" x14ac:dyDescent="0.2">
      <c r="B1569" s="219"/>
      <c r="C1569" s="219"/>
      <c r="D1569" s="219"/>
      <c r="E1569" s="219"/>
      <c r="F1569" s="219"/>
      <c r="G1569" s="219"/>
      <c r="H1569" s="219"/>
      <c r="I1569" s="219"/>
      <c r="J1569" s="219"/>
      <c r="K1569" s="219"/>
      <c r="L1569" s="219"/>
      <c r="M1569" s="219"/>
      <c r="N1569" s="219"/>
      <c r="O1569" s="219"/>
      <c r="P1569" s="219"/>
      <c r="Q1569" s="221"/>
    </row>
    <row r="1570" spans="2:17" x14ac:dyDescent="0.2">
      <c r="B1570" s="219"/>
      <c r="C1570" s="219"/>
      <c r="D1570" s="219"/>
      <c r="E1570" s="219"/>
      <c r="F1570" s="219"/>
      <c r="G1570" s="219"/>
      <c r="H1570" s="219"/>
      <c r="I1570" s="219"/>
      <c r="J1570" s="219"/>
      <c r="K1570" s="219"/>
      <c r="L1570" s="219"/>
      <c r="M1570" s="219"/>
      <c r="N1570" s="219"/>
      <c r="O1570" s="219"/>
      <c r="P1570" s="219"/>
      <c r="Q1570" s="221"/>
    </row>
    <row r="1571" spans="2:17" x14ac:dyDescent="0.2">
      <c r="B1571" s="219"/>
      <c r="C1571" s="219"/>
      <c r="D1571" s="219"/>
      <c r="E1571" s="219"/>
      <c r="F1571" s="219"/>
      <c r="G1571" s="219"/>
      <c r="H1571" s="219"/>
      <c r="I1571" s="219"/>
      <c r="J1571" s="219"/>
      <c r="K1571" s="219"/>
      <c r="L1571" s="219"/>
      <c r="M1571" s="219"/>
      <c r="N1571" s="219"/>
      <c r="O1571" s="219"/>
      <c r="P1571" s="219"/>
      <c r="Q1571" s="221"/>
    </row>
    <row r="1572" spans="2:17" x14ac:dyDescent="0.2">
      <c r="B1572" s="219"/>
      <c r="C1572" s="219"/>
      <c r="D1572" s="219"/>
      <c r="E1572" s="219"/>
      <c r="F1572" s="219"/>
      <c r="G1572" s="219"/>
      <c r="H1572" s="219"/>
      <c r="I1572" s="219"/>
      <c r="J1572" s="219"/>
      <c r="K1572" s="219"/>
      <c r="L1572" s="219"/>
      <c r="M1572" s="219"/>
      <c r="N1572" s="219"/>
      <c r="O1572" s="219"/>
      <c r="P1572" s="219"/>
      <c r="Q1572" s="221"/>
    </row>
    <row r="1573" spans="2:17" x14ac:dyDescent="0.2">
      <c r="B1573" s="219"/>
      <c r="C1573" s="219"/>
      <c r="D1573" s="219"/>
      <c r="E1573" s="219"/>
      <c r="F1573" s="219"/>
      <c r="G1573" s="219"/>
      <c r="H1573" s="219"/>
      <c r="I1573" s="219"/>
      <c r="J1573" s="219"/>
      <c r="K1573" s="219"/>
      <c r="L1573" s="219"/>
      <c r="M1573" s="219"/>
      <c r="N1573" s="219"/>
      <c r="O1573" s="219"/>
      <c r="P1573" s="219"/>
      <c r="Q1573" s="221"/>
    </row>
    <row r="1574" spans="2:17" x14ac:dyDescent="0.2">
      <c r="B1574" s="219"/>
      <c r="C1574" s="219"/>
      <c r="D1574" s="219"/>
      <c r="E1574" s="219"/>
      <c r="F1574" s="219"/>
      <c r="G1574" s="219"/>
      <c r="H1574" s="219"/>
      <c r="I1574" s="219"/>
      <c r="J1574" s="219"/>
      <c r="K1574" s="219"/>
      <c r="L1574" s="219"/>
      <c r="M1574" s="219"/>
      <c r="N1574" s="219"/>
      <c r="O1574" s="219"/>
      <c r="P1574" s="219"/>
      <c r="Q1574" s="221"/>
    </row>
    <row r="1575" spans="2:17" x14ac:dyDescent="0.2">
      <c r="B1575" s="219"/>
      <c r="C1575" s="219"/>
      <c r="D1575" s="219"/>
      <c r="E1575" s="219"/>
      <c r="F1575" s="219"/>
      <c r="G1575" s="219"/>
      <c r="H1575" s="219"/>
      <c r="I1575" s="219"/>
      <c r="J1575" s="219"/>
      <c r="K1575" s="219"/>
      <c r="L1575" s="219"/>
      <c r="M1575" s="219"/>
      <c r="N1575" s="219"/>
      <c r="O1575" s="219"/>
      <c r="P1575" s="219"/>
      <c r="Q1575" s="221"/>
    </row>
    <row r="1576" spans="2:17" x14ac:dyDescent="0.2">
      <c r="B1576" s="219"/>
      <c r="C1576" s="219"/>
      <c r="D1576" s="219"/>
      <c r="E1576" s="219"/>
      <c r="F1576" s="219"/>
      <c r="G1576" s="219"/>
      <c r="H1576" s="219"/>
      <c r="I1576" s="219"/>
      <c r="J1576" s="219"/>
      <c r="K1576" s="219"/>
      <c r="L1576" s="219"/>
      <c r="M1576" s="219"/>
      <c r="N1576" s="219"/>
      <c r="O1576" s="219"/>
      <c r="P1576" s="219"/>
      <c r="Q1576" s="221"/>
    </row>
    <row r="1577" spans="2:17" x14ac:dyDescent="0.2">
      <c r="B1577" s="219"/>
      <c r="C1577" s="219"/>
      <c r="D1577" s="219"/>
      <c r="E1577" s="219"/>
      <c r="F1577" s="219"/>
      <c r="G1577" s="219"/>
      <c r="H1577" s="219"/>
      <c r="I1577" s="219"/>
      <c r="J1577" s="219"/>
      <c r="K1577" s="219"/>
      <c r="L1577" s="219"/>
      <c r="M1577" s="219"/>
      <c r="N1577" s="219"/>
      <c r="O1577" s="219"/>
      <c r="P1577" s="219"/>
      <c r="Q1577" s="221"/>
    </row>
    <row r="1578" spans="2:17" x14ac:dyDescent="0.2">
      <c r="B1578" s="219"/>
      <c r="C1578" s="219"/>
      <c r="D1578" s="219"/>
      <c r="E1578" s="219"/>
      <c r="F1578" s="219"/>
      <c r="G1578" s="219"/>
      <c r="H1578" s="219"/>
      <c r="I1578" s="219"/>
      <c r="J1578" s="219"/>
      <c r="K1578" s="219"/>
      <c r="L1578" s="219"/>
      <c r="M1578" s="219"/>
      <c r="N1578" s="219"/>
      <c r="O1578" s="219"/>
      <c r="P1578" s="219"/>
      <c r="Q1578" s="221"/>
    </row>
    <row r="1579" spans="2:17" x14ac:dyDescent="0.2">
      <c r="B1579" s="219"/>
      <c r="C1579" s="219"/>
      <c r="D1579" s="219"/>
      <c r="E1579" s="219"/>
      <c r="F1579" s="219"/>
      <c r="G1579" s="219"/>
      <c r="H1579" s="219"/>
      <c r="I1579" s="219"/>
      <c r="J1579" s="219"/>
      <c r="K1579" s="219"/>
      <c r="L1579" s="219"/>
      <c r="M1579" s="219"/>
      <c r="N1579" s="219"/>
      <c r="O1579" s="219"/>
      <c r="P1579" s="219"/>
      <c r="Q1579" s="221"/>
    </row>
    <row r="1580" spans="2:17" x14ac:dyDescent="0.2">
      <c r="B1580" s="219"/>
      <c r="C1580" s="219"/>
      <c r="D1580" s="219"/>
      <c r="E1580" s="219"/>
      <c r="F1580" s="219"/>
      <c r="G1580" s="219"/>
      <c r="H1580" s="219"/>
      <c r="I1580" s="219"/>
      <c r="J1580" s="219"/>
      <c r="K1580" s="219"/>
      <c r="L1580" s="219"/>
      <c r="M1580" s="219"/>
      <c r="N1580" s="219"/>
      <c r="O1580" s="219"/>
      <c r="P1580" s="219"/>
      <c r="Q1580" s="221"/>
    </row>
    <row r="1581" spans="2:17" x14ac:dyDescent="0.2">
      <c r="B1581" s="219"/>
      <c r="C1581" s="219"/>
      <c r="D1581" s="219"/>
      <c r="E1581" s="219"/>
      <c r="F1581" s="219"/>
      <c r="G1581" s="219"/>
      <c r="H1581" s="219"/>
      <c r="I1581" s="219"/>
      <c r="J1581" s="219"/>
      <c r="K1581" s="219"/>
      <c r="L1581" s="219"/>
      <c r="M1581" s="219"/>
      <c r="N1581" s="219"/>
      <c r="O1581" s="219"/>
      <c r="P1581" s="219"/>
      <c r="Q1581" s="221"/>
    </row>
    <row r="1582" spans="2:17" x14ac:dyDescent="0.2">
      <c r="B1582" s="219"/>
      <c r="C1582" s="219"/>
      <c r="D1582" s="219"/>
      <c r="E1582" s="219"/>
      <c r="F1582" s="219"/>
      <c r="G1582" s="219"/>
      <c r="H1582" s="219"/>
      <c r="I1582" s="219"/>
      <c r="J1582" s="219"/>
      <c r="K1582" s="219"/>
      <c r="L1582" s="219"/>
      <c r="M1582" s="219"/>
      <c r="N1582" s="219"/>
      <c r="O1582" s="219"/>
      <c r="P1582" s="219"/>
      <c r="Q1582" s="221"/>
    </row>
    <row r="1583" spans="2:17" x14ac:dyDescent="0.2">
      <c r="B1583" s="219"/>
      <c r="C1583" s="219"/>
      <c r="D1583" s="219"/>
      <c r="E1583" s="219"/>
      <c r="F1583" s="219"/>
      <c r="G1583" s="219"/>
      <c r="H1583" s="219"/>
      <c r="I1583" s="219"/>
      <c r="J1583" s="219"/>
      <c r="K1583" s="219"/>
      <c r="L1583" s="219"/>
      <c r="M1583" s="219"/>
      <c r="N1583" s="219"/>
      <c r="O1583" s="219"/>
      <c r="P1583" s="219"/>
      <c r="Q1583" s="221"/>
    </row>
    <row r="1584" spans="2:17" x14ac:dyDescent="0.2">
      <c r="B1584" s="219"/>
      <c r="C1584" s="219"/>
      <c r="D1584" s="219"/>
      <c r="E1584" s="219"/>
      <c r="F1584" s="219"/>
      <c r="G1584" s="219"/>
      <c r="H1584" s="219"/>
      <c r="I1584" s="219"/>
      <c r="J1584" s="219"/>
      <c r="K1584" s="219"/>
      <c r="L1584" s="219"/>
      <c r="M1584" s="219"/>
      <c r="N1584" s="219"/>
      <c r="O1584" s="219"/>
      <c r="P1584" s="219"/>
      <c r="Q1584" s="221"/>
    </row>
    <row r="1585" spans="2:17" x14ac:dyDescent="0.2">
      <c r="B1585" s="219"/>
      <c r="C1585" s="219"/>
      <c r="D1585" s="219"/>
      <c r="E1585" s="219"/>
      <c r="F1585" s="219"/>
      <c r="G1585" s="219"/>
      <c r="H1585" s="219"/>
      <c r="I1585" s="219"/>
      <c r="J1585" s="219"/>
      <c r="K1585" s="219"/>
      <c r="L1585" s="219"/>
      <c r="M1585" s="219"/>
      <c r="N1585" s="219"/>
      <c r="O1585" s="219"/>
      <c r="P1585" s="219"/>
      <c r="Q1585" s="221"/>
    </row>
    <row r="1586" spans="2:17" x14ac:dyDescent="0.2">
      <c r="B1586" s="219"/>
      <c r="C1586" s="219"/>
      <c r="D1586" s="219"/>
      <c r="E1586" s="219"/>
      <c r="F1586" s="219"/>
      <c r="G1586" s="219"/>
      <c r="H1586" s="219"/>
      <c r="I1586" s="219"/>
      <c r="J1586" s="219"/>
      <c r="K1586" s="219"/>
      <c r="L1586" s="219"/>
      <c r="M1586" s="219"/>
      <c r="N1586" s="219"/>
      <c r="O1586" s="219"/>
      <c r="P1586" s="219"/>
      <c r="Q1586" s="221"/>
    </row>
    <row r="1587" spans="2:17" x14ac:dyDescent="0.2">
      <c r="B1587" s="219"/>
      <c r="C1587" s="219"/>
      <c r="D1587" s="219"/>
      <c r="E1587" s="219"/>
      <c r="F1587" s="219"/>
      <c r="G1587" s="219"/>
      <c r="H1587" s="219"/>
      <c r="I1587" s="219"/>
      <c r="J1587" s="219"/>
      <c r="K1587" s="219"/>
      <c r="L1587" s="219"/>
      <c r="M1587" s="219"/>
      <c r="N1587" s="219"/>
      <c r="O1587" s="219"/>
      <c r="P1587" s="219"/>
      <c r="Q1587" s="221"/>
    </row>
    <row r="1588" spans="2:17" x14ac:dyDescent="0.2">
      <c r="B1588" s="219"/>
      <c r="C1588" s="219"/>
      <c r="D1588" s="219"/>
      <c r="E1588" s="219"/>
      <c r="F1588" s="219"/>
      <c r="G1588" s="219"/>
      <c r="H1588" s="219"/>
      <c r="I1588" s="219"/>
      <c r="J1588" s="219"/>
      <c r="K1588" s="219"/>
      <c r="L1588" s="219"/>
      <c r="M1588" s="219"/>
      <c r="N1588" s="219"/>
      <c r="O1588" s="219"/>
      <c r="P1588" s="219"/>
      <c r="Q1588" s="221"/>
    </row>
    <row r="1589" spans="2:17" x14ac:dyDescent="0.2">
      <c r="B1589" s="219"/>
      <c r="C1589" s="219"/>
      <c r="D1589" s="219"/>
      <c r="E1589" s="219"/>
      <c r="F1589" s="219"/>
      <c r="G1589" s="219"/>
      <c r="H1589" s="219"/>
      <c r="I1589" s="219"/>
      <c r="J1589" s="219"/>
      <c r="K1589" s="219"/>
      <c r="L1589" s="219"/>
      <c r="M1589" s="219"/>
      <c r="N1589" s="219"/>
      <c r="O1589" s="219"/>
      <c r="P1589" s="219"/>
      <c r="Q1589" s="221"/>
    </row>
    <row r="1590" spans="2:17" x14ac:dyDescent="0.2">
      <c r="B1590" s="219"/>
      <c r="C1590" s="219"/>
      <c r="D1590" s="219"/>
      <c r="E1590" s="219"/>
      <c r="F1590" s="219"/>
      <c r="G1590" s="219"/>
      <c r="H1590" s="219"/>
      <c r="I1590" s="219"/>
      <c r="J1590" s="219"/>
      <c r="K1590" s="219"/>
      <c r="L1590" s="219"/>
      <c r="M1590" s="219"/>
      <c r="N1590" s="219"/>
      <c r="O1590" s="219"/>
      <c r="P1590" s="219"/>
      <c r="Q1590" s="221"/>
    </row>
    <row r="1591" spans="2:17" x14ac:dyDescent="0.2">
      <c r="B1591" s="219"/>
      <c r="C1591" s="219"/>
      <c r="D1591" s="219"/>
      <c r="E1591" s="219"/>
      <c r="F1591" s="219"/>
      <c r="G1591" s="219"/>
      <c r="H1591" s="219"/>
      <c r="I1591" s="219"/>
      <c r="J1591" s="219"/>
      <c r="K1591" s="219"/>
      <c r="L1591" s="219"/>
      <c r="M1591" s="219"/>
      <c r="N1591" s="219"/>
      <c r="O1591" s="219"/>
      <c r="P1591" s="219"/>
      <c r="Q1591" s="221"/>
    </row>
    <row r="1592" spans="2:17" x14ac:dyDescent="0.2">
      <c r="B1592" s="219"/>
      <c r="C1592" s="219"/>
      <c r="D1592" s="219"/>
      <c r="E1592" s="219"/>
      <c r="F1592" s="219"/>
      <c r="G1592" s="219"/>
      <c r="H1592" s="219"/>
      <c r="I1592" s="219"/>
      <c r="J1592" s="219"/>
      <c r="K1592" s="219"/>
      <c r="L1592" s="219"/>
      <c r="M1592" s="219"/>
      <c r="N1592" s="219"/>
      <c r="O1592" s="219"/>
      <c r="P1592" s="219"/>
      <c r="Q1592" s="221"/>
    </row>
    <row r="1593" spans="2:17" x14ac:dyDescent="0.2">
      <c r="B1593" s="219"/>
      <c r="C1593" s="219"/>
      <c r="D1593" s="219"/>
      <c r="E1593" s="219"/>
      <c r="F1593" s="219"/>
      <c r="G1593" s="219"/>
      <c r="H1593" s="219"/>
      <c r="I1593" s="219"/>
      <c r="J1593" s="219"/>
      <c r="K1593" s="219"/>
      <c r="L1593" s="219"/>
      <c r="M1593" s="219"/>
      <c r="N1593" s="219"/>
      <c r="O1593" s="219"/>
      <c r="P1593" s="219"/>
      <c r="Q1593" s="221"/>
    </row>
    <row r="1594" spans="2:17" x14ac:dyDescent="0.2">
      <c r="B1594" s="219"/>
      <c r="C1594" s="219"/>
      <c r="D1594" s="219"/>
      <c r="E1594" s="219"/>
      <c r="F1594" s="219"/>
      <c r="G1594" s="219"/>
      <c r="H1594" s="219"/>
      <c r="I1594" s="219"/>
      <c r="J1594" s="219"/>
      <c r="K1594" s="219"/>
      <c r="L1594" s="219"/>
      <c r="M1594" s="219"/>
      <c r="N1594" s="219"/>
      <c r="O1594" s="219"/>
      <c r="P1594" s="219"/>
      <c r="Q1594" s="221"/>
    </row>
    <row r="1595" spans="2:17" x14ac:dyDescent="0.2">
      <c r="B1595" s="219"/>
      <c r="C1595" s="219"/>
      <c r="D1595" s="219"/>
      <c r="E1595" s="219"/>
      <c r="F1595" s="219"/>
      <c r="G1595" s="219"/>
      <c r="H1595" s="219"/>
      <c r="I1595" s="219"/>
      <c r="J1595" s="219"/>
      <c r="K1595" s="219"/>
      <c r="L1595" s="219"/>
      <c r="M1595" s="219"/>
      <c r="N1595" s="219"/>
      <c r="O1595" s="219"/>
      <c r="P1595" s="219"/>
      <c r="Q1595" s="221"/>
    </row>
    <row r="1596" spans="2:17" x14ac:dyDescent="0.2">
      <c r="B1596" s="219"/>
      <c r="C1596" s="219"/>
      <c r="D1596" s="219"/>
      <c r="E1596" s="219"/>
      <c r="F1596" s="219"/>
      <c r="G1596" s="219"/>
      <c r="H1596" s="219"/>
      <c r="I1596" s="219"/>
      <c r="J1596" s="219"/>
      <c r="K1596" s="219"/>
      <c r="L1596" s="219"/>
      <c r="M1596" s="219"/>
      <c r="N1596" s="219"/>
      <c r="O1596" s="219"/>
      <c r="P1596" s="219"/>
      <c r="Q1596" s="221"/>
    </row>
    <row r="1597" spans="2:17" x14ac:dyDescent="0.2">
      <c r="B1597" s="219"/>
      <c r="C1597" s="219"/>
      <c r="D1597" s="219"/>
      <c r="E1597" s="219"/>
      <c r="F1597" s="219"/>
      <c r="G1597" s="219"/>
      <c r="H1597" s="219"/>
      <c r="I1597" s="219"/>
      <c r="J1597" s="219"/>
      <c r="K1597" s="219"/>
      <c r="L1597" s="219"/>
      <c r="M1597" s="219"/>
      <c r="N1597" s="219"/>
      <c r="O1597" s="219"/>
      <c r="P1597" s="219"/>
      <c r="Q1597" s="221"/>
    </row>
    <row r="1598" spans="2:17" x14ac:dyDescent="0.2">
      <c r="B1598" s="219"/>
      <c r="C1598" s="219"/>
      <c r="D1598" s="219"/>
      <c r="E1598" s="219"/>
      <c r="F1598" s="219"/>
      <c r="G1598" s="219"/>
      <c r="H1598" s="219"/>
      <c r="I1598" s="219"/>
      <c r="J1598" s="219"/>
      <c r="K1598" s="219"/>
      <c r="L1598" s="219"/>
      <c r="M1598" s="219"/>
      <c r="N1598" s="219"/>
      <c r="O1598" s="219"/>
      <c r="P1598" s="219"/>
      <c r="Q1598" s="221"/>
    </row>
    <row r="1599" spans="2:17" x14ac:dyDescent="0.2">
      <c r="B1599" s="219"/>
      <c r="C1599" s="219"/>
      <c r="D1599" s="219"/>
      <c r="E1599" s="219"/>
      <c r="F1599" s="219"/>
      <c r="G1599" s="219"/>
      <c r="H1599" s="219"/>
      <c r="I1599" s="219"/>
      <c r="J1599" s="219"/>
      <c r="K1599" s="219"/>
      <c r="L1599" s="219"/>
      <c r="M1599" s="219"/>
      <c r="N1599" s="219"/>
      <c r="O1599" s="219"/>
      <c r="P1599" s="219"/>
      <c r="Q1599" s="221"/>
    </row>
    <row r="1600" spans="2:17" x14ac:dyDescent="0.2">
      <c r="B1600" s="219"/>
      <c r="C1600" s="219"/>
      <c r="D1600" s="219"/>
      <c r="E1600" s="219"/>
      <c r="F1600" s="219"/>
      <c r="G1600" s="219"/>
      <c r="H1600" s="219"/>
      <c r="I1600" s="219"/>
      <c r="J1600" s="219"/>
      <c r="K1600" s="219"/>
      <c r="L1600" s="219"/>
      <c r="M1600" s="219"/>
      <c r="N1600" s="219"/>
      <c r="O1600" s="219"/>
      <c r="P1600" s="219"/>
      <c r="Q1600" s="221"/>
    </row>
    <row r="1601" spans="2:17" x14ac:dyDescent="0.2">
      <c r="B1601" s="219"/>
      <c r="C1601" s="219"/>
      <c r="D1601" s="219"/>
      <c r="E1601" s="219"/>
      <c r="F1601" s="219"/>
      <c r="G1601" s="219"/>
      <c r="H1601" s="219"/>
      <c r="I1601" s="219"/>
      <c r="J1601" s="219"/>
      <c r="K1601" s="219"/>
      <c r="L1601" s="219"/>
      <c r="M1601" s="219"/>
      <c r="N1601" s="219"/>
      <c r="O1601" s="219"/>
      <c r="P1601" s="219"/>
      <c r="Q1601" s="221"/>
    </row>
    <row r="1602" spans="2:17" x14ac:dyDescent="0.2">
      <c r="B1602" s="219"/>
      <c r="C1602" s="219"/>
      <c r="D1602" s="219"/>
      <c r="E1602" s="219"/>
      <c r="F1602" s="219"/>
      <c r="G1602" s="219"/>
      <c r="H1602" s="219"/>
      <c r="I1602" s="219"/>
      <c r="J1602" s="219"/>
      <c r="K1602" s="219"/>
      <c r="L1602" s="219"/>
      <c r="M1602" s="219"/>
      <c r="N1602" s="219"/>
      <c r="O1602" s="219"/>
      <c r="P1602" s="219"/>
      <c r="Q1602" s="221"/>
    </row>
    <row r="1603" spans="2:17" x14ac:dyDescent="0.2">
      <c r="B1603" s="219"/>
      <c r="C1603" s="219"/>
      <c r="D1603" s="219"/>
      <c r="E1603" s="219"/>
      <c r="F1603" s="219"/>
      <c r="G1603" s="219"/>
      <c r="H1603" s="219"/>
      <c r="I1603" s="219"/>
      <c r="J1603" s="219"/>
      <c r="K1603" s="219"/>
      <c r="L1603" s="219"/>
      <c r="M1603" s="219"/>
      <c r="N1603" s="219"/>
      <c r="O1603" s="219"/>
      <c r="P1603" s="219"/>
      <c r="Q1603" s="221"/>
    </row>
    <row r="1604" spans="2:17" x14ac:dyDescent="0.2">
      <c r="B1604" s="219"/>
      <c r="C1604" s="219"/>
      <c r="D1604" s="219"/>
      <c r="E1604" s="219"/>
      <c r="F1604" s="219"/>
      <c r="G1604" s="219"/>
      <c r="H1604" s="219"/>
      <c r="I1604" s="219"/>
      <c r="J1604" s="219"/>
      <c r="K1604" s="219"/>
      <c r="L1604" s="219"/>
      <c r="M1604" s="219"/>
      <c r="N1604" s="219"/>
      <c r="O1604" s="219"/>
      <c r="P1604" s="219"/>
      <c r="Q1604" s="221"/>
    </row>
    <row r="1605" spans="2:17" x14ac:dyDescent="0.2">
      <c r="B1605" s="219"/>
      <c r="C1605" s="219"/>
      <c r="D1605" s="219"/>
      <c r="E1605" s="219"/>
      <c r="F1605" s="219"/>
      <c r="G1605" s="219"/>
      <c r="H1605" s="219"/>
      <c r="I1605" s="219"/>
      <c r="J1605" s="219"/>
      <c r="K1605" s="219"/>
      <c r="L1605" s="219"/>
      <c r="M1605" s="219"/>
      <c r="N1605" s="219"/>
      <c r="O1605" s="219"/>
      <c r="P1605" s="219"/>
      <c r="Q1605" s="221"/>
    </row>
    <row r="1606" spans="2:17" x14ac:dyDescent="0.2">
      <c r="B1606" s="219"/>
      <c r="C1606" s="219"/>
      <c r="D1606" s="219"/>
      <c r="E1606" s="219"/>
      <c r="F1606" s="219"/>
      <c r="G1606" s="219"/>
      <c r="H1606" s="219"/>
      <c r="I1606" s="219"/>
      <c r="J1606" s="219"/>
      <c r="K1606" s="219"/>
      <c r="L1606" s="219"/>
      <c r="M1606" s="219"/>
      <c r="N1606" s="219"/>
      <c r="O1606" s="219"/>
      <c r="P1606" s="219"/>
      <c r="Q1606" s="221"/>
    </row>
    <row r="1607" spans="2:17" x14ac:dyDescent="0.2">
      <c r="B1607" s="219"/>
      <c r="C1607" s="219"/>
      <c r="D1607" s="219"/>
      <c r="E1607" s="219"/>
      <c r="F1607" s="219"/>
      <c r="G1607" s="219"/>
      <c r="H1607" s="219"/>
      <c r="I1607" s="219"/>
      <c r="J1607" s="219"/>
      <c r="K1607" s="219"/>
      <c r="L1607" s="219"/>
      <c r="M1607" s="219"/>
      <c r="N1607" s="219"/>
      <c r="O1607" s="219"/>
      <c r="P1607" s="219"/>
      <c r="Q1607" s="221"/>
    </row>
    <row r="1608" spans="2:17" x14ac:dyDescent="0.2">
      <c r="B1608" s="219"/>
      <c r="C1608" s="219"/>
      <c r="D1608" s="219"/>
      <c r="E1608" s="219"/>
      <c r="F1608" s="219"/>
      <c r="G1608" s="219"/>
      <c r="H1608" s="219"/>
      <c r="I1608" s="219"/>
      <c r="J1608" s="219"/>
      <c r="K1608" s="219"/>
      <c r="L1608" s="219"/>
      <c r="M1608" s="219"/>
      <c r="N1608" s="219"/>
      <c r="O1608" s="219"/>
      <c r="P1608" s="219"/>
      <c r="Q1608" s="221"/>
    </row>
    <row r="1609" spans="2:17" x14ac:dyDescent="0.2">
      <c r="B1609" s="219"/>
      <c r="C1609" s="219"/>
      <c r="D1609" s="219"/>
      <c r="E1609" s="219"/>
      <c r="F1609" s="219"/>
      <c r="G1609" s="219"/>
      <c r="H1609" s="219"/>
      <c r="I1609" s="219"/>
      <c r="J1609" s="219"/>
      <c r="K1609" s="219"/>
      <c r="L1609" s="219"/>
      <c r="M1609" s="219"/>
      <c r="N1609" s="219"/>
      <c r="O1609" s="219"/>
      <c r="P1609" s="219"/>
      <c r="Q1609" s="221"/>
    </row>
    <row r="1610" spans="2:17" x14ac:dyDescent="0.2">
      <c r="B1610" s="219"/>
      <c r="C1610" s="219"/>
      <c r="D1610" s="219"/>
      <c r="E1610" s="219"/>
      <c r="F1610" s="219"/>
      <c r="G1610" s="219"/>
      <c r="H1610" s="219"/>
      <c r="I1610" s="219"/>
      <c r="J1610" s="219"/>
      <c r="K1610" s="219"/>
      <c r="L1610" s="219"/>
      <c r="M1610" s="219"/>
      <c r="N1610" s="219"/>
      <c r="O1610" s="219"/>
      <c r="P1610" s="219"/>
      <c r="Q1610" s="221"/>
    </row>
    <row r="1611" spans="2:17" x14ac:dyDescent="0.2">
      <c r="B1611" s="219"/>
      <c r="C1611" s="219"/>
      <c r="D1611" s="219"/>
      <c r="E1611" s="219"/>
      <c r="F1611" s="219"/>
      <c r="G1611" s="219"/>
      <c r="H1611" s="219"/>
      <c r="I1611" s="219"/>
      <c r="J1611" s="219"/>
      <c r="K1611" s="219"/>
      <c r="L1611" s="219"/>
      <c r="M1611" s="219"/>
      <c r="N1611" s="219"/>
      <c r="O1611" s="219"/>
      <c r="P1611" s="219"/>
      <c r="Q1611" s="221"/>
    </row>
    <row r="1612" spans="2:17" x14ac:dyDescent="0.2">
      <c r="B1612" s="219"/>
      <c r="C1612" s="219"/>
      <c r="D1612" s="219"/>
      <c r="E1612" s="219"/>
      <c r="F1612" s="219"/>
      <c r="G1612" s="219"/>
      <c r="H1612" s="219"/>
      <c r="I1612" s="219"/>
      <c r="J1612" s="219"/>
      <c r="K1612" s="219"/>
      <c r="L1612" s="219"/>
      <c r="M1612" s="219"/>
      <c r="N1612" s="219"/>
      <c r="O1612" s="219"/>
      <c r="P1612" s="219"/>
      <c r="Q1612" s="221"/>
    </row>
    <row r="1613" spans="2:17" x14ac:dyDescent="0.2">
      <c r="B1613" s="219"/>
      <c r="C1613" s="219"/>
      <c r="D1613" s="219"/>
      <c r="E1613" s="219"/>
      <c r="F1613" s="219"/>
      <c r="G1613" s="219"/>
      <c r="H1613" s="219"/>
      <c r="I1613" s="219"/>
      <c r="J1613" s="219"/>
      <c r="K1613" s="219"/>
      <c r="L1613" s="219"/>
      <c r="M1613" s="219"/>
      <c r="N1613" s="219"/>
      <c r="O1613" s="219"/>
      <c r="P1613" s="219"/>
      <c r="Q1613" s="221"/>
    </row>
    <row r="1614" spans="2:17" x14ac:dyDescent="0.2">
      <c r="B1614" s="219"/>
      <c r="C1614" s="219"/>
      <c r="D1614" s="219"/>
      <c r="E1614" s="219"/>
      <c r="F1614" s="219"/>
      <c r="G1614" s="219"/>
      <c r="H1614" s="219"/>
      <c r="I1614" s="219"/>
      <c r="J1614" s="219"/>
      <c r="K1614" s="219"/>
      <c r="L1614" s="219"/>
      <c r="M1614" s="219"/>
      <c r="N1614" s="219"/>
      <c r="O1614" s="219"/>
      <c r="P1614" s="219"/>
      <c r="Q1614" s="221"/>
    </row>
    <row r="1615" spans="2:17" x14ac:dyDescent="0.2">
      <c r="B1615" s="219"/>
      <c r="C1615" s="219"/>
      <c r="D1615" s="219"/>
      <c r="E1615" s="219"/>
      <c r="F1615" s="219"/>
      <c r="G1615" s="219"/>
      <c r="H1615" s="219"/>
      <c r="I1615" s="219"/>
      <c r="J1615" s="219"/>
      <c r="K1615" s="219"/>
      <c r="L1615" s="219"/>
      <c r="M1615" s="219"/>
      <c r="N1615" s="219"/>
      <c r="O1615" s="219"/>
      <c r="P1615" s="219"/>
      <c r="Q1615" s="221"/>
    </row>
    <row r="1616" spans="2:17" x14ac:dyDescent="0.2">
      <c r="B1616" s="219"/>
      <c r="C1616" s="219"/>
      <c r="D1616" s="219"/>
      <c r="E1616" s="219"/>
      <c r="F1616" s="219"/>
      <c r="G1616" s="219"/>
      <c r="H1616" s="219"/>
      <c r="I1616" s="219"/>
      <c r="J1616" s="219"/>
      <c r="K1616" s="219"/>
      <c r="L1616" s="219"/>
      <c r="M1616" s="219"/>
      <c r="N1616" s="219"/>
      <c r="O1616" s="219"/>
      <c r="P1616" s="219"/>
      <c r="Q1616" s="221"/>
    </row>
    <row r="1617" spans="2:17" x14ac:dyDescent="0.2">
      <c r="B1617" s="219"/>
      <c r="C1617" s="219"/>
      <c r="D1617" s="219"/>
      <c r="E1617" s="219"/>
      <c r="F1617" s="219"/>
      <c r="G1617" s="219"/>
      <c r="H1617" s="219"/>
      <c r="I1617" s="219"/>
      <c r="J1617" s="219"/>
      <c r="K1617" s="219"/>
      <c r="L1617" s="219"/>
      <c r="M1617" s="219"/>
      <c r="N1617" s="219"/>
      <c r="O1617" s="219"/>
      <c r="P1617" s="219"/>
      <c r="Q1617" s="221"/>
    </row>
    <row r="1618" spans="2:17" x14ac:dyDescent="0.2">
      <c r="B1618" s="219"/>
      <c r="C1618" s="219"/>
      <c r="D1618" s="219"/>
      <c r="E1618" s="219"/>
      <c r="F1618" s="219"/>
      <c r="G1618" s="219"/>
      <c r="H1618" s="219"/>
      <c r="I1618" s="219"/>
      <c r="J1618" s="219"/>
      <c r="K1618" s="219"/>
      <c r="L1618" s="219"/>
      <c r="M1618" s="219"/>
      <c r="N1618" s="219"/>
      <c r="O1618" s="219"/>
      <c r="P1618" s="219"/>
      <c r="Q1618" s="221"/>
    </row>
    <row r="1619" spans="2:17" x14ac:dyDescent="0.2">
      <c r="B1619" s="219"/>
      <c r="C1619" s="219"/>
      <c r="D1619" s="219"/>
      <c r="E1619" s="219"/>
      <c r="F1619" s="219"/>
      <c r="G1619" s="219"/>
      <c r="H1619" s="219"/>
      <c r="I1619" s="219"/>
      <c r="J1619" s="219"/>
      <c r="K1619" s="219"/>
      <c r="L1619" s="219"/>
      <c r="M1619" s="219"/>
      <c r="N1619" s="219"/>
      <c r="O1619" s="219"/>
      <c r="P1619" s="219"/>
      <c r="Q1619" s="221"/>
    </row>
    <row r="1620" spans="2:17" x14ac:dyDescent="0.2">
      <c r="B1620" s="219"/>
      <c r="C1620" s="219"/>
      <c r="D1620" s="219"/>
      <c r="E1620" s="219"/>
      <c r="F1620" s="219"/>
      <c r="G1620" s="219"/>
      <c r="H1620" s="219"/>
      <c r="I1620" s="219"/>
      <c r="J1620" s="219"/>
      <c r="K1620" s="219"/>
      <c r="L1620" s="219"/>
      <c r="M1620" s="219"/>
      <c r="N1620" s="219"/>
      <c r="O1620" s="219"/>
      <c r="P1620" s="219"/>
      <c r="Q1620" s="221"/>
    </row>
    <row r="1621" spans="2:17" x14ac:dyDescent="0.2">
      <c r="B1621" s="219"/>
      <c r="C1621" s="219"/>
      <c r="D1621" s="219"/>
      <c r="E1621" s="219"/>
      <c r="F1621" s="219"/>
      <c r="G1621" s="219"/>
      <c r="H1621" s="219"/>
      <c r="I1621" s="219"/>
      <c r="J1621" s="219"/>
      <c r="K1621" s="219"/>
      <c r="L1621" s="219"/>
      <c r="M1621" s="219"/>
      <c r="N1621" s="219"/>
      <c r="O1621" s="219"/>
      <c r="P1621" s="219"/>
      <c r="Q1621" s="221"/>
    </row>
    <row r="1622" spans="2:17" x14ac:dyDescent="0.2">
      <c r="B1622" s="219"/>
      <c r="C1622" s="219"/>
      <c r="D1622" s="219"/>
      <c r="E1622" s="219"/>
      <c r="F1622" s="219"/>
      <c r="G1622" s="219"/>
      <c r="H1622" s="219"/>
      <c r="I1622" s="219"/>
      <c r="J1622" s="219"/>
      <c r="K1622" s="219"/>
      <c r="L1622" s="219"/>
      <c r="M1622" s="219"/>
      <c r="N1622" s="219"/>
      <c r="O1622" s="219"/>
      <c r="P1622" s="219"/>
      <c r="Q1622" s="221"/>
    </row>
    <row r="1623" spans="2:17" x14ac:dyDescent="0.2">
      <c r="B1623" s="219"/>
      <c r="C1623" s="219"/>
      <c r="D1623" s="219"/>
      <c r="E1623" s="219"/>
      <c r="F1623" s="219"/>
      <c r="G1623" s="219"/>
      <c r="H1623" s="219"/>
      <c r="I1623" s="219"/>
      <c r="J1623" s="219"/>
      <c r="K1623" s="219"/>
      <c r="L1623" s="219"/>
      <c r="M1623" s="219"/>
      <c r="N1623" s="219"/>
      <c r="O1623" s="219"/>
      <c r="P1623" s="219"/>
      <c r="Q1623" s="221"/>
    </row>
    <row r="1624" spans="2:17" x14ac:dyDescent="0.2">
      <c r="B1624" s="219"/>
      <c r="C1624" s="219"/>
      <c r="D1624" s="219"/>
      <c r="E1624" s="219"/>
      <c r="F1624" s="219"/>
      <c r="G1624" s="219"/>
      <c r="H1624" s="219"/>
      <c r="I1624" s="219"/>
      <c r="J1624" s="219"/>
      <c r="K1624" s="219"/>
      <c r="L1624" s="219"/>
      <c r="M1624" s="219"/>
      <c r="N1624" s="219"/>
      <c r="O1624" s="219"/>
      <c r="P1624" s="219"/>
      <c r="Q1624" s="221"/>
    </row>
    <row r="1625" spans="2:17" x14ac:dyDescent="0.2">
      <c r="B1625" s="219"/>
      <c r="C1625" s="219"/>
      <c r="D1625" s="219"/>
      <c r="E1625" s="219"/>
      <c r="F1625" s="219"/>
      <c r="G1625" s="219"/>
      <c r="H1625" s="219"/>
      <c r="I1625" s="219"/>
      <c r="J1625" s="219"/>
      <c r="K1625" s="219"/>
      <c r="L1625" s="219"/>
      <c r="M1625" s="219"/>
      <c r="N1625" s="219"/>
      <c r="O1625" s="219"/>
      <c r="P1625" s="219"/>
      <c r="Q1625" s="221"/>
    </row>
    <row r="1626" spans="2:17" x14ac:dyDescent="0.2">
      <c r="B1626" s="219"/>
      <c r="C1626" s="219"/>
      <c r="D1626" s="219"/>
      <c r="E1626" s="219"/>
      <c r="F1626" s="219"/>
      <c r="G1626" s="219"/>
      <c r="H1626" s="219"/>
      <c r="I1626" s="219"/>
      <c r="J1626" s="219"/>
      <c r="K1626" s="219"/>
      <c r="L1626" s="219"/>
      <c r="M1626" s="219"/>
      <c r="N1626" s="219"/>
      <c r="O1626" s="219"/>
      <c r="P1626" s="219"/>
      <c r="Q1626" s="221"/>
    </row>
    <row r="1627" spans="2:17" x14ac:dyDescent="0.2">
      <c r="B1627" s="219"/>
      <c r="C1627" s="219"/>
      <c r="D1627" s="219"/>
      <c r="E1627" s="219"/>
      <c r="F1627" s="219"/>
      <c r="G1627" s="219"/>
      <c r="H1627" s="219"/>
      <c r="I1627" s="219"/>
      <c r="J1627" s="219"/>
      <c r="K1627" s="219"/>
      <c r="L1627" s="219"/>
      <c r="M1627" s="219"/>
      <c r="N1627" s="219"/>
      <c r="O1627" s="219"/>
      <c r="P1627" s="219"/>
      <c r="Q1627" s="221"/>
    </row>
    <row r="1628" spans="2:17" x14ac:dyDescent="0.2">
      <c r="B1628" s="219"/>
      <c r="C1628" s="219"/>
      <c r="D1628" s="219"/>
      <c r="E1628" s="219"/>
      <c r="F1628" s="219"/>
      <c r="G1628" s="219"/>
      <c r="H1628" s="219"/>
      <c r="I1628" s="219"/>
      <c r="J1628" s="219"/>
      <c r="K1628" s="219"/>
      <c r="L1628" s="219"/>
      <c r="M1628" s="219"/>
      <c r="N1628" s="219"/>
      <c r="O1628" s="219"/>
      <c r="P1628" s="219"/>
      <c r="Q1628" s="221"/>
    </row>
    <row r="1629" spans="2:17" x14ac:dyDescent="0.2">
      <c r="B1629" s="219"/>
      <c r="C1629" s="219"/>
      <c r="D1629" s="219"/>
      <c r="E1629" s="219"/>
      <c r="F1629" s="219"/>
      <c r="G1629" s="219"/>
      <c r="H1629" s="219"/>
      <c r="I1629" s="219"/>
      <c r="J1629" s="219"/>
      <c r="K1629" s="219"/>
      <c r="L1629" s="219"/>
      <c r="M1629" s="219"/>
      <c r="N1629" s="219"/>
      <c r="O1629" s="219"/>
      <c r="P1629" s="219"/>
      <c r="Q1629" s="221"/>
    </row>
    <row r="1630" spans="2:17" x14ac:dyDescent="0.2">
      <c r="B1630" s="219"/>
      <c r="C1630" s="219"/>
      <c r="D1630" s="219"/>
      <c r="E1630" s="219"/>
      <c r="F1630" s="219"/>
      <c r="G1630" s="219"/>
      <c r="H1630" s="219"/>
      <c r="I1630" s="219"/>
      <c r="J1630" s="219"/>
      <c r="K1630" s="219"/>
      <c r="L1630" s="219"/>
      <c r="M1630" s="219"/>
      <c r="N1630" s="219"/>
      <c r="O1630" s="219"/>
      <c r="P1630" s="219"/>
      <c r="Q1630" s="221"/>
    </row>
    <row r="1631" spans="2:17" x14ac:dyDescent="0.2">
      <c r="B1631" s="219"/>
      <c r="C1631" s="219"/>
      <c r="D1631" s="219"/>
      <c r="E1631" s="219"/>
      <c r="F1631" s="219"/>
      <c r="G1631" s="219"/>
      <c r="H1631" s="219"/>
      <c r="I1631" s="219"/>
      <c r="J1631" s="219"/>
      <c r="K1631" s="219"/>
      <c r="L1631" s="219"/>
      <c r="M1631" s="219"/>
      <c r="N1631" s="219"/>
      <c r="O1631" s="219"/>
      <c r="P1631" s="219"/>
      <c r="Q1631" s="221"/>
    </row>
    <row r="1632" spans="2:17" x14ac:dyDescent="0.2">
      <c r="B1632" s="219"/>
      <c r="C1632" s="219"/>
      <c r="D1632" s="219"/>
      <c r="E1632" s="219"/>
      <c r="F1632" s="219"/>
      <c r="G1632" s="219"/>
      <c r="H1632" s="219"/>
      <c r="I1632" s="219"/>
      <c r="J1632" s="219"/>
      <c r="K1632" s="219"/>
      <c r="L1632" s="219"/>
      <c r="M1632" s="219"/>
      <c r="N1632" s="219"/>
      <c r="O1632" s="219"/>
      <c r="P1632" s="219"/>
      <c r="Q1632" s="221"/>
    </row>
    <row r="1633" spans="2:17" x14ac:dyDescent="0.2">
      <c r="B1633" s="219"/>
      <c r="C1633" s="219"/>
      <c r="D1633" s="219"/>
      <c r="E1633" s="219"/>
      <c r="F1633" s="219"/>
      <c r="G1633" s="219"/>
      <c r="H1633" s="219"/>
      <c r="I1633" s="219"/>
      <c r="J1633" s="219"/>
      <c r="K1633" s="219"/>
      <c r="L1633" s="219"/>
      <c r="M1633" s="219"/>
      <c r="N1633" s="219"/>
      <c r="O1633" s="219"/>
      <c r="P1633" s="219"/>
      <c r="Q1633" s="221"/>
    </row>
    <row r="1634" spans="2:17" x14ac:dyDescent="0.2">
      <c r="B1634" s="219"/>
      <c r="C1634" s="219"/>
      <c r="D1634" s="219"/>
      <c r="E1634" s="219"/>
      <c r="F1634" s="219"/>
      <c r="G1634" s="219"/>
      <c r="H1634" s="219"/>
      <c r="I1634" s="219"/>
      <c r="J1634" s="219"/>
      <c r="K1634" s="219"/>
      <c r="L1634" s="219"/>
      <c r="M1634" s="219"/>
      <c r="N1634" s="219"/>
      <c r="O1634" s="219"/>
      <c r="P1634" s="219"/>
      <c r="Q1634" s="221"/>
    </row>
    <row r="1635" spans="2:17" x14ac:dyDescent="0.2">
      <c r="B1635" s="219"/>
      <c r="C1635" s="219"/>
      <c r="D1635" s="219"/>
      <c r="E1635" s="219"/>
      <c r="F1635" s="219"/>
      <c r="G1635" s="219"/>
      <c r="H1635" s="219"/>
      <c r="I1635" s="219"/>
      <c r="J1635" s="219"/>
      <c r="K1635" s="219"/>
      <c r="L1635" s="219"/>
      <c r="M1635" s="219"/>
      <c r="N1635" s="219"/>
      <c r="O1635" s="219"/>
      <c r="P1635" s="219"/>
      <c r="Q1635" s="221"/>
    </row>
    <row r="1636" spans="2:17" x14ac:dyDescent="0.2">
      <c r="B1636" s="219"/>
      <c r="C1636" s="219"/>
      <c r="D1636" s="219"/>
      <c r="E1636" s="219"/>
      <c r="F1636" s="219"/>
      <c r="G1636" s="219"/>
      <c r="H1636" s="219"/>
      <c r="I1636" s="219"/>
      <c r="J1636" s="219"/>
      <c r="K1636" s="219"/>
      <c r="L1636" s="219"/>
      <c r="M1636" s="219"/>
      <c r="N1636" s="219"/>
      <c r="O1636" s="219"/>
      <c r="P1636" s="219"/>
      <c r="Q1636" s="221"/>
    </row>
    <row r="1637" spans="2:17" x14ac:dyDescent="0.2">
      <c r="B1637" s="219"/>
      <c r="C1637" s="219"/>
      <c r="D1637" s="219"/>
      <c r="E1637" s="219"/>
      <c r="F1637" s="219"/>
      <c r="G1637" s="219"/>
      <c r="H1637" s="219"/>
      <c r="I1637" s="219"/>
      <c r="J1637" s="219"/>
      <c r="K1637" s="219"/>
      <c r="L1637" s="219"/>
      <c r="M1637" s="219"/>
      <c r="N1637" s="219"/>
      <c r="O1637" s="219"/>
      <c r="P1637" s="219"/>
      <c r="Q1637" s="221"/>
    </row>
    <row r="1638" spans="2:17" x14ac:dyDescent="0.2">
      <c r="B1638" s="219"/>
      <c r="C1638" s="219"/>
      <c r="D1638" s="219"/>
      <c r="E1638" s="219"/>
      <c r="F1638" s="219"/>
      <c r="G1638" s="219"/>
      <c r="H1638" s="219"/>
      <c r="I1638" s="219"/>
      <c r="J1638" s="219"/>
      <c r="K1638" s="219"/>
      <c r="L1638" s="219"/>
      <c r="M1638" s="219"/>
      <c r="N1638" s="219"/>
      <c r="O1638" s="219"/>
      <c r="P1638" s="219"/>
      <c r="Q1638" s="221"/>
    </row>
    <row r="1639" spans="2:17" x14ac:dyDescent="0.2">
      <c r="B1639" s="219"/>
      <c r="C1639" s="219"/>
      <c r="D1639" s="219"/>
      <c r="E1639" s="219"/>
      <c r="F1639" s="219"/>
      <c r="G1639" s="219"/>
      <c r="H1639" s="219"/>
      <c r="I1639" s="219"/>
      <c r="J1639" s="219"/>
      <c r="K1639" s="219"/>
      <c r="L1639" s="219"/>
      <c r="M1639" s="219"/>
      <c r="N1639" s="219"/>
      <c r="O1639" s="219"/>
      <c r="P1639" s="219"/>
      <c r="Q1639" s="221"/>
    </row>
    <row r="1640" spans="2:17" x14ac:dyDescent="0.2">
      <c r="B1640" s="219"/>
      <c r="C1640" s="219"/>
      <c r="D1640" s="219"/>
      <c r="E1640" s="219"/>
      <c r="F1640" s="219"/>
      <c r="G1640" s="219"/>
      <c r="H1640" s="219"/>
      <c r="I1640" s="219"/>
      <c r="J1640" s="219"/>
      <c r="K1640" s="219"/>
      <c r="L1640" s="219"/>
      <c r="M1640" s="219"/>
      <c r="N1640" s="219"/>
      <c r="O1640" s="219"/>
      <c r="P1640" s="219"/>
      <c r="Q1640" s="221"/>
    </row>
    <row r="1641" spans="2:17" x14ac:dyDescent="0.2">
      <c r="B1641" s="219"/>
      <c r="C1641" s="219"/>
      <c r="D1641" s="219"/>
      <c r="E1641" s="219"/>
      <c r="F1641" s="219"/>
      <c r="G1641" s="219"/>
      <c r="H1641" s="219"/>
      <c r="I1641" s="219"/>
      <c r="J1641" s="219"/>
      <c r="K1641" s="219"/>
      <c r="L1641" s="219"/>
      <c r="M1641" s="219"/>
      <c r="N1641" s="219"/>
      <c r="O1641" s="219"/>
      <c r="P1641" s="219"/>
      <c r="Q1641" s="221"/>
    </row>
    <row r="1642" spans="2:17" x14ac:dyDescent="0.2">
      <c r="B1642" s="219"/>
      <c r="C1642" s="219"/>
      <c r="D1642" s="219"/>
      <c r="E1642" s="219"/>
      <c r="F1642" s="219"/>
      <c r="G1642" s="219"/>
      <c r="H1642" s="219"/>
      <c r="I1642" s="219"/>
      <c r="J1642" s="219"/>
      <c r="K1642" s="219"/>
      <c r="L1642" s="219"/>
      <c r="M1642" s="219"/>
      <c r="N1642" s="219"/>
      <c r="O1642" s="219"/>
      <c r="P1642" s="219"/>
      <c r="Q1642" s="221"/>
    </row>
    <row r="1643" spans="2:17" x14ac:dyDescent="0.2">
      <c r="B1643" s="219"/>
      <c r="C1643" s="219"/>
      <c r="D1643" s="219"/>
      <c r="E1643" s="219"/>
      <c r="F1643" s="219"/>
      <c r="G1643" s="219"/>
      <c r="H1643" s="219"/>
      <c r="I1643" s="219"/>
      <c r="J1643" s="219"/>
      <c r="K1643" s="219"/>
      <c r="L1643" s="219"/>
      <c r="M1643" s="219"/>
      <c r="N1643" s="219"/>
      <c r="O1643" s="219"/>
      <c r="P1643" s="219"/>
      <c r="Q1643" s="221"/>
    </row>
    <row r="1644" spans="2:17" x14ac:dyDescent="0.2">
      <c r="B1644" s="219"/>
      <c r="C1644" s="219"/>
      <c r="D1644" s="219"/>
      <c r="E1644" s="219"/>
      <c r="F1644" s="219"/>
      <c r="G1644" s="219"/>
      <c r="H1644" s="219"/>
      <c r="I1644" s="219"/>
      <c r="J1644" s="219"/>
      <c r="K1644" s="219"/>
      <c r="L1644" s="219"/>
      <c r="M1644" s="219"/>
      <c r="N1644" s="219"/>
      <c r="O1644" s="219"/>
      <c r="P1644" s="219"/>
      <c r="Q1644" s="221"/>
    </row>
    <row r="1645" spans="2:17" x14ac:dyDescent="0.2">
      <c r="B1645" s="219"/>
      <c r="C1645" s="219"/>
      <c r="D1645" s="219"/>
      <c r="E1645" s="219"/>
      <c r="F1645" s="219"/>
      <c r="G1645" s="219"/>
      <c r="H1645" s="219"/>
      <c r="I1645" s="219"/>
      <c r="J1645" s="219"/>
      <c r="K1645" s="219"/>
      <c r="L1645" s="219"/>
      <c r="M1645" s="219"/>
      <c r="N1645" s="219"/>
      <c r="O1645" s="219"/>
      <c r="P1645" s="219"/>
      <c r="Q1645" s="221"/>
    </row>
    <row r="1646" spans="2:17" x14ac:dyDescent="0.2">
      <c r="B1646" s="219"/>
      <c r="C1646" s="219"/>
      <c r="D1646" s="219"/>
      <c r="E1646" s="219"/>
      <c r="F1646" s="219"/>
      <c r="G1646" s="219"/>
      <c r="H1646" s="219"/>
      <c r="I1646" s="219"/>
      <c r="J1646" s="219"/>
      <c r="K1646" s="219"/>
      <c r="L1646" s="219"/>
      <c r="M1646" s="219"/>
      <c r="N1646" s="219"/>
      <c r="O1646" s="219"/>
      <c r="P1646" s="219"/>
      <c r="Q1646" s="221"/>
    </row>
    <row r="1647" spans="2:17" x14ac:dyDescent="0.2">
      <c r="B1647" s="219"/>
      <c r="C1647" s="219"/>
      <c r="D1647" s="219"/>
      <c r="E1647" s="219"/>
      <c r="F1647" s="219"/>
      <c r="G1647" s="219"/>
      <c r="H1647" s="219"/>
      <c r="I1647" s="219"/>
      <c r="J1647" s="219"/>
      <c r="K1647" s="219"/>
      <c r="L1647" s="219"/>
      <c r="M1647" s="219"/>
      <c r="N1647" s="219"/>
      <c r="O1647" s="219"/>
      <c r="P1647" s="219"/>
      <c r="Q1647" s="221"/>
    </row>
    <row r="1648" spans="2:17" x14ac:dyDescent="0.2">
      <c r="B1648" s="219"/>
      <c r="C1648" s="219"/>
      <c r="D1648" s="219"/>
      <c r="E1648" s="219"/>
      <c r="F1648" s="219"/>
      <c r="G1648" s="219"/>
      <c r="H1648" s="219"/>
      <c r="I1648" s="219"/>
      <c r="J1648" s="219"/>
      <c r="K1648" s="219"/>
      <c r="L1648" s="219"/>
      <c r="M1648" s="219"/>
      <c r="N1648" s="219"/>
      <c r="O1648" s="219"/>
      <c r="P1648" s="219"/>
      <c r="Q1648" s="221"/>
    </row>
    <row r="1649" spans="2:17" x14ac:dyDescent="0.2">
      <c r="B1649" s="219"/>
      <c r="C1649" s="219"/>
      <c r="D1649" s="219"/>
      <c r="E1649" s="219"/>
      <c r="F1649" s="219"/>
      <c r="G1649" s="219"/>
      <c r="H1649" s="219"/>
      <c r="I1649" s="219"/>
      <c r="J1649" s="219"/>
      <c r="K1649" s="219"/>
      <c r="L1649" s="219"/>
      <c r="M1649" s="219"/>
      <c r="N1649" s="219"/>
      <c r="O1649" s="219"/>
      <c r="P1649" s="219"/>
      <c r="Q1649" s="221"/>
    </row>
    <row r="1650" spans="2:17" x14ac:dyDescent="0.2">
      <c r="B1650" s="219"/>
      <c r="C1650" s="219"/>
      <c r="D1650" s="219"/>
      <c r="E1650" s="219"/>
      <c r="F1650" s="219"/>
      <c r="G1650" s="219"/>
      <c r="H1650" s="219"/>
      <c r="I1650" s="219"/>
      <c r="J1650" s="219"/>
      <c r="K1650" s="219"/>
      <c r="L1650" s="219"/>
      <c r="M1650" s="219"/>
      <c r="N1650" s="219"/>
      <c r="O1650" s="219"/>
      <c r="P1650" s="219"/>
      <c r="Q1650" s="221"/>
    </row>
    <row r="1651" spans="2:17" x14ac:dyDescent="0.2">
      <c r="B1651" s="219"/>
      <c r="C1651" s="219"/>
      <c r="D1651" s="219"/>
      <c r="E1651" s="219"/>
      <c r="F1651" s="219"/>
      <c r="G1651" s="219"/>
      <c r="H1651" s="219"/>
      <c r="I1651" s="219"/>
      <c r="J1651" s="219"/>
      <c r="K1651" s="219"/>
      <c r="L1651" s="219"/>
      <c r="M1651" s="219"/>
      <c r="N1651" s="219"/>
      <c r="O1651" s="219"/>
      <c r="P1651" s="219"/>
      <c r="Q1651" s="221"/>
    </row>
    <row r="1652" spans="2:17" x14ac:dyDescent="0.2">
      <c r="B1652" s="219"/>
      <c r="C1652" s="219"/>
      <c r="D1652" s="219"/>
      <c r="E1652" s="219"/>
      <c r="F1652" s="219"/>
      <c r="G1652" s="219"/>
      <c r="H1652" s="219"/>
      <c r="I1652" s="219"/>
      <c r="J1652" s="219"/>
      <c r="K1652" s="219"/>
      <c r="L1652" s="219"/>
      <c r="M1652" s="219"/>
      <c r="N1652" s="219"/>
      <c r="O1652" s="219"/>
      <c r="P1652" s="219"/>
      <c r="Q1652" s="221"/>
    </row>
    <row r="1653" spans="2:17" x14ac:dyDescent="0.2">
      <c r="B1653" s="219"/>
      <c r="C1653" s="219"/>
      <c r="D1653" s="219"/>
      <c r="E1653" s="219"/>
      <c r="F1653" s="219"/>
      <c r="G1653" s="219"/>
      <c r="H1653" s="219"/>
      <c r="I1653" s="219"/>
      <c r="J1653" s="219"/>
      <c r="K1653" s="219"/>
      <c r="L1653" s="219"/>
      <c r="M1653" s="219"/>
      <c r="N1653" s="219"/>
      <c r="O1653" s="219"/>
      <c r="P1653" s="219"/>
      <c r="Q1653" s="221"/>
    </row>
    <row r="1654" spans="2:17" x14ac:dyDescent="0.2">
      <c r="B1654" s="219"/>
      <c r="C1654" s="219"/>
      <c r="D1654" s="219"/>
      <c r="E1654" s="219"/>
      <c r="F1654" s="219"/>
      <c r="G1654" s="219"/>
      <c r="H1654" s="219"/>
      <c r="I1654" s="219"/>
      <c r="J1654" s="219"/>
      <c r="K1654" s="219"/>
      <c r="L1654" s="219"/>
      <c r="M1654" s="219"/>
      <c r="N1654" s="219"/>
      <c r="O1654" s="219"/>
      <c r="P1654" s="219"/>
      <c r="Q1654" s="221"/>
    </row>
    <row r="1655" spans="2:17" x14ac:dyDescent="0.2">
      <c r="B1655" s="219"/>
      <c r="C1655" s="219"/>
      <c r="D1655" s="219"/>
      <c r="E1655" s="219"/>
      <c r="F1655" s="219"/>
      <c r="G1655" s="219"/>
      <c r="H1655" s="219"/>
      <c r="I1655" s="219"/>
      <c r="J1655" s="219"/>
      <c r="K1655" s="219"/>
      <c r="L1655" s="219"/>
      <c r="M1655" s="219"/>
      <c r="N1655" s="219"/>
      <c r="O1655" s="219"/>
      <c r="P1655" s="219"/>
      <c r="Q1655" s="221"/>
    </row>
    <row r="1656" spans="2:17" x14ac:dyDescent="0.2">
      <c r="B1656" s="219"/>
      <c r="C1656" s="219"/>
      <c r="D1656" s="219"/>
      <c r="E1656" s="219"/>
      <c r="F1656" s="219"/>
      <c r="G1656" s="219"/>
      <c r="H1656" s="219"/>
      <c r="I1656" s="219"/>
      <c r="J1656" s="219"/>
      <c r="K1656" s="219"/>
      <c r="L1656" s="219"/>
      <c r="M1656" s="219"/>
      <c r="N1656" s="219"/>
      <c r="O1656" s="219"/>
      <c r="P1656" s="219"/>
      <c r="Q1656" s="221"/>
    </row>
    <row r="1657" spans="2:17" x14ac:dyDescent="0.2">
      <c r="B1657" s="219"/>
      <c r="C1657" s="219"/>
      <c r="D1657" s="219"/>
      <c r="E1657" s="219"/>
      <c r="F1657" s="219"/>
      <c r="G1657" s="219"/>
      <c r="H1657" s="219"/>
      <c r="I1657" s="219"/>
      <c r="J1657" s="219"/>
      <c r="K1657" s="219"/>
      <c r="L1657" s="219"/>
      <c r="M1657" s="219"/>
      <c r="N1657" s="219"/>
      <c r="O1657" s="219"/>
      <c r="P1657" s="219"/>
      <c r="Q1657" s="221"/>
    </row>
    <row r="1658" spans="2:17" x14ac:dyDescent="0.2">
      <c r="B1658" s="219"/>
      <c r="C1658" s="219"/>
      <c r="D1658" s="219"/>
      <c r="E1658" s="219"/>
      <c r="F1658" s="219"/>
      <c r="G1658" s="219"/>
      <c r="H1658" s="219"/>
      <c r="I1658" s="219"/>
      <c r="J1658" s="219"/>
      <c r="K1658" s="219"/>
      <c r="L1658" s="219"/>
      <c r="M1658" s="219"/>
      <c r="N1658" s="219"/>
      <c r="O1658" s="219"/>
      <c r="P1658" s="219"/>
      <c r="Q1658" s="221"/>
    </row>
    <row r="1659" spans="2:17" x14ac:dyDescent="0.2">
      <c r="B1659" s="219"/>
      <c r="C1659" s="219"/>
      <c r="D1659" s="219"/>
      <c r="E1659" s="219"/>
      <c r="F1659" s="219"/>
      <c r="G1659" s="219"/>
      <c r="H1659" s="219"/>
      <c r="I1659" s="219"/>
      <c r="J1659" s="219"/>
      <c r="K1659" s="219"/>
      <c r="L1659" s="219"/>
      <c r="M1659" s="219"/>
      <c r="N1659" s="219"/>
      <c r="O1659" s="219"/>
      <c r="P1659" s="219"/>
      <c r="Q1659" s="221"/>
    </row>
    <row r="1660" spans="2:17" x14ac:dyDescent="0.2">
      <c r="B1660" s="219"/>
      <c r="C1660" s="219"/>
      <c r="D1660" s="219"/>
      <c r="E1660" s="219"/>
      <c r="F1660" s="219"/>
      <c r="G1660" s="219"/>
      <c r="H1660" s="219"/>
      <c r="I1660" s="219"/>
      <c r="J1660" s="219"/>
      <c r="K1660" s="219"/>
      <c r="L1660" s="219"/>
      <c r="M1660" s="219"/>
      <c r="N1660" s="219"/>
      <c r="O1660" s="219"/>
      <c r="P1660" s="219"/>
      <c r="Q1660" s="221"/>
    </row>
    <row r="1661" spans="2:17" x14ac:dyDescent="0.2">
      <c r="B1661" s="219"/>
      <c r="C1661" s="219"/>
      <c r="D1661" s="219"/>
      <c r="E1661" s="219"/>
      <c r="F1661" s="219"/>
      <c r="G1661" s="219"/>
      <c r="H1661" s="219"/>
      <c r="I1661" s="219"/>
      <c r="J1661" s="219"/>
      <c r="K1661" s="219"/>
      <c r="L1661" s="219"/>
      <c r="M1661" s="219"/>
      <c r="N1661" s="219"/>
      <c r="O1661" s="219"/>
      <c r="P1661" s="219"/>
      <c r="Q1661" s="221"/>
    </row>
    <row r="1662" spans="2:17" x14ac:dyDescent="0.2">
      <c r="B1662" s="219"/>
      <c r="C1662" s="219"/>
      <c r="D1662" s="219"/>
      <c r="E1662" s="219"/>
      <c r="F1662" s="219"/>
      <c r="G1662" s="219"/>
      <c r="H1662" s="219"/>
      <c r="I1662" s="219"/>
      <c r="J1662" s="219"/>
      <c r="K1662" s="219"/>
      <c r="L1662" s="219"/>
      <c r="M1662" s="219"/>
      <c r="N1662" s="219"/>
      <c r="O1662" s="219"/>
      <c r="P1662" s="219"/>
      <c r="Q1662" s="221"/>
    </row>
    <row r="1663" spans="2:17" x14ac:dyDescent="0.2">
      <c r="B1663" s="219"/>
      <c r="C1663" s="219"/>
      <c r="D1663" s="219"/>
      <c r="E1663" s="219"/>
      <c r="F1663" s="219"/>
      <c r="G1663" s="219"/>
      <c r="H1663" s="219"/>
      <c r="I1663" s="219"/>
      <c r="J1663" s="219"/>
      <c r="K1663" s="219"/>
      <c r="L1663" s="219"/>
      <c r="M1663" s="219"/>
      <c r="N1663" s="219"/>
      <c r="O1663" s="219"/>
      <c r="P1663" s="219"/>
      <c r="Q1663" s="221"/>
    </row>
    <row r="1664" spans="2:17" x14ac:dyDescent="0.2">
      <c r="B1664" s="219"/>
      <c r="C1664" s="219"/>
      <c r="D1664" s="219"/>
      <c r="E1664" s="219"/>
      <c r="F1664" s="219"/>
      <c r="G1664" s="219"/>
      <c r="H1664" s="219"/>
      <c r="I1664" s="219"/>
      <c r="J1664" s="219"/>
      <c r="K1664" s="219"/>
      <c r="L1664" s="219"/>
      <c r="M1664" s="219"/>
      <c r="N1664" s="219"/>
      <c r="O1664" s="219"/>
      <c r="P1664" s="219"/>
      <c r="Q1664" s="221"/>
    </row>
    <row r="1665" spans="2:17" x14ac:dyDescent="0.2">
      <c r="B1665" s="219"/>
      <c r="C1665" s="219"/>
      <c r="D1665" s="219"/>
      <c r="E1665" s="219"/>
      <c r="F1665" s="219"/>
      <c r="G1665" s="219"/>
      <c r="H1665" s="219"/>
      <c r="I1665" s="219"/>
      <c r="J1665" s="219"/>
      <c r="K1665" s="219"/>
      <c r="L1665" s="219"/>
      <c r="M1665" s="219"/>
      <c r="N1665" s="219"/>
      <c r="O1665" s="219"/>
      <c r="P1665" s="219"/>
      <c r="Q1665" s="221"/>
    </row>
    <row r="1666" spans="2:17" x14ac:dyDescent="0.2">
      <c r="B1666" s="219"/>
      <c r="C1666" s="219"/>
      <c r="D1666" s="219"/>
      <c r="E1666" s="219"/>
      <c r="F1666" s="219"/>
      <c r="G1666" s="219"/>
      <c r="H1666" s="219"/>
      <c r="I1666" s="219"/>
      <c r="J1666" s="219"/>
      <c r="K1666" s="219"/>
      <c r="L1666" s="219"/>
      <c r="M1666" s="219"/>
      <c r="N1666" s="219"/>
      <c r="O1666" s="219"/>
      <c r="P1666" s="219"/>
      <c r="Q1666" s="221"/>
    </row>
    <row r="1667" spans="2:17" x14ac:dyDescent="0.2">
      <c r="B1667" s="219"/>
      <c r="C1667" s="219"/>
      <c r="D1667" s="219"/>
      <c r="E1667" s="219"/>
      <c r="F1667" s="219"/>
      <c r="G1667" s="219"/>
      <c r="H1667" s="219"/>
      <c r="I1667" s="219"/>
      <c r="J1667" s="219"/>
      <c r="K1667" s="219"/>
      <c r="L1667" s="219"/>
      <c r="M1667" s="219"/>
      <c r="N1667" s="219"/>
      <c r="O1667" s="219"/>
      <c r="P1667" s="219"/>
      <c r="Q1667" s="221"/>
    </row>
    <row r="1668" spans="2:17" x14ac:dyDescent="0.2">
      <c r="B1668" s="219"/>
      <c r="C1668" s="219"/>
      <c r="D1668" s="219"/>
      <c r="E1668" s="219"/>
      <c r="F1668" s="219"/>
      <c r="G1668" s="219"/>
      <c r="H1668" s="219"/>
      <c r="I1668" s="219"/>
      <c r="J1668" s="219"/>
      <c r="K1668" s="219"/>
      <c r="L1668" s="219"/>
      <c r="M1668" s="219"/>
      <c r="N1668" s="219"/>
      <c r="O1668" s="219"/>
      <c r="P1668" s="219"/>
      <c r="Q1668" s="221"/>
    </row>
    <row r="1669" spans="2:17" x14ac:dyDescent="0.2">
      <c r="B1669" s="219"/>
      <c r="C1669" s="219"/>
      <c r="D1669" s="219"/>
      <c r="E1669" s="219"/>
      <c r="F1669" s="219"/>
      <c r="G1669" s="219"/>
      <c r="H1669" s="219"/>
      <c r="I1669" s="219"/>
      <c r="J1669" s="219"/>
      <c r="K1669" s="219"/>
      <c r="L1669" s="219"/>
      <c r="M1669" s="219"/>
      <c r="N1669" s="219"/>
      <c r="O1669" s="219"/>
      <c r="P1669" s="219"/>
      <c r="Q1669" s="221"/>
    </row>
    <row r="1670" spans="2:17" x14ac:dyDescent="0.2">
      <c r="B1670" s="219"/>
      <c r="C1670" s="219"/>
      <c r="D1670" s="219"/>
      <c r="E1670" s="219"/>
      <c r="F1670" s="219"/>
      <c r="G1670" s="219"/>
      <c r="H1670" s="219"/>
      <c r="I1670" s="219"/>
      <c r="J1670" s="219"/>
      <c r="K1670" s="219"/>
      <c r="L1670" s="219"/>
      <c r="M1670" s="219"/>
      <c r="N1670" s="219"/>
      <c r="O1670" s="219"/>
      <c r="P1670" s="219"/>
      <c r="Q1670" s="221"/>
    </row>
    <row r="1671" spans="2:17" x14ac:dyDescent="0.2">
      <c r="B1671" s="219"/>
      <c r="C1671" s="219"/>
      <c r="D1671" s="219"/>
      <c r="E1671" s="219"/>
      <c r="F1671" s="219"/>
      <c r="G1671" s="219"/>
      <c r="H1671" s="219"/>
      <c r="I1671" s="219"/>
      <c r="J1671" s="219"/>
      <c r="K1671" s="219"/>
      <c r="L1671" s="219"/>
      <c r="M1671" s="219"/>
      <c r="N1671" s="219"/>
      <c r="O1671" s="219"/>
      <c r="P1671" s="219"/>
      <c r="Q1671" s="221"/>
    </row>
    <row r="1672" spans="2:17" x14ac:dyDescent="0.2">
      <c r="B1672" s="219"/>
      <c r="C1672" s="219"/>
      <c r="D1672" s="219"/>
      <c r="E1672" s="219"/>
      <c r="F1672" s="219"/>
      <c r="G1672" s="219"/>
      <c r="H1672" s="219"/>
      <c r="I1672" s="219"/>
      <c r="J1672" s="219"/>
      <c r="K1672" s="219"/>
      <c r="L1672" s="219"/>
      <c r="M1672" s="219"/>
      <c r="N1672" s="219"/>
      <c r="O1672" s="219"/>
      <c r="P1672" s="219"/>
      <c r="Q1672" s="221"/>
    </row>
    <row r="1673" spans="2:17" x14ac:dyDescent="0.2">
      <c r="B1673" s="219"/>
      <c r="C1673" s="219"/>
      <c r="D1673" s="219"/>
      <c r="E1673" s="219"/>
      <c r="F1673" s="219"/>
      <c r="G1673" s="219"/>
      <c r="H1673" s="219"/>
      <c r="I1673" s="219"/>
      <c r="J1673" s="219"/>
      <c r="K1673" s="219"/>
      <c r="L1673" s="219"/>
      <c r="M1673" s="219"/>
      <c r="N1673" s="219"/>
      <c r="O1673" s="219"/>
      <c r="P1673" s="219"/>
      <c r="Q1673" s="221"/>
    </row>
    <row r="1674" spans="2:17" x14ac:dyDescent="0.2">
      <c r="B1674" s="219"/>
      <c r="C1674" s="219"/>
      <c r="D1674" s="219"/>
      <c r="E1674" s="219"/>
      <c r="F1674" s="219"/>
      <c r="G1674" s="219"/>
      <c r="H1674" s="219"/>
      <c r="I1674" s="219"/>
      <c r="J1674" s="219"/>
      <c r="K1674" s="219"/>
      <c r="L1674" s="219"/>
      <c r="M1674" s="219"/>
      <c r="N1674" s="219"/>
      <c r="O1674" s="219"/>
      <c r="P1674" s="219"/>
      <c r="Q1674" s="221"/>
    </row>
    <row r="1675" spans="2:17" x14ac:dyDescent="0.2">
      <c r="B1675" s="219"/>
      <c r="C1675" s="219"/>
      <c r="D1675" s="219"/>
      <c r="E1675" s="219"/>
      <c r="F1675" s="219"/>
      <c r="G1675" s="219"/>
      <c r="H1675" s="219"/>
      <c r="I1675" s="219"/>
      <c r="J1675" s="219"/>
      <c r="K1675" s="219"/>
      <c r="L1675" s="219"/>
      <c r="M1675" s="219"/>
      <c r="N1675" s="219"/>
      <c r="O1675" s="219"/>
      <c r="P1675" s="219"/>
      <c r="Q1675" s="221"/>
    </row>
    <row r="1676" spans="2:17" x14ac:dyDescent="0.2">
      <c r="B1676" s="219"/>
      <c r="C1676" s="219"/>
      <c r="D1676" s="219"/>
      <c r="E1676" s="219"/>
      <c r="F1676" s="219"/>
      <c r="G1676" s="219"/>
      <c r="H1676" s="219"/>
      <c r="I1676" s="219"/>
      <c r="J1676" s="219"/>
      <c r="K1676" s="219"/>
      <c r="L1676" s="219"/>
      <c r="M1676" s="219"/>
      <c r="N1676" s="219"/>
      <c r="O1676" s="219"/>
      <c r="P1676" s="219"/>
      <c r="Q1676" s="221"/>
    </row>
    <row r="1677" spans="2:17" x14ac:dyDescent="0.2">
      <c r="B1677" s="219"/>
      <c r="C1677" s="219"/>
      <c r="D1677" s="219"/>
      <c r="E1677" s="219"/>
      <c r="F1677" s="219"/>
      <c r="G1677" s="219"/>
      <c r="H1677" s="219"/>
      <c r="I1677" s="219"/>
      <c r="J1677" s="219"/>
      <c r="K1677" s="219"/>
      <c r="L1677" s="219"/>
      <c r="M1677" s="219"/>
      <c r="N1677" s="219"/>
      <c r="O1677" s="219"/>
      <c r="P1677" s="219"/>
      <c r="Q1677" s="221"/>
    </row>
    <row r="1678" spans="2:17" x14ac:dyDescent="0.2">
      <c r="B1678" s="219"/>
      <c r="C1678" s="219"/>
      <c r="D1678" s="219"/>
      <c r="E1678" s="219"/>
      <c r="F1678" s="219"/>
      <c r="G1678" s="219"/>
      <c r="H1678" s="219"/>
      <c r="I1678" s="219"/>
      <c r="J1678" s="219"/>
      <c r="K1678" s="219"/>
      <c r="L1678" s="219"/>
      <c r="M1678" s="219"/>
      <c r="N1678" s="219"/>
      <c r="O1678" s="219"/>
      <c r="P1678" s="219"/>
      <c r="Q1678" s="221"/>
    </row>
    <row r="1679" spans="2:17" x14ac:dyDescent="0.2">
      <c r="B1679" s="219"/>
      <c r="C1679" s="219"/>
      <c r="D1679" s="219"/>
      <c r="E1679" s="219"/>
      <c r="F1679" s="219"/>
      <c r="G1679" s="219"/>
      <c r="H1679" s="219"/>
      <c r="I1679" s="219"/>
      <c r="J1679" s="219"/>
      <c r="K1679" s="219"/>
      <c r="L1679" s="219"/>
      <c r="M1679" s="219"/>
      <c r="N1679" s="219"/>
      <c r="O1679" s="219"/>
      <c r="P1679" s="219"/>
      <c r="Q1679" s="221"/>
    </row>
    <row r="1680" spans="2:17" x14ac:dyDescent="0.2">
      <c r="B1680" s="219"/>
      <c r="C1680" s="219"/>
      <c r="D1680" s="219"/>
      <c r="E1680" s="219"/>
      <c r="F1680" s="219"/>
      <c r="G1680" s="219"/>
      <c r="H1680" s="219"/>
      <c r="I1680" s="219"/>
      <c r="J1680" s="219"/>
      <c r="K1680" s="219"/>
      <c r="L1680" s="219"/>
      <c r="M1680" s="219"/>
      <c r="N1680" s="219"/>
      <c r="O1680" s="219"/>
      <c r="P1680" s="219"/>
      <c r="Q1680" s="221"/>
    </row>
    <row r="1681" spans="2:17" x14ac:dyDescent="0.2">
      <c r="B1681" s="219"/>
      <c r="C1681" s="219"/>
      <c r="D1681" s="219"/>
      <c r="E1681" s="219"/>
      <c r="F1681" s="219"/>
      <c r="G1681" s="219"/>
      <c r="H1681" s="219"/>
      <c r="I1681" s="219"/>
      <c r="J1681" s="219"/>
      <c r="K1681" s="219"/>
      <c r="L1681" s="219"/>
      <c r="M1681" s="219"/>
      <c r="N1681" s="219"/>
      <c r="O1681" s="219"/>
      <c r="P1681" s="219"/>
      <c r="Q1681" s="221"/>
    </row>
    <row r="1682" spans="2:17" x14ac:dyDescent="0.2">
      <c r="B1682" s="219"/>
      <c r="C1682" s="219"/>
      <c r="D1682" s="219"/>
      <c r="E1682" s="219"/>
      <c r="F1682" s="219"/>
      <c r="G1682" s="219"/>
      <c r="H1682" s="219"/>
      <c r="I1682" s="219"/>
      <c r="J1682" s="219"/>
      <c r="K1682" s="219"/>
      <c r="L1682" s="219"/>
      <c r="M1682" s="219"/>
      <c r="N1682" s="219"/>
      <c r="O1682" s="219"/>
      <c r="P1682" s="219"/>
      <c r="Q1682" s="221"/>
    </row>
    <row r="1683" spans="2:17" x14ac:dyDescent="0.2">
      <c r="B1683" s="219"/>
      <c r="C1683" s="219"/>
      <c r="D1683" s="219"/>
      <c r="E1683" s="219"/>
      <c r="F1683" s="219"/>
      <c r="G1683" s="219"/>
      <c r="H1683" s="219"/>
      <c r="I1683" s="219"/>
      <c r="J1683" s="219"/>
      <c r="K1683" s="219"/>
      <c r="L1683" s="219"/>
      <c r="M1683" s="219"/>
      <c r="N1683" s="219"/>
      <c r="O1683" s="219"/>
      <c r="P1683" s="219"/>
      <c r="Q1683" s="221"/>
    </row>
    <row r="1684" spans="2:17" x14ac:dyDescent="0.2">
      <c r="B1684" s="219"/>
      <c r="C1684" s="219"/>
      <c r="D1684" s="219"/>
      <c r="E1684" s="219"/>
      <c r="F1684" s="219"/>
      <c r="G1684" s="219"/>
      <c r="H1684" s="219"/>
      <c r="I1684" s="219"/>
      <c r="J1684" s="219"/>
      <c r="K1684" s="219"/>
      <c r="L1684" s="219"/>
      <c r="M1684" s="219"/>
      <c r="N1684" s="219"/>
      <c r="O1684" s="219"/>
      <c r="P1684" s="219"/>
      <c r="Q1684" s="221"/>
    </row>
    <row r="1685" spans="2:17" x14ac:dyDescent="0.2">
      <c r="B1685" s="219"/>
      <c r="C1685" s="219"/>
      <c r="D1685" s="219"/>
      <c r="E1685" s="219"/>
      <c r="F1685" s="219"/>
      <c r="G1685" s="219"/>
      <c r="H1685" s="219"/>
      <c r="I1685" s="219"/>
      <c r="J1685" s="219"/>
      <c r="K1685" s="219"/>
      <c r="L1685" s="219"/>
      <c r="M1685" s="219"/>
      <c r="N1685" s="219"/>
      <c r="O1685" s="219"/>
      <c r="P1685" s="219"/>
      <c r="Q1685" s="221"/>
    </row>
    <row r="1686" spans="2:17" x14ac:dyDescent="0.2">
      <c r="B1686" s="219"/>
      <c r="C1686" s="219"/>
      <c r="D1686" s="219"/>
      <c r="E1686" s="219"/>
      <c r="F1686" s="219"/>
      <c r="G1686" s="219"/>
      <c r="H1686" s="219"/>
      <c r="I1686" s="219"/>
      <c r="J1686" s="219"/>
      <c r="K1686" s="219"/>
      <c r="L1686" s="219"/>
      <c r="M1686" s="219"/>
      <c r="N1686" s="219"/>
      <c r="O1686" s="219"/>
      <c r="P1686" s="219"/>
      <c r="Q1686" s="221"/>
    </row>
    <row r="1687" spans="2:17" x14ac:dyDescent="0.2">
      <c r="B1687" s="219"/>
      <c r="C1687" s="219"/>
      <c r="D1687" s="219"/>
      <c r="E1687" s="219"/>
      <c r="F1687" s="219"/>
      <c r="G1687" s="219"/>
      <c r="H1687" s="219"/>
      <c r="I1687" s="219"/>
      <c r="J1687" s="219"/>
      <c r="K1687" s="219"/>
      <c r="L1687" s="219"/>
      <c r="M1687" s="219"/>
      <c r="N1687" s="219"/>
      <c r="O1687" s="219"/>
      <c r="P1687" s="219"/>
      <c r="Q1687" s="221"/>
    </row>
    <row r="1688" spans="2:17" x14ac:dyDescent="0.2">
      <c r="B1688" s="219"/>
      <c r="C1688" s="219"/>
      <c r="D1688" s="219"/>
      <c r="E1688" s="219"/>
      <c r="F1688" s="219"/>
      <c r="G1688" s="219"/>
      <c r="H1688" s="219"/>
      <c r="I1688" s="219"/>
      <c r="J1688" s="219"/>
      <c r="K1688" s="219"/>
      <c r="L1688" s="219"/>
      <c r="M1688" s="219"/>
      <c r="N1688" s="219"/>
      <c r="O1688" s="219"/>
      <c r="P1688" s="219"/>
      <c r="Q1688" s="221"/>
    </row>
    <row r="1689" spans="2:17" x14ac:dyDescent="0.2">
      <c r="B1689" s="219"/>
      <c r="C1689" s="219"/>
      <c r="D1689" s="219"/>
      <c r="E1689" s="219"/>
      <c r="F1689" s="219"/>
      <c r="G1689" s="219"/>
      <c r="H1689" s="219"/>
      <c r="I1689" s="219"/>
      <c r="J1689" s="219"/>
      <c r="K1689" s="219"/>
      <c r="L1689" s="219"/>
      <c r="M1689" s="219"/>
      <c r="N1689" s="219"/>
      <c r="O1689" s="219"/>
      <c r="P1689" s="219"/>
      <c r="Q1689" s="221"/>
    </row>
    <row r="1690" spans="2:17" x14ac:dyDescent="0.2">
      <c r="B1690" s="219"/>
      <c r="C1690" s="219"/>
      <c r="D1690" s="219"/>
      <c r="E1690" s="219"/>
      <c r="F1690" s="219"/>
      <c r="G1690" s="219"/>
      <c r="H1690" s="219"/>
      <c r="I1690" s="219"/>
      <c r="J1690" s="219"/>
      <c r="K1690" s="219"/>
      <c r="L1690" s="219"/>
      <c r="M1690" s="219"/>
      <c r="N1690" s="219"/>
      <c r="O1690" s="219"/>
      <c r="P1690" s="219"/>
      <c r="Q1690" s="221"/>
    </row>
    <row r="1691" spans="2:17" x14ac:dyDescent="0.2">
      <c r="B1691" s="219"/>
      <c r="C1691" s="219"/>
      <c r="D1691" s="219"/>
      <c r="E1691" s="219"/>
      <c r="F1691" s="219"/>
      <c r="G1691" s="219"/>
      <c r="H1691" s="219"/>
      <c r="I1691" s="219"/>
      <c r="J1691" s="219"/>
      <c r="K1691" s="219"/>
      <c r="L1691" s="219"/>
      <c r="M1691" s="219"/>
      <c r="N1691" s="219"/>
      <c r="O1691" s="219"/>
      <c r="P1691" s="219"/>
      <c r="Q1691" s="221"/>
    </row>
    <row r="1692" spans="2:17" x14ac:dyDescent="0.2">
      <c r="B1692" s="219"/>
      <c r="C1692" s="219"/>
      <c r="D1692" s="219"/>
      <c r="E1692" s="219"/>
      <c r="F1692" s="219"/>
      <c r="G1692" s="219"/>
      <c r="H1692" s="219"/>
      <c r="I1692" s="219"/>
      <c r="J1692" s="219"/>
      <c r="K1692" s="219"/>
      <c r="L1692" s="219"/>
      <c r="M1692" s="219"/>
      <c r="N1692" s="219"/>
      <c r="O1692" s="219"/>
      <c r="P1692" s="219"/>
      <c r="Q1692" s="221"/>
    </row>
    <row r="1693" spans="2:17" x14ac:dyDescent="0.2">
      <c r="B1693" s="219"/>
      <c r="C1693" s="219"/>
      <c r="D1693" s="219"/>
      <c r="E1693" s="219"/>
      <c r="F1693" s="219"/>
      <c r="G1693" s="219"/>
      <c r="H1693" s="219"/>
      <c r="I1693" s="219"/>
      <c r="J1693" s="219"/>
      <c r="K1693" s="219"/>
      <c r="L1693" s="219"/>
      <c r="M1693" s="219"/>
      <c r="N1693" s="219"/>
      <c r="O1693" s="219"/>
      <c r="P1693" s="219"/>
      <c r="Q1693" s="221"/>
    </row>
    <row r="1694" spans="2:17" x14ac:dyDescent="0.2">
      <c r="B1694" s="219"/>
      <c r="C1694" s="219"/>
      <c r="D1694" s="219"/>
      <c r="E1694" s="219"/>
      <c r="F1694" s="219"/>
      <c r="G1694" s="219"/>
      <c r="H1694" s="219"/>
      <c r="I1694" s="219"/>
      <c r="J1694" s="219"/>
      <c r="K1694" s="219"/>
      <c r="L1694" s="219"/>
      <c r="M1694" s="219"/>
      <c r="N1694" s="219"/>
      <c r="O1694" s="219"/>
      <c r="P1694" s="219"/>
      <c r="Q1694" s="221"/>
    </row>
    <row r="1695" spans="2:17" x14ac:dyDescent="0.2">
      <c r="B1695" s="219"/>
      <c r="C1695" s="219"/>
      <c r="D1695" s="219"/>
      <c r="E1695" s="219"/>
      <c r="F1695" s="219"/>
      <c r="G1695" s="219"/>
      <c r="H1695" s="219"/>
      <c r="I1695" s="219"/>
      <c r="J1695" s="219"/>
      <c r="K1695" s="219"/>
      <c r="L1695" s="219"/>
      <c r="M1695" s="219"/>
      <c r="N1695" s="219"/>
      <c r="O1695" s="219"/>
      <c r="P1695" s="219"/>
      <c r="Q1695" s="221"/>
    </row>
    <row r="1696" spans="2:17" x14ac:dyDescent="0.2">
      <c r="B1696" s="219"/>
      <c r="C1696" s="219"/>
      <c r="D1696" s="219"/>
      <c r="E1696" s="219"/>
      <c r="F1696" s="219"/>
      <c r="G1696" s="219"/>
      <c r="H1696" s="219"/>
      <c r="I1696" s="219"/>
      <c r="J1696" s="219"/>
      <c r="K1696" s="219"/>
      <c r="L1696" s="219"/>
      <c r="M1696" s="219"/>
      <c r="N1696" s="219"/>
      <c r="O1696" s="219"/>
      <c r="P1696" s="219"/>
      <c r="Q1696" s="221"/>
    </row>
    <row r="1697" spans="2:17" x14ac:dyDescent="0.2">
      <c r="B1697" s="219"/>
      <c r="C1697" s="219"/>
      <c r="D1697" s="219"/>
      <c r="E1697" s="219"/>
      <c r="F1697" s="219"/>
      <c r="G1697" s="219"/>
      <c r="H1697" s="219"/>
      <c r="I1697" s="219"/>
      <c r="J1697" s="219"/>
      <c r="K1697" s="219"/>
      <c r="L1697" s="219"/>
      <c r="M1697" s="219"/>
      <c r="N1697" s="219"/>
      <c r="O1697" s="219"/>
      <c r="P1697" s="219"/>
      <c r="Q1697" s="221"/>
    </row>
    <row r="1698" spans="2:17" x14ac:dyDescent="0.2">
      <c r="B1698" s="219"/>
      <c r="C1698" s="219"/>
      <c r="D1698" s="219"/>
      <c r="E1698" s="219"/>
      <c r="F1698" s="219"/>
      <c r="G1698" s="219"/>
      <c r="H1698" s="219"/>
      <c r="I1698" s="219"/>
      <c r="J1698" s="219"/>
      <c r="K1698" s="219"/>
      <c r="L1698" s="219"/>
      <c r="M1698" s="219"/>
      <c r="N1698" s="219"/>
      <c r="O1698" s="219"/>
      <c r="P1698" s="219"/>
      <c r="Q1698" s="221"/>
    </row>
    <row r="1699" spans="2:17" x14ac:dyDescent="0.2">
      <c r="B1699" s="219"/>
      <c r="C1699" s="219"/>
      <c r="D1699" s="219"/>
      <c r="E1699" s="219"/>
      <c r="F1699" s="219"/>
      <c r="G1699" s="219"/>
      <c r="H1699" s="219"/>
      <c r="I1699" s="219"/>
      <c r="J1699" s="219"/>
      <c r="K1699" s="219"/>
      <c r="L1699" s="219"/>
      <c r="M1699" s="219"/>
      <c r="N1699" s="219"/>
      <c r="O1699" s="219"/>
      <c r="P1699" s="219"/>
      <c r="Q1699" s="221"/>
    </row>
    <row r="1700" spans="2:17" x14ac:dyDescent="0.2">
      <c r="B1700" s="219"/>
      <c r="C1700" s="219"/>
      <c r="D1700" s="219"/>
      <c r="E1700" s="219"/>
      <c r="F1700" s="219"/>
      <c r="G1700" s="219"/>
      <c r="H1700" s="219"/>
      <c r="I1700" s="219"/>
      <c r="J1700" s="219"/>
      <c r="K1700" s="219"/>
      <c r="L1700" s="219"/>
      <c r="M1700" s="219"/>
      <c r="N1700" s="219"/>
      <c r="O1700" s="219"/>
      <c r="P1700" s="219"/>
      <c r="Q1700" s="221"/>
    </row>
    <row r="1701" spans="2:17" x14ac:dyDescent="0.2">
      <c r="B1701" s="219"/>
      <c r="C1701" s="219"/>
      <c r="D1701" s="219"/>
      <c r="E1701" s="219"/>
      <c r="F1701" s="219"/>
      <c r="G1701" s="219"/>
      <c r="H1701" s="219"/>
      <c r="I1701" s="219"/>
      <c r="J1701" s="219"/>
      <c r="K1701" s="219"/>
      <c r="L1701" s="219"/>
      <c r="M1701" s="219"/>
      <c r="N1701" s="219"/>
      <c r="O1701" s="219"/>
      <c r="P1701" s="219"/>
      <c r="Q1701" s="221"/>
    </row>
    <row r="1702" spans="2:17" x14ac:dyDescent="0.2">
      <c r="B1702" s="219"/>
      <c r="C1702" s="219"/>
      <c r="D1702" s="219"/>
      <c r="E1702" s="219"/>
      <c r="F1702" s="219"/>
      <c r="G1702" s="219"/>
      <c r="H1702" s="219"/>
      <c r="I1702" s="219"/>
      <c r="J1702" s="219"/>
      <c r="K1702" s="219"/>
      <c r="L1702" s="219"/>
      <c r="M1702" s="219"/>
      <c r="N1702" s="219"/>
      <c r="O1702" s="219"/>
      <c r="P1702" s="219"/>
      <c r="Q1702" s="221"/>
    </row>
    <row r="1703" spans="2:17" x14ac:dyDescent="0.2">
      <c r="B1703" s="219"/>
      <c r="C1703" s="219"/>
      <c r="D1703" s="219"/>
      <c r="E1703" s="219"/>
      <c r="F1703" s="219"/>
      <c r="G1703" s="219"/>
      <c r="H1703" s="219"/>
      <c r="I1703" s="219"/>
      <c r="J1703" s="219"/>
      <c r="K1703" s="219"/>
      <c r="L1703" s="219"/>
      <c r="M1703" s="219"/>
      <c r="N1703" s="219"/>
      <c r="O1703" s="219"/>
      <c r="P1703" s="219"/>
      <c r="Q1703" s="221"/>
    </row>
    <row r="1704" spans="2:17" x14ac:dyDescent="0.2">
      <c r="B1704" s="219"/>
      <c r="C1704" s="219"/>
      <c r="D1704" s="219"/>
      <c r="E1704" s="219"/>
      <c r="F1704" s="219"/>
      <c r="G1704" s="219"/>
      <c r="H1704" s="219"/>
      <c r="I1704" s="219"/>
      <c r="J1704" s="219"/>
      <c r="K1704" s="219"/>
      <c r="L1704" s="219"/>
      <c r="M1704" s="219"/>
      <c r="N1704" s="219"/>
      <c r="O1704" s="219"/>
      <c r="P1704" s="219"/>
      <c r="Q1704" s="221"/>
    </row>
    <row r="1705" spans="2:17" x14ac:dyDescent="0.2">
      <c r="B1705" s="219"/>
      <c r="C1705" s="219"/>
      <c r="D1705" s="219"/>
      <c r="E1705" s="219"/>
      <c r="F1705" s="219"/>
      <c r="G1705" s="219"/>
      <c r="H1705" s="219"/>
      <c r="I1705" s="219"/>
      <c r="J1705" s="219"/>
      <c r="K1705" s="219"/>
      <c r="L1705" s="219"/>
      <c r="M1705" s="219"/>
      <c r="N1705" s="219"/>
      <c r="O1705" s="219"/>
      <c r="P1705" s="219"/>
      <c r="Q1705" s="221"/>
    </row>
    <row r="1706" spans="2:17" x14ac:dyDescent="0.2">
      <c r="B1706" s="219"/>
      <c r="C1706" s="219"/>
      <c r="D1706" s="219"/>
      <c r="E1706" s="219"/>
      <c r="F1706" s="219"/>
      <c r="G1706" s="219"/>
      <c r="H1706" s="219"/>
      <c r="I1706" s="219"/>
      <c r="J1706" s="219"/>
      <c r="K1706" s="219"/>
      <c r="L1706" s="219"/>
      <c r="M1706" s="219"/>
      <c r="N1706" s="219"/>
      <c r="O1706" s="219"/>
      <c r="P1706" s="219"/>
      <c r="Q1706" s="221"/>
    </row>
    <row r="1707" spans="2:17" x14ac:dyDescent="0.2">
      <c r="B1707" s="219"/>
      <c r="C1707" s="219"/>
      <c r="D1707" s="219"/>
      <c r="E1707" s="219"/>
      <c r="F1707" s="219"/>
      <c r="G1707" s="219"/>
      <c r="H1707" s="219"/>
      <c r="I1707" s="219"/>
      <c r="J1707" s="219"/>
      <c r="K1707" s="219"/>
      <c r="L1707" s="219"/>
      <c r="M1707" s="219"/>
      <c r="N1707" s="219"/>
      <c r="O1707" s="219"/>
      <c r="P1707" s="219"/>
      <c r="Q1707" s="221"/>
    </row>
    <row r="1708" spans="2:17" x14ac:dyDescent="0.2">
      <c r="B1708" s="219"/>
      <c r="C1708" s="219"/>
      <c r="D1708" s="219"/>
      <c r="E1708" s="219"/>
      <c r="F1708" s="219"/>
      <c r="G1708" s="219"/>
      <c r="H1708" s="219"/>
      <c r="I1708" s="219"/>
      <c r="J1708" s="219"/>
      <c r="K1708" s="219"/>
      <c r="L1708" s="219"/>
      <c r="M1708" s="219"/>
      <c r="N1708" s="219"/>
      <c r="O1708" s="219"/>
      <c r="P1708" s="219"/>
      <c r="Q1708" s="221"/>
    </row>
    <row r="1709" spans="2:17" x14ac:dyDescent="0.2">
      <c r="B1709" s="219"/>
      <c r="C1709" s="219"/>
      <c r="D1709" s="219"/>
      <c r="E1709" s="219"/>
      <c r="F1709" s="219"/>
      <c r="G1709" s="219"/>
      <c r="H1709" s="219"/>
      <c r="I1709" s="219"/>
      <c r="J1709" s="219"/>
      <c r="K1709" s="219"/>
      <c r="L1709" s="219"/>
      <c r="M1709" s="219"/>
      <c r="N1709" s="219"/>
      <c r="O1709" s="219"/>
      <c r="P1709" s="219"/>
      <c r="Q1709" s="221"/>
    </row>
    <row r="1710" spans="2:17" x14ac:dyDescent="0.2">
      <c r="B1710" s="219"/>
      <c r="C1710" s="219"/>
      <c r="D1710" s="219"/>
      <c r="E1710" s="219"/>
      <c r="F1710" s="219"/>
      <c r="G1710" s="219"/>
      <c r="H1710" s="219"/>
      <c r="I1710" s="219"/>
      <c r="J1710" s="219"/>
      <c r="K1710" s="219"/>
      <c r="L1710" s="219"/>
      <c r="M1710" s="219"/>
      <c r="N1710" s="219"/>
      <c r="O1710" s="219"/>
      <c r="P1710" s="219"/>
      <c r="Q1710" s="221"/>
    </row>
    <row r="1711" spans="2:17" x14ac:dyDescent="0.2">
      <c r="B1711" s="219"/>
      <c r="C1711" s="219"/>
      <c r="D1711" s="219"/>
      <c r="E1711" s="219"/>
      <c r="F1711" s="219"/>
      <c r="G1711" s="219"/>
      <c r="H1711" s="219"/>
      <c r="I1711" s="219"/>
      <c r="J1711" s="219"/>
      <c r="K1711" s="219"/>
      <c r="L1711" s="219"/>
      <c r="M1711" s="219"/>
      <c r="N1711" s="219"/>
      <c r="O1711" s="219"/>
      <c r="P1711" s="219"/>
      <c r="Q1711" s="221"/>
    </row>
    <row r="1712" spans="2:17" x14ac:dyDescent="0.2">
      <c r="B1712" s="219"/>
      <c r="C1712" s="219"/>
      <c r="D1712" s="219"/>
      <c r="E1712" s="219"/>
      <c r="F1712" s="219"/>
      <c r="G1712" s="219"/>
      <c r="H1712" s="219"/>
      <c r="I1712" s="219"/>
      <c r="J1712" s="219"/>
      <c r="K1712" s="219"/>
      <c r="L1712" s="219"/>
      <c r="M1712" s="219"/>
      <c r="N1712" s="219"/>
      <c r="O1712" s="219"/>
      <c r="P1712" s="219"/>
      <c r="Q1712" s="221"/>
    </row>
    <row r="1713" spans="2:17" x14ac:dyDescent="0.2">
      <c r="B1713" s="219"/>
      <c r="C1713" s="219"/>
      <c r="D1713" s="219"/>
      <c r="E1713" s="219"/>
      <c r="F1713" s="219"/>
      <c r="G1713" s="219"/>
      <c r="H1713" s="219"/>
      <c r="I1713" s="219"/>
      <c r="J1713" s="219"/>
      <c r="K1713" s="219"/>
      <c r="L1713" s="219"/>
      <c r="M1713" s="219"/>
      <c r="N1713" s="219"/>
      <c r="O1713" s="219"/>
      <c r="P1713" s="219"/>
      <c r="Q1713" s="221"/>
    </row>
    <row r="1714" spans="2:17" x14ac:dyDescent="0.2">
      <c r="B1714" s="219"/>
      <c r="C1714" s="219"/>
      <c r="D1714" s="219"/>
      <c r="E1714" s="219"/>
      <c r="F1714" s="219"/>
      <c r="G1714" s="219"/>
      <c r="H1714" s="219"/>
      <c r="I1714" s="219"/>
      <c r="J1714" s="219"/>
      <c r="K1714" s="219"/>
      <c r="L1714" s="219"/>
      <c r="M1714" s="219"/>
      <c r="N1714" s="219"/>
      <c r="O1714" s="219"/>
      <c r="P1714" s="219"/>
      <c r="Q1714" s="221"/>
    </row>
    <row r="1715" spans="2:17" x14ac:dyDescent="0.2">
      <c r="B1715" s="219"/>
      <c r="C1715" s="219"/>
      <c r="D1715" s="219"/>
      <c r="E1715" s="219"/>
      <c r="F1715" s="219"/>
      <c r="G1715" s="219"/>
      <c r="H1715" s="219"/>
      <c r="I1715" s="219"/>
      <c r="J1715" s="219"/>
      <c r="K1715" s="219"/>
      <c r="L1715" s="219"/>
      <c r="M1715" s="219"/>
      <c r="N1715" s="219"/>
      <c r="O1715" s="219"/>
      <c r="P1715" s="219"/>
      <c r="Q1715" s="221"/>
    </row>
    <row r="1716" spans="2:17" x14ac:dyDescent="0.2">
      <c r="B1716" s="219"/>
      <c r="C1716" s="219"/>
      <c r="D1716" s="219"/>
      <c r="E1716" s="219"/>
      <c r="F1716" s="219"/>
      <c r="G1716" s="219"/>
      <c r="H1716" s="219"/>
      <c r="I1716" s="219"/>
      <c r="J1716" s="219"/>
      <c r="K1716" s="219"/>
      <c r="L1716" s="219"/>
      <c r="M1716" s="219"/>
      <c r="N1716" s="219"/>
      <c r="O1716" s="219"/>
      <c r="P1716" s="219"/>
      <c r="Q1716" s="221"/>
    </row>
    <row r="1717" spans="2:17" x14ac:dyDescent="0.2">
      <c r="B1717" s="219"/>
      <c r="C1717" s="219"/>
      <c r="D1717" s="219"/>
      <c r="E1717" s="219"/>
      <c r="F1717" s="219"/>
      <c r="G1717" s="219"/>
      <c r="H1717" s="219"/>
      <c r="I1717" s="219"/>
      <c r="J1717" s="219"/>
      <c r="K1717" s="219"/>
      <c r="L1717" s="219"/>
      <c r="M1717" s="219"/>
      <c r="N1717" s="219"/>
      <c r="O1717" s="219"/>
      <c r="P1717" s="219"/>
      <c r="Q1717" s="221"/>
    </row>
    <row r="1718" spans="2:17" x14ac:dyDescent="0.2">
      <c r="B1718" s="219"/>
      <c r="C1718" s="219"/>
      <c r="D1718" s="219"/>
      <c r="E1718" s="219"/>
      <c r="F1718" s="219"/>
      <c r="G1718" s="219"/>
      <c r="H1718" s="219"/>
      <c r="I1718" s="219"/>
      <c r="J1718" s="219"/>
      <c r="K1718" s="219"/>
      <c r="L1718" s="219"/>
      <c r="M1718" s="219"/>
      <c r="N1718" s="219"/>
      <c r="O1718" s="219"/>
      <c r="P1718" s="219"/>
      <c r="Q1718" s="221"/>
    </row>
    <row r="1719" spans="2:17" x14ac:dyDescent="0.2">
      <c r="B1719" s="219"/>
      <c r="C1719" s="219"/>
      <c r="D1719" s="219"/>
      <c r="E1719" s="219"/>
      <c r="F1719" s="219"/>
      <c r="G1719" s="219"/>
      <c r="H1719" s="219"/>
      <c r="I1719" s="219"/>
      <c r="J1719" s="219"/>
      <c r="K1719" s="219"/>
      <c r="L1719" s="219"/>
      <c r="M1719" s="219"/>
      <c r="N1719" s="219"/>
      <c r="O1719" s="219"/>
      <c r="P1719" s="219"/>
      <c r="Q1719" s="221"/>
    </row>
    <row r="1720" spans="2:17" x14ac:dyDescent="0.2">
      <c r="B1720" s="219"/>
      <c r="C1720" s="219"/>
      <c r="D1720" s="219"/>
      <c r="E1720" s="219"/>
      <c r="F1720" s="219"/>
      <c r="G1720" s="219"/>
      <c r="H1720" s="219"/>
      <c r="I1720" s="219"/>
      <c r="J1720" s="219"/>
      <c r="K1720" s="219"/>
      <c r="L1720" s="219"/>
      <c r="M1720" s="219"/>
      <c r="N1720" s="219"/>
      <c r="O1720" s="219"/>
      <c r="P1720" s="219"/>
      <c r="Q1720" s="221"/>
    </row>
    <row r="1721" spans="2:17" x14ac:dyDescent="0.2">
      <c r="B1721" s="219"/>
      <c r="C1721" s="219"/>
      <c r="D1721" s="219"/>
      <c r="E1721" s="219"/>
      <c r="F1721" s="219"/>
      <c r="G1721" s="219"/>
      <c r="H1721" s="219"/>
      <c r="I1721" s="219"/>
      <c r="J1721" s="219"/>
      <c r="K1721" s="219"/>
      <c r="L1721" s="219"/>
      <c r="M1721" s="219"/>
      <c r="N1721" s="219"/>
      <c r="O1721" s="219"/>
      <c r="P1721" s="219"/>
      <c r="Q1721" s="221"/>
    </row>
    <row r="1722" spans="2:17" x14ac:dyDescent="0.2">
      <c r="B1722" s="219"/>
      <c r="C1722" s="219"/>
      <c r="D1722" s="219"/>
      <c r="E1722" s="219"/>
      <c r="F1722" s="219"/>
      <c r="G1722" s="219"/>
      <c r="H1722" s="219"/>
      <c r="I1722" s="219"/>
      <c r="J1722" s="219"/>
      <c r="K1722" s="219"/>
      <c r="L1722" s="219"/>
      <c r="M1722" s="219"/>
      <c r="N1722" s="219"/>
      <c r="O1722" s="219"/>
      <c r="P1722" s="219"/>
      <c r="Q1722" s="221"/>
    </row>
    <row r="1723" spans="2:17" x14ac:dyDescent="0.2">
      <c r="B1723" s="219"/>
      <c r="C1723" s="219"/>
      <c r="D1723" s="219"/>
      <c r="E1723" s="219"/>
      <c r="F1723" s="219"/>
      <c r="G1723" s="219"/>
      <c r="H1723" s="219"/>
      <c r="I1723" s="219"/>
      <c r="J1723" s="219"/>
      <c r="K1723" s="219"/>
      <c r="L1723" s="219"/>
      <c r="M1723" s="219"/>
      <c r="N1723" s="219"/>
      <c r="O1723" s="219"/>
      <c r="P1723" s="219"/>
      <c r="Q1723" s="221"/>
    </row>
    <row r="1724" spans="2:17" x14ac:dyDescent="0.2">
      <c r="B1724" s="219"/>
      <c r="C1724" s="219"/>
      <c r="D1724" s="219"/>
      <c r="E1724" s="219"/>
      <c r="F1724" s="219"/>
      <c r="G1724" s="219"/>
      <c r="H1724" s="219"/>
      <c r="I1724" s="219"/>
      <c r="J1724" s="219"/>
      <c r="K1724" s="219"/>
      <c r="L1724" s="219"/>
      <c r="M1724" s="219"/>
      <c r="N1724" s="219"/>
      <c r="O1724" s="219"/>
      <c r="P1724" s="219"/>
      <c r="Q1724" s="221"/>
    </row>
    <row r="1725" spans="2:17" x14ac:dyDescent="0.2">
      <c r="B1725" s="219"/>
      <c r="C1725" s="219"/>
      <c r="D1725" s="219"/>
      <c r="E1725" s="219"/>
      <c r="F1725" s="219"/>
      <c r="G1725" s="219"/>
      <c r="H1725" s="219"/>
      <c r="I1725" s="219"/>
      <c r="J1725" s="219"/>
      <c r="K1725" s="219"/>
      <c r="L1725" s="219"/>
      <c r="M1725" s="219"/>
      <c r="N1725" s="219"/>
      <c r="O1725" s="219"/>
      <c r="P1725" s="219"/>
      <c r="Q1725" s="221"/>
    </row>
    <row r="1726" spans="2:17" x14ac:dyDescent="0.2">
      <c r="B1726" s="219"/>
      <c r="C1726" s="219"/>
      <c r="D1726" s="219"/>
      <c r="E1726" s="219"/>
      <c r="F1726" s="219"/>
      <c r="G1726" s="219"/>
      <c r="H1726" s="219"/>
      <c r="I1726" s="219"/>
      <c r="J1726" s="219"/>
      <c r="K1726" s="219"/>
      <c r="L1726" s="219"/>
      <c r="M1726" s="219"/>
      <c r="N1726" s="219"/>
      <c r="O1726" s="219"/>
      <c r="P1726" s="219"/>
      <c r="Q1726" s="221"/>
    </row>
    <row r="1727" spans="2:17" x14ac:dyDescent="0.2">
      <c r="B1727" s="219"/>
      <c r="C1727" s="219"/>
      <c r="D1727" s="219"/>
      <c r="E1727" s="219"/>
      <c r="F1727" s="219"/>
      <c r="G1727" s="219"/>
      <c r="H1727" s="219"/>
      <c r="I1727" s="219"/>
      <c r="J1727" s="219"/>
      <c r="K1727" s="219"/>
      <c r="L1727" s="219"/>
      <c r="M1727" s="219"/>
      <c r="N1727" s="219"/>
      <c r="O1727" s="219"/>
      <c r="P1727" s="219"/>
      <c r="Q1727" s="221"/>
    </row>
    <row r="1728" spans="2:17" x14ac:dyDescent="0.2">
      <c r="B1728" s="219"/>
      <c r="C1728" s="219"/>
      <c r="D1728" s="219"/>
      <c r="E1728" s="219"/>
      <c r="F1728" s="219"/>
      <c r="G1728" s="219"/>
      <c r="H1728" s="219"/>
      <c r="I1728" s="219"/>
      <c r="J1728" s="219"/>
      <c r="K1728" s="219"/>
      <c r="L1728" s="219"/>
      <c r="M1728" s="219"/>
      <c r="N1728" s="219"/>
      <c r="O1728" s="219"/>
      <c r="P1728" s="219"/>
      <c r="Q1728" s="221"/>
    </row>
    <row r="1729" spans="2:17" x14ac:dyDescent="0.2">
      <c r="B1729" s="219"/>
      <c r="C1729" s="219"/>
      <c r="D1729" s="219"/>
      <c r="E1729" s="219"/>
      <c r="F1729" s="219"/>
      <c r="G1729" s="219"/>
      <c r="H1729" s="219"/>
      <c r="I1729" s="219"/>
      <c r="J1729" s="219"/>
      <c r="K1729" s="219"/>
      <c r="L1729" s="219"/>
      <c r="M1729" s="219"/>
      <c r="N1729" s="219"/>
      <c r="O1729" s="219"/>
      <c r="P1729" s="219"/>
      <c r="Q1729" s="221"/>
    </row>
    <row r="1730" spans="2:17" x14ac:dyDescent="0.2">
      <c r="B1730" s="219"/>
      <c r="C1730" s="219"/>
      <c r="D1730" s="219"/>
      <c r="E1730" s="219"/>
      <c r="F1730" s="219"/>
      <c r="G1730" s="219"/>
      <c r="H1730" s="219"/>
      <c r="I1730" s="219"/>
      <c r="J1730" s="219"/>
      <c r="K1730" s="219"/>
      <c r="L1730" s="219"/>
      <c r="M1730" s="219"/>
      <c r="N1730" s="219"/>
      <c r="O1730" s="219"/>
      <c r="P1730" s="219"/>
      <c r="Q1730" s="221"/>
    </row>
    <row r="1731" spans="2:17" x14ac:dyDescent="0.2">
      <c r="B1731" s="219"/>
      <c r="C1731" s="219"/>
      <c r="D1731" s="219"/>
      <c r="E1731" s="219"/>
      <c r="F1731" s="219"/>
      <c r="G1731" s="219"/>
      <c r="H1731" s="219"/>
      <c r="I1731" s="219"/>
      <c r="J1731" s="219"/>
      <c r="K1731" s="219"/>
      <c r="L1731" s="219"/>
      <c r="M1731" s="219"/>
      <c r="N1731" s="219"/>
      <c r="O1731" s="219"/>
      <c r="P1731" s="219"/>
      <c r="Q1731" s="221"/>
    </row>
    <row r="1732" spans="2:17" x14ac:dyDescent="0.2">
      <c r="B1732" s="219"/>
      <c r="C1732" s="219"/>
      <c r="D1732" s="219"/>
      <c r="E1732" s="219"/>
      <c r="F1732" s="219"/>
      <c r="G1732" s="219"/>
      <c r="H1732" s="219"/>
      <c r="I1732" s="219"/>
      <c r="J1732" s="219"/>
      <c r="K1732" s="219"/>
      <c r="L1732" s="219"/>
      <c r="M1732" s="219"/>
      <c r="N1732" s="219"/>
      <c r="O1732" s="219"/>
      <c r="P1732" s="219"/>
      <c r="Q1732" s="221"/>
    </row>
    <row r="1733" spans="2:17" x14ac:dyDescent="0.2">
      <c r="B1733" s="219"/>
      <c r="C1733" s="219"/>
      <c r="D1733" s="219"/>
      <c r="E1733" s="219"/>
      <c r="F1733" s="219"/>
      <c r="G1733" s="219"/>
      <c r="H1733" s="219"/>
      <c r="I1733" s="219"/>
      <c r="J1733" s="219"/>
      <c r="K1733" s="219"/>
      <c r="L1733" s="219"/>
      <c r="M1733" s="219"/>
      <c r="N1733" s="219"/>
      <c r="O1733" s="219"/>
      <c r="P1733" s="219"/>
      <c r="Q1733" s="221"/>
    </row>
    <row r="1734" spans="2:17" x14ac:dyDescent="0.2">
      <c r="B1734" s="219"/>
      <c r="C1734" s="219"/>
      <c r="D1734" s="219"/>
      <c r="E1734" s="219"/>
      <c r="F1734" s="219"/>
      <c r="G1734" s="219"/>
      <c r="H1734" s="219"/>
      <c r="I1734" s="219"/>
      <c r="J1734" s="219"/>
      <c r="K1734" s="219"/>
      <c r="L1734" s="219"/>
      <c r="M1734" s="219"/>
      <c r="N1734" s="219"/>
      <c r="O1734" s="219"/>
      <c r="P1734" s="219"/>
      <c r="Q1734" s="221"/>
    </row>
    <row r="1735" spans="2:17" x14ac:dyDescent="0.2">
      <c r="B1735" s="219"/>
      <c r="C1735" s="219"/>
      <c r="D1735" s="219"/>
      <c r="E1735" s="219"/>
      <c r="F1735" s="219"/>
      <c r="G1735" s="219"/>
      <c r="H1735" s="219"/>
      <c r="I1735" s="219"/>
      <c r="J1735" s="219"/>
      <c r="K1735" s="219"/>
      <c r="L1735" s="219"/>
      <c r="M1735" s="219"/>
      <c r="N1735" s="219"/>
      <c r="O1735" s="219"/>
      <c r="P1735" s="219"/>
      <c r="Q1735" s="221"/>
    </row>
    <row r="1736" spans="2:17" x14ac:dyDescent="0.2">
      <c r="B1736" s="219"/>
      <c r="C1736" s="219"/>
      <c r="D1736" s="219"/>
      <c r="E1736" s="219"/>
      <c r="F1736" s="219"/>
      <c r="G1736" s="219"/>
      <c r="H1736" s="219"/>
      <c r="I1736" s="219"/>
      <c r="J1736" s="219"/>
      <c r="K1736" s="219"/>
      <c r="L1736" s="219"/>
      <c r="M1736" s="219"/>
      <c r="N1736" s="219"/>
      <c r="O1736" s="219"/>
      <c r="P1736" s="219"/>
      <c r="Q1736" s="221"/>
    </row>
    <row r="1737" spans="2:17" x14ac:dyDescent="0.2">
      <c r="B1737" s="219"/>
      <c r="C1737" s="219"/>
      <c r="D1737" s="219"/>
      <c r="E1737" s="219"/>
      <c r="F1737" s="219"/>
      <c r="G1737" s="219"/>
      <c r="H1737" s="219"/>
      <c r="I1737" s="219"/>
      <c r="J1737" s="219"/>
      <c r="K1737" s="219"/>
      <c r="L1737" s="219"/>
      <c r="M1737" s="219"/>
      <c r="N1737" s="219"/>
      <c r="O1737" s="219"/>
      <c r="P1737" s="219"/>
      <c r="Q1737" s="221"/>
    </row>
    <row r="1738" spans="2:17" x14ac:dyDescent="0.2">
      <c r="B1738" s="219"/>
      <c r="C1738" s="219"/>
      <c r="D1738" s="219"/>
      <c r="E1738" s="219"/>
      <c r="F1738" s="219"/>
      <c r="G1738" s="219"/>
      <c r="H1738" s="219"/>
      <c r="I1738" s="219"/>
      <c r="J1738" s="219"/>
      <c r="K1738" s="219"/>
      <c r="L1738" s="219"/>
      <c r="M1738" s="219"/>
      <c r="N1738" s="219"/>
      <c r="O1738" s="219"/>
      <c r="P1738" s="219"/>
      <c r="Q1738" s="221"/>
    </row>
    <row r="1739" spans="2:17" x14ac:dyDescent="0.2">
      <c r="B1739" s="219"/>
      <c r="C1739" s="219"/>
      <c r="D1739" s="219"/>
      <c r="E1739" s="219"/>
      <c r="F1739" s="219"/>
      <c r="G1739" s="219"/>
      <c r="H1739" s="219"/>
      <c r="I1739" s="219"/>
      <c r="J1739" s="219"/>
      <c r="K1739" s="219"/>
      <c r="L1739" s="219"/>
      <c r="M1739" s="219"/>
      <c r="N1739" s="219"/>
      <c r="O1739" s="219"/>
      <c r="P1739" s="219"/>
      <c r="Q1739" s="221"/>
    </row>
    <row r="1740" spans="2:17" x14ac:dyDescent="0.2">
      <c r="B1740" s="219"/>
      <c r="C1740" s="219"/>
      <c r="D1740" s="219"/>
      <c r="E1740" s="219"/>
      <c r="F1740" s="219"/>
      <c r="G1740" s="219"/>
      <c r="H1740" s="219"/>
      <c r="I1740" s="219"/>
      <c r="J1740" s="219"/>
      <c r="K1740" s="219"/>
      <c r="L1740" s="219"/>
      <c r="M1740" s="219"/>
      <c r="N1740" s="219"/>
      <c r="O1740" s="219"/>
      <c r="P1740" s="219"/>
      <c r="Q1740" s="221"/>
    </row>
    <row r="1741" spans="2:17" x14ac:dyDescent="0.2">
      <c r="B1741" s="219"/>
      <c r="C1741" s="219"/>
      <c r="D1741" s="219"/>
      <c r="E1741" s="219"/>
      <c r="F1741" s="219"/>
      <c r="G1741" s="219"/>
      <c r="H1741" s="219"/>
      <c r="I1741" s="219"/>
      <c r="J1741" s="219"/>
      <c r="K1741" s="219"/>
      <c r="L1741" s="219"/>
      <c r="M1741" s="219"/>
      <c r="N1741" s="219"/>
      <c r="O1741" s="219"/>
      <c r="P1741" s="219"/>
      <c r="Q1741" s="221"/>
    </row>
    <row r="1742" spans="2:17" x14ac:dyDescent="0.2">
      <c r="B1742" s="219"/>
      <c r="C1742" s="219"/>
      <c r="D1742" s="219"/>
      <c r="E1742" s="219"/>
      <c r="F1742" s="219"/>
      <c r="G1742" s="219"/>
      <c r="H1742" s="219"/>
      <c r="I1742" s="219"/>
      <c r="J1742" s="219"/>
      <c r="K1742" s="219"/>
      <c r="L1742" s="219"/>
      <c r="M1742" s="219"/>
      <c r="N1742" s="219"/>
      <c r="O1742" s="219"/>
      <c r="P1742" s="219"/>
      <c r="Q1742" s="221"/>
    </row>
    <row r="1743" spans="2:17" x14ac:dyDescent="0.2">
      <c r="B1743" s="219"/>
      <c r="C1743" s="219"/>
      <c r="D1743" s="219"/>
      <c r="E1743" s="219"/>
      <c r="F1743" s="219"/>
      <c r="G1743" s="219"/>
      <c r="H1743" s="219"/>
      <c r="I1743" s="219"/>
      <c r="J1743" s="219"/>
      <c r="K1743" s="219"/>
      <c r="L1743" s="219"/>
      <c r="M1743" s="219"/>
      <c r="N1743" s="219"/>
      <c r="O1743" s="219"/>
      <c r="P1743" s="219"/>
      <c r="Q1743" s="221"/>
    </row>
    <row r="1744" spans="2:17" x14ac:dyDescent="0.2">
      <c r="B1744" s="219"/>
      <c r="C1744" s="219"/>
      <c r="D1744" s="219"/>
      <c r="E1744" s="219"/>
      <c r="F1744" s="219"/>
      <c r="G1744" s="219"/>
      <c r="H1744" s="219"/>
      <c r="I1744" s="219"/>
      <c r="J1744" s="219"/>
      <c r="K1744" s="219"/>
      <c r="L1744" s="219"/>
      <c r="M1744" s="219"/>
      <c r="N1744" s="219"/>
      <c r="O1744" s="219"/>
      <c r="P1744" s="219"/>
      <c r="Q1744" s="221"/>
    </row>
    <row r="1745" spans="2:17" x14ac:dyDescent="0.2">
      <c r="B1745" s="219"/>
      <c r="C1745" s="219"/>
      <c r="D1745" s="219"/>
      <c r="E1745" s="219"/>
      <c r="F1745" s="219"/>
      <c r="G1745" s="219"/>
      <c r="H1745" s="219"/>
      <c r="I1745" s="219"/>
      <c r="J1745" s="219"/>
      <c r="K1745" s="219"/>
      <c r="L1745" s="219"/>
      <c r="M1745" s="219"/>
      <c r="N1745" s="219"/>
      <c r="O1745" s="219"/>
      <c r="P1745" s="219"/>
      <c r="Q1745" s="221"/>
    </row>
    <row r="1746" spans="2:17" x14ac:dyDescent="0.2">
      <c r="B1746" s="219"/>
      <c r="C1746" s="219"/>
      <c r="D1746" s="219"/>
      <c r="E1746" s="219"/>
      <c r="F1746" s="219"/>
      <c r="G1746" s="219"/>
      <c r="H1746" s="219"/>
      <c r="I1746" s="219"/>
      <c r="J1746" s="219"/>
      <c r="K1746" s="219"/>
      <c r="L1746" s="219"/>
      <c r="M1746" s="219"/>
      <c r="N1746" s="219"/>
      <c r="O1746" s="219"/>
      <c r="P1746" s="219"/>
      <c r="Q1746" s="221"/>
    </row>
    <row r="1747" spans="2:17" x14ac:dyDescent="0.2">
      <c r="B1747" s="219"/>
      <c r="C1747" s="219"/>
      <c r="D1747" s="219"/>
      <c r="E1747" s="219"/>
      <c r="F1747" s="219"/>
      <c r="G1747" s="219"/>
      <c r="H1747" s="219"/>
      <c r="I1747" s="219"/>
      <c r="J1747" s="219"/>
      <c r="K1747" s="219"/>
      <c r="L1747" s="219"/>
      <c r="M1747" s="219"/>
      <c r="N1747" s="219"/>
      <c r="O1747" s="219"/>
      <c r="P1747" s="219"/>
      <c r="Q1747" s="221"/>
    </row>
    <row r="1748" spans="2:17" x14ac:dyDescent="0.2">
      <c r="B1748" s="219"/>
      <c r="C1748" s="219"/>
      <c r="D1748" s="219"/>
      <c r="E1748" s="219"/>
      <c r="F1748" s="219"/>
      <c r="G1748" s="219"/>
      <c r="H1748" s="219"/>
      <c r="I1748" s="219"/>
      <c r="J1748" s="219"/>
      <c r="K1748" s="219"/>
      <c r="L1748" s="219"/>
      <c r="M1748" s="219"/>
      <c r="N1748" s="219"/>
      <c r="O1748" s="219"/>
      <c r="P1748" s="219"/>
      <c r="Q1748" s="221"/>
    </row>
    <row r="1749" spans="2:17" x14ac:dyDescent="0.2">
      <c r="B1749" s="219"/>
      <c r="C1749" s="219"/>
      <c r="D1749" s="219"/>
      <c r="E1749" s="219"/>
      <c r="F1749" s="219"/>
      <c r="G1749" s="219"/>
      <c r="H1749" s="219"/>
      <c r="I1749" s="219"/>
      <c r="J1749" s="219"/>
      <c r="K1749" s="219"/>
      <c r="L1749" s="219"/>
      <c r="M1749" s="219"/>
      <c r="N1749" s="219"/>
      <c r="O1749" s="219"/>
      <c r="P1749" s="219"/>
      <c r="Q1749" s="221"/>
    </row>
    <row r="1750" spans="2:17" x14ac:dyDescent="0.2">
      <c r="B1750" s="219"/>
      <c r="C1750" s="219"/>
      <c r="D1750" s="219"/>
      <c r="E1750" s="219"/>
      <c r="F1750" s="219"/>
      <c r="G1750" s="219"/>
      <c r="H1750" s="219"/>
      <c r="I1750" s="219"/>
      <c r="J1750" s="219"/>
      <c r="K1750" s="219"/>
      <c r="L1750" s="219"/>
      <c r="M1750" s="219"/>
      <c r="N1750" s="219"/>
      <c r="O1750" s="219"/>
      <c r="P1750" s="219"/>
      <c r="Q1750" s="221"/>
    </row>
    <row r="1751" spans="2:17" x14ac:dyDescent="0.2">
      <c r="B1751" s="219"/>
      <c r="C1751" s="219"/>
      <c r="D1751" s="219"/>
      <c r="E1751" s="219"/>
      <c r="F1751" s="219"/>
      <c r="G1751" s="219"/>
      <c r="H1751" s="219"/>
      <c r="I1751" s="219"/>
      <c r="J1751" s="219"/>
      <c r="K1751" s="219"/>
      <c r="L1751" s="219"/>
      <c r="M1751" s="219"/>
      <c r="N1751" s="219"/>
      <c r="O1751" s="219"/>
      <c r="P1751" s="219"/>
      <c r="Q1751" s="221"/>
    </row>
    <row r="1752" spans="2:17" x14ac:dyDescent="0.2">
      <c r="B1752" s="219"/>
      <c r="C1752" s="219"/>
      <c r="D1752" s="219"/>
      <c r="E1752" s="219"/>
      <c r="F1752" s="219"/>
      <c r="G1752" s="219"/>
      <c r="H1752" s="219"/>
      <c r="I1752" s="219"/>
      <c r="J1752" s="219"/>
      <c r="K1752" s="219"/>
      <c r="L1752" s="219"/>
      <c r="M1752" s="219"/>
      <c r="N1752" s="219"/>
      <c r="O1752" s="219"/>
      <c r="P1752" s="219"/>
      <c r="Q1752" s="221"/>
    </row>
    <row r="1753" spans="2:17" x14ac:dyDescent="0.2">
      <c r="B1753" s="219"/>
      <c r="C1753" s="219"/>
      <c r="D1753" s="219"/>
      <c r="E1753" s="219"/>
      <c r="F1753" s="219"/>
      <c r="G1753" s="219"/>
      <c r="H1753" s="219"/>
      <c r="I1753" s="219"/>
      <c r="J1753" s="219"/>
      <c r="K1753" s="219"/>
      <c r="L1753" s="219"/>
      <c r="M1753" s="219"/>
      <c r="N1753" s="219"/>
      <c r="O1753" s="219"/>
      <c r="P1753" s="219"/>
      <c r="Q1753" s="221"/>
    </row>
    <row r="1754" spans="2:17" x14ac:dyDescent="0.2">
      <c r="B1754" s="219"/>
      <c r="C1754" s="219"/>
      <c r="D1754" s="219"/>
      <c r="E1754" s="219"/>
      <c r="F1754" s="219"/>
      <c r="G1754" s="219"/>
      <c r="H1754" s="219"/>
      <c r="I1754" s="219"/>
      <c r="J1754" s="219"/>
      <c r="K1754" s="219"/>
      <c r="L1754" s="219"/>
      <c r="M1754" s="219"/>
      <c r="N1754" s="219"/>
      <c r="O1754" s="219"/>
      <c r="P1754" s="219"/>
      <c r="Q1754" s="221"/>
    </row>
    <row r="1755" spans="2:17" x14ac:dyDescent="0.2">
      <c r="B1755" s="219"/>
      <c r="C1755" s="219"/>
      <c r="D1755" s="219"/>
      <c r="E1755" s="219"/>
      <c r="F1755" s="219"/>
      <c r="G1755" s="219"/>
      <c r="H1755" s="219"/>
      <c r="I1755" s="219"/>
      <c r="J1755" s="219"/>
      <c r="K1755" s="219"/>
      <c r="L1755" s="219"/>
      <c r="M1755" s="219"/>
      <c r="N1755" s="219"/>
      <c r="O1755" s="219"/>
      <c r="P1755" s="219"/>
      <c r="Q1755" s="221"/>
    </row>
    <row r="1756" spans="2:17" x14ac:dyDescent="0.2">
      <c r="B1756" s="219"/>
      <c r="C1756" s="219"/>
      <c r="D1756" s="219"/>
      <c r="E1756" s="219"/>
      <c r="F1756" s="219"/>
      <c r="G1756" s="219"/>
      <c r="H1756" s="219"/>
      <c r="I1756" s="219"/>
      <c r="J1756" s="219"/>
      <c r="K1756" s="219"/>
      <c r="L1756" s="219"/>
      <c r="M1756" s="219"/>
      <c r="N1756" s="219"/>
      <c r="O1756" s="219"/>
      <c r="P1756" s="219"/>
      <c r="Q1756" s="221"/>
    </row>
    <row r="1757" spans="2:17" x14ac:dyDescent="0.2">
      <c r="B1757" s="219"/>
      <c r="C1757" s="219"/>
      <c r="D1757" s="219"/>
      <c r="E1757" s="219"/>
      <c r="F1757" s="219"/>
      <c r="G1757" s="219"/>
      <c r="H1757" s="219"/>
      <c r="I1757" s="219"/>
      <c r="J1757" s="219"/>
      <c r="K1757" s="219"/>
      <c r="L1757" s="219"/>
      <c r="M1757" s="219"/>
      <c r="N1757" s="219"/>
      <c r="O1757" s="219"/>
      <c r="P1757" s="219"/>
      <c r="Q1757" s="221"/>
    </row>
    <row r="1758" spans="2:17" x14ac:dyDescent="0.2">
      <c r="B1758" s="219"/>
      <c r="C1758" s="219"/>
      <c r="D1758" s="219"/>
      <c r="E1758" s="219"/>
      <c r="F1758" s="219"/>
      <c r="G1758" s="219"/>
      <c r="H1758" s="219"/>
      <c r="I1758" s="219"/>
      <c r="J1758" s="219"/>
      <c r="K1758" s="219"/>
      <c r="L1758" s="219"/>
      <c r="M1758" s="219"/>
      <c r="N1758" s="219"/>
      <c r="O1758" s="219"/>
      <c r="P1758" s="219"/>
      <c r="Q1758" s="221"/>
    </row>
    <row r="1759" spans="2:17" x14ac:dyDescent="0.2">
      <c r="B1759" s="219"/>
      <c r="C1759" s="219"/>
      <c r="D1759" s="219"/>
      <c r="E1759" s="219"/>
      <c r="F1759" s="219"/>
      <c r="G1759" s="219"/>
      <c r="H1759" s="219"/>
      <c r="I1759" s="219"/>
      <c r="J1759" s="219"/>
      <c r="K1759" s="219"/>
      <c r="L1759" s="219"/>
      <c r="M1759" s="219"/>
      <c r="N1759" s="219"/>
      <c r="O1759" s="219"/>
      <c r="P1759" s="219"/>
      <c r="Q1759" s="221"/>
    </row>
    <row r="1760" spans="2:17" x14ac:dyDescent="0.2">
      <c r="B1760" s="219"/>
      <c r="C1760" s="219"/>
      <c r="D1760" s="219"/>
      <c r="E1760" s="219"/>
      <c r="F1760" s="219"/>
      <c r="G1760" s="219"/>
      <c r="H1760" s="219"/>
      <c r="I1760" s="219"/>
      <c r="J1760" s="219"/>
      <c r="K1760" s="219"/>
      <c r="L1760" s="219"/>
      <c r="M1760" s="219"/>
      <c r="N1760" s="219"/>
      <c r="O1760" s="219"/>
      <c r="P1760" s="219"/>
      <c r="Q1760" s="221"/>
    </row>
    <row r="1761" spans="2:17" x14ac:dyDescent="0.2">
      <c r="B1761" s="219"/>
      <c r="C1761" s="219"/>
      <c r="D1761" s="219"/>
      <c r="E1761" s="219"/>
      <c r="F1761" s="219"/>
      <c r="G1761" s="219"/>
      <c r="H1761" s="219"/>
      <c r="I1761" s="219"/>
      <c r="J1761" s="219"/>
      <c r="K1761" s="219"/>
      <c r="L1761" s="219"/>
      <c r="M1761" s="219"/>
      <c r="N1761" s="219"/>
      <c r="O1761" s="219"/>
      <c r="P1761" s="219"/>
      <c r="Q1761" s="221"/>
    </row>
    <row r="1762" spans="2:17" x14ac:dyDescent="0.2">
      <c r="B1762" s="219"/>
      <c r="C1762" s="219"/>
      <c r="D1762" s="219"/>
      <c r="E1762" s="219"/>
      <c r="F1762" s="219"/>
      <c r="G1762" s="219"/>
      <c r="H1762" s="219"/>
      <c r="I1762" s="219"/>
      <c r="J1762" s="219"/>
      <c r="K1762" s="219"/>
      <c r="L1762" s="219"/>
      <c r="M1762" s="219"/>
      <c r="N1762" s="219"/>
      <c r="O1762" s="219"/>
      <c r="P1762" s="219"/>
      <c r="Q1762" s="221"/>
    </row>
    <row r="1763" spans="2:17" x14ac:dyDescent="0.2">
      <c r="B1763" s="219"/>
      <c r="C1763" s="219"/>
      <c r="D1763" s="219"/>
      <c r="E1763" s="219"/>
      <c r="F1763" s="219"/>
      <c r="G1763" s="219"/>
      <c r="H1763" s="219"/>
      <c r="I1763" s="219"/>
      <c r="J1763" s="219"/>
      <c r="K1763" s="219"/>
      <c r="L1763" s="219"/>
      <c r="M1763" s="219"/>
      <c r="N1763" s="219"/>
      <c r="O1763" s="219"/>
      <c r="P1763" s="219"/>
      <c r="Q1763" s="221"/>
    </row>
    <row r="1764" spans="2:17" x14ac:dyDescent="0.2">
      <c r="B1764" s="219"/>
      <c r="C1764" s="219"/>
      <c r="D1764" s="219"/>
      <c r="E1764" s="219"/>
      <c r="F1764" s="219"/>
      <c r="G1764" s="219"/>
      <c r="H1764" s="219"/>
      <c r="I1764" s="219"/>
      <c r="J1764" s="219"/>
      <c r="K1764" s="219"/>
      <c r="L1764" s="219"/>
      <c r="M1764" s="219"/>
      <c r="N1764" s="219"/>
      <c r="O1764" s="219"/>
      <c r="P1764" s="219"/>
      <c r="Q1764" s="221"/>
    </row>
    <row r="1765" spans="2:17" x14ac:dyDescent="0.2">
      <c r="B1765" s="219"/>
      <c r="C1765" s="219"/>
      <c r="D1765" s="219"/>
      <c r="E1765" s="219"/>
      <c r="F1765" s="219"/>
      <c r="G1765" s="219"/>
      <c r="H1765" s="219"/>
      <c r="I1765" s="219"/>
      <c r="J1765" s="219"/>
      <c r="K1765" s="219"/>
      <c r="L1765" s="219"/>
      <c r="M1765" s="219"/>
      <c r="N1765" s="219"/>
      <c r="O1765" s="219"/>
      <c r="P1765" s="219"/>
      <c r="Q1765" s="221"/>
    </row>
    <row r="1766" spans="2:17" x14ac:dyDescent="0.2">
      <c r="B1766" s="219"/>
      <c r="C1766" s="219"/>
      <c r="D1766" s="219"/>
      <c r="E1766" s="219"/>
      <c r="F1766" s="219"/>
      <c r="G1766" s="219"/>
      <c r="H1766" s="219"/>
      <c r="I1766" s="219"/>
      <c r="J1766" s="219"/>
      <c r="K1766" s="219"/>
      <c r="L1766" s="219"/>
      <c r="M1766" s="219"/>
      <c r="N1766" s="219"/>
      <c r="O1766" s="219"/>
      <c r="P1766" s="219"/>
      <c r="Q1766" s="221"/>
    </row>
    <row r="1767" spans="2:17" x14ac:dyDescent="0.2">
      <c r="B1767" s="219"/>
      <c r="C1767" s="219"/>
      <c r="D1767" s="219"/>
      <c r="E1767" s="219"/>
      <c r="F1767" s="219"/>
      <c r="G1767" s="219"/>
      <c r="H1767" s="219"/>
      <c r="I1767" s="219"/>
      <c r="J1767" s="219"/>
      <c r="K1767" s="219"/>
      <c r="L1767" s="219"/>
      <c r="M1767" s="219"/>
      <c r="N1767" s="219"/>
      <c r="O1767" s="219"/>
      <c r="P1767" s="219"/>
      <c r="Q1767" s="221"/>
    </row>
    <row r="1768" spans="2:17" x14ac:dyDescent="0.2">
      <c r="B1768" s="219"/>
      <c r="C1768" s="219"/>
      <c r="D1768" s="219"/>
      <c r="E1768" s="219"/>
      <c r="F1768" s="219"/>
      <c r="G1768" s="219"/>
      <c r="H1768" s="219"/>
      <c r="I1768" s="219"/>
      <c r="J1768" s="219"/>
      <c r="K1768" s="219"/>
      <c r="L1768" s="219"/>
      <c r="M1768" s="219"/>
      <c r="N1768" s="219"/>
      <c r="O1768" s="219"/>
      <c r="P1768" s="219"/>
      <c r="Q1768" s="221"/>
    </row>
    <row r="1769" spans="2:17" x14ac:dyDescent="0.2">
      <c r="B1769" s="219"/>
      <c r="C1769" s="219"/>
      <c r="D1769" s="219"/>
      <c r="E1769" s="219"/>
      <c r="F1769" s="219"/>
      <c r="G1769" s="219"/>
      <c r="H1769" s="219"/>
      <c r="I1769" s="219"/>
      <c r="J1769" s="219"/>
      <c r="K1769" s="219"/>
      <c r="L1769" s="219"/>
      <c r="M1769" s="219"/>
      <c r="N1769" s="219"/>
      <c r="O1769" s="219"/>
      <c r="P1769" s="219"/>
      <c r="Q1769" s="221"/>
    </row>
    <row r="1770" spans="2:17" x14ac:dyDescent="0.2">
      <c r="B1770" s="219"/>
      <c r="C1770" s="219"/>
      <c r="D1770" s="219"/>
      <c r="E1770" s="219"/>
      <c r="F1770" s="219"/>
      <c r="G1770" s="219"/>
      <c r="H1770" s="219"/>
      <c r="I1770" s="219"/>
      <c r="J1770" s="219"/>
      <c r="K1770" s="219"/>
      <c r="L1770" s="219"/>
      <c r="M1770" s="219"/>
      <c r="N1770" s="219"/>
      <c r="O1770" s="219"/>
      <c r="P1770" s="219"/>
      <c r="Q1770" s="221"/>
    </row>
    <row r="1771" spans="2:17" x14ac:dyDescent="0.2">
      <c r="B1771" s="219"/>
      <c r="C1771" s="219"/>
      <c r="D1771" s="219"/>
      <c r="E1771" s="219"/>
      <c r="F1771" s="219"/>
      <c r="G1771" s="219"/>
      <c r="H1771" s="219"/>
      <c r="I1771" s="219"/>
      <c r="J1771" s="219"/>
      <c r="K1771" s="219"/>
      <c r="L1771" s="219"/>
      <c r="M1771" s="219"/>
      <c r="N1771" s="219"/>
      <c r="O1771" s="219"/>
      <c r="P1771" s="219"/>
      <c r="Q1771" s="221"/>
    </row>
    <row r="1772" spans="2:17" x14ac:dyDescent="0.2">
      <c r="B1772" s="219"/>
      <c r="C1772" s="219"/>
      <c r="D1772" s="219"/>
      <c r="E1772" s="219"/>
      <c r="F1772" s="219"/>
      <c r="G1772" s="219"/>
      <c r="H1772" s="219"/>
      <c r="I1772" s="219"/>
      <c r="J1772" s="219"/>
      <c r="K1772" s="219"/>
      <c r="L1772" s="219"/>
      <c r="M1772" s="219"/>
      <c r="N1772" s="219"/>
      <c r="O1772" s="219"/>
      <c r="P1772" s="219"/>
      <c r="Q1772" s="221"/>
    </row>
    <row r="1773" spans="2:17" x14ac:dyDescent="0.2">
      <c r="B1773" s="219"/>
      <c r="C1773" s="219"/>
      <c r="D1773" s="219"/>
      <c r="E1773" s="219"/>
      <c r="F1773" s="219"/>
      <c r="G1773" s="219"/>
      <c r="H1773" s="219"/>
      <c r="I1773" s="219"/>
      <c r="J1773" s="219"/>
      <c r="K1773" s="219"/>
      <c r="L1773" s="219"/>
      <c r="M1773" s="219"/>
      <c r="N1773" s="219"/>
      <c r="O1773" s="219"/>
      <c r="P1773" s="219"/>
      <c r="Q1773" s="221"/>
    </row>
    <row r="1774" spans="2:17" x14ac:dyDescent="0.2">
      <c r="B1774" s="219"/>
      <c r="C1774" s="219"/>
      <c r="D1774" s="219"/>
      <c r="E1774" s="219"/>
      <c r="F1774" s="219"/>
      <c r="G1774" s="219"/>
      <c r="H1774" s="219"/>
      <c r="I1774" s="219"/>
      <c r="J1774" s="219"/>
      <c r="K1774" s="219"/>
      <c r="L1774" s="219"/>
      <c r="M1774" s="219"/>
      <c r="N1774" s="219"/>
      <c r="O1774" s="219"/>
      <c r="P1774" s="219"/>
      <c r="Q1774" s="221"/>
    </row>
    <row r="1775" spans="2:17" x14ac:dyDescent="0.2">
      <c r="B1775" s="219"/>
      <c r="C1775" s="219"/>
      <c r="D1775" s="219"/>
      <c r="E1775" s="219"/>
      <c r="F1775" s="219"/>
      <c r="G1775" s="219"/>
      <c r="H1775" s="219"/>
      <c r="I1775" s="219"/>
      <c r="J1775" s="219"/>
      <c r="K1775" s="219"/>
      <c r="L1775" s="219"/>
      <c r="M1775" s="219"/>
      <c r="N1775" s="219"/>
      <c r="O1775" s="219"/>
      <c r="P1775" s="219"/>
      <c r="Q1775" s="221"/>
    </row>
    <row r="1776" spans="2:17" x14ac:dyDescent="0.2">
      <c r="B1776" s="219"/>
      <c r="C1776" s="219"/>
      <c r="D1776" s="219"/>
      <c r="E1776" s="219"/>
      <c r="F1776" s="219"/>
      <c r="G1776" s="219"/>
      <c r="H1776" s="219"/>
      <c r="I1776" s="219"/>
      <c r="J1776" s="219"/>
      <c r="K1776" s="219"/>
      <c r="L1776" s="219"/>
      <c r="M1776" s="219"/>
      <c r="N1776" s="219"/>
      <c r="O1776" s="219"/>
      <c r="P1776" s="219"/>
      <c r="Q1776" s="221"/>
    </row>
    <row r="1777" spans="2:17" x14ac:dyDescent="0.2">
      <c r="B1777" s="219"/>
      <c r="C1777" s="219"/>
      <c r="D1777" s="219"/>
      <c r="E1777" s="219"/>
      <c r="F1777" s="219"/>
      <c r="G1777" s="219"/>
      <c r="H1777" s="219"/>
      <c r="I1777" s="219"/>
      <c r="J1777" s="219"/>
      <c r="K1777" s="219"/>
      <c r="L1777" s="219"/>
      <c r="M1777" s="219"/>
      <c r="N1777" s="219"/>
      <c r="O1777" s="219"/>
      <c r="P1777" s="219"/>
      <c r="Q1777" s="221"/>
    </row>
    <row r="1778" spans="2:17" x14ac:dyDescent="0.2">
      <c r="B1778" s="219"/>
      <c r="C1778" s="219"/>
      <c r="D1778" s="219"/>
      <c r="E1778" s="219"/>
      <c r="F1778" s="219"/>
      <c r="G1778" s="219"/>
      <c r="H1778" s="219"/>
      <c r="I1778" s="219"/>
      <c r="J1778" s="219"/>
      <c r="K1778" s="219"/>
      <c r="L1778" s="219"/>
      <c r="M1778" s="219"/>
      <c r="N1778" s="219"/>
      <c r="O1778" s="219"/>
      <c r="P1778" s="219"/>
      <c r="Q1778" s="221"/>
    </row>
    <row r="1779" spans="2:17" x14ac:dyDescent="0.2">
      <c r="B1779" s="219"/>
      <c r="C1779" s="219"/>
      <c r="D1779" s="219"/>
      <c r="E1779" s="219"/>
      <c r="F1779" s="219"/>
      <c r="G1779" s="219"/>
      <c r="H1779" s="219"/>
      <c r="I1779" s="219"/>
      <c r="J1779" s="219"/>
      <c r="K1779" s="219"/>
      <c r="L1779" s="219"/>
      <c r="M1779" s="219"/>
      <c r="N1779" s="219"/>
      <c r="O1779" s="219"/>
      <c r="P1779" s="219"/>
      <c r="Q1779" s="221"/>
    </row>
    <row r="1780" spans="2:17" x14ac:dyDescent="0.2">
      <c r="B1780" s="219"/>
      <c r="C1780" s="219"/>
      <c r="D1780" s="219"/>
      <c r="E1780" s="219"/>
      <c r="F1780" s="219"/>
      <c r="G1780" s="219"/>
      <c r="H1780" s="219"/>
      <c r="I1780" s="219"/>
      <c r="J1780" s="219"/>
      <c r="K1780" s="219"/>
      <c r="L1780" s="219"/>
      <c r="M1780" s="219"/>
      <c r="N1780" s="219"/>
      <c r="O1780" s="219"/>
      <c r="P1780" s="219"/>
      <c r="Q1780" s="221"/>
    </row>
    <row r="1781" spans="2:17" x14ac:dyDescent="0.2">
      <c r="B1781" s="219"/>
      <c r="C1781" s="219"/>
      <c r="D1781" s="219"/>
      <c r="E1781" s="219"/>
      <c r="F1781" s="219"/>
      <c r="G1781" s="219"/>
      <c r="H1781" s="219"/>
      <c r="I1781" s="219"/>
      <c r="J1781" s="219"/>
      <c r="K1781" s="219"/>
      <c r="L1781" s="219"/>
      <c r="M1781" s="219"/>
      <c r="N1781" s="219"/>
      <c r="O1781" s="219"/>
      <c r="P1781" s="219"/>
      <c r="Q1781" s="221"/>
    </row>
    <row r="1782" spans="2:17" x14ac:dyDescent="0.2">
      <c r="B1782" s="219"/>
      <c r="C1782" s="219"/>
      <c r="D1782" s="219"/>
      <c r="E1782" s="219"/>
      <c r="F1782" s="219"/>
      <c r="G1782" s="219"/>
      <c r="H1782" s="219"/>
      <c r="I1782" s="219"/>
      <c r="J1782" s="219"/>
      <c r="K1782" s="219"/>
      <c r="L1782" s="219"/>
      <c r="M1782" s="219"/>
      <c r="N1782" s="219"/>
      <c r="O1782" s="219"/>
      <c r="P1782" s="219"/>
      <c r="Q1782" s="221"/>
    </row>
    <row r="1783" spans="2:17" x14ac:dyDescent="0.2">
      <c r="B1783" s="219"/>
      <c r="C1783" s="219"/>
      <c r="D1783" s="219"/>
      <c r="E1783" s="219"/>
      <c r="F1783" s="219"/>
      <c r="G1783" s="219"/>
      <c r="H1783" s="219"/>
      <c r="I1783" s="219"/>
      <c r="J1783" s="219"/>
      <c r="K1783" s="219"/>
      <c r="L1783" s="219"/>
      <c r="M1783" s="219"/>
      <c r="N1783" s="219"/>
      <c r="O1783" s="219"/>
      <c r="P1783" s="219"/>
      <c r="Q1783" s="221"/>
    </row>
    <row r="1784" spans="2:17" x14ac:dyDescent="0.2">
      <c r="B1784" s="219"/>
      <c r="C1784" s="219"/>
      <c r="D1784" s="219"/>
      <c r="E1784" s="219"/>
      <c r="F1784" s="219"/>
      <c r="G1784" s="219"/>
      <c r="H1784" s="219"/>
      <c r="I1784" s="219"/>
      <c r="J1784" s="219"/>
      <c r="K1784" s="219"/>
      <c r="L1784" s="219"/>
      <c r="M1784" s="219"/>
      <c r="N1784" s="219"/>
      <c r="O1784" s="219"/>
      <c r="P1784" s="219"/>
      <c r="Q1784" s="221"/>
    </row>
    <row r="1785" spans="2:17" x14ac:dyDescent="0.2">
      <c r="B1785" s="219"/>
      <c r="C1785" s="219"/>
      <c r="D1785" s="219"/>
      <c r="E1785" s="219"/>
      <c r="F1785" s="219"/>
      <c r="G1785" s="219"/>
      <c r="H1785" s="219"/>
      <c r="I1785" s="219"/>
      <c r="J1785" s="219"/>
      <c r="K1785" s="219"/>
      <c r="L1785" s="219"/>
      <c r="M1785" s="219"/>
      <c r="N1785" s="219"/>
      <c r="O1785" s="219"/>
      <c r="P1785" s="219"/>
      <c r="Q1785" s="221"/>
    </row>
    <row r="1786" spans="2:17" x14ac:dyDescent="0.2">
      <c r="B1786" s="219"/>
      <c r="C1786" s="219"/>
      <c r="D1786" s="219"/>
      <c r="E1786" s="219"/>
      <c r="F1786" s="219"/>
      <c r="G1786" s="219"/>
      <c r="H1786" s="219"/>
      <c r="I1786" s="219"/>
      <c r="J1786" s="219"/>
      <c r="K1786" s="219"/>
      <c r="L1786" s="219"/>
      <c r="M1786" s="219"/>
      <c r="N1786" s="219"/>
      <c r="O1786" s="219"/>
      <c r="P1786" s="219"/>
      <c r="Q1786" s="221"/>
    </row>
    <row r="1787" spans="2:17" x14ac:dyDescent="0.2">
      <c r="B1787" s="219"/>
      <c r="C1787" s="219"/>
      <c r="D1787" s="219"/>
      <c r="E1787" s="219"/>
      <c r="F1787" s="219"/>
      <c r="G1787" s="219"/>
      <c r="H1787" s="219"/>
      <c r="I1787" s="219"/>
      <c r="J1787" s="219"/>
      <c r="K1787" s="219"/>
      <c r="L1787" s="219"/>
      <c r="M1787" s="219"/>
      <c r="N1787" s="219"/>
      <c r="O1787" s="219"/>
      <c r="P1787" s="219"/>
      <c r="Q1787" s="221"/>
    </row>
    <row r="1788" spans="2:17" x14ac:dyDescent="0.2">
      <c r="B1788" s="219"/>
      <c r="C1788" s="219"/>
      <c r="D1788" s="219"/>
      <c r="E1788" s="219"/>
      <c r="F1788" s="219"/>
      <c r="G1788" s="219"/>
      <c r="H1788" s="219"/>
      <c r="I1788" s="219"/>
      <c r="J1788" s="219"/>
      <c r="K1788" s="219"/>
      <c r="L1788" s="219"/>
      <c r="M1788" s="219"/>
      <c r="N1788" s="219"/>
      <c r="O1788" s="219"/>
      <c r="P1788" s="219"/>
      <c r="Q1788" s="221"/>
    </row>
    <row r="1789" spans="2:17" x14ac:dyDescent="0.2">
      <c r="B1789" s="219"/>
      <c r="C1789" s="219"/>
      <c r="D1789" s="219"/>
      <c r="E1789" s="219"/>
      <c r="F1789" s="219"/>
      <c r="G1789" s="219"/>
      <c r="H1789" s="219"/>
      <c r="I1789" s="219"/>
      <c r="J1789" s="219"/>
      <c r="K1789" s="219"/>
      <c r="L1789" s="219"/>
      <c r="M1789" s="219"/>
      <c r="N1789" s="219"/>
      <c r="O1789" s="219"/>
      <c r="P1789" s="219"/>
      <c r="Q1789" s="221"/>
    </row>
    <row r="1790" spans="2:17" x14ac:dyDescent="0.2">
      <c r="B1790" s="219"/>
      <c r="C1790" s="219"/>
      <c r="D1790" s="219"/>
      <c r="E1790" s="219"/>
      <c r="F1790" s="219"/>
      <c r="G1790" s="219"/>
      <c r="H1790" s="219"/>
      <c r="I1790" s="219"/>
      <c r="J1790" s="219"/>
      <c r="K1790" s="219"/>
      <c r="L1790" s="219"/>
      <c r="M1790" s="219"/>
      <c r="N1790" s="219"/>
      <c r="O1790" s="219"/>
      <c r="P1790" s="219"/>
      <c r="Q1790" s="221"/>
    </row>
    <row r="1791" spans="2:17" x14ac:dyDescent="0.2">
      <c r="B1791" s="219"/>
      <c r="C1791" s="219"/>
      <c r="D1791" s="219"/>
      <c r="E1791" s="219"/>
      <c r="F1791" s="219"/>
      <c r="G1791" s="219"/>
      <c r="H1791" s="219"/>
      <c r="I1791" s="219"/>
      <c r="J1791" s="219"/>
      <c r="K1791" s="219"/>
      <c r="L1791" s="219"/>
      <c r="M1791" s="219"/>
      <c r="N1791" s="219"/>
      <c r="O1791" s="219"/>
      <c r="P1791" s="219"/>
      <c r="Q1791" s="221"/>
    </row>
    <row r="1792" spans="2:17" x14ac:dyDescent="0.2">
      <c r="B1792" s="219"/>
      <c r="C1792" s="219"/>
      <c r="D1792" s="219"/>
      <c r="E1792" s="219"/>
      <c r="F1792" s="219"/>
      <c r="G1792" s="219"/>
      <c r="H1792" s="219"/>
      <c r="I1792" s="219"/>
      <c r="J1792" s="219"/>
      <c r="K1792" s="219"/>
      <c r="L1792" s="219"/>
      <c r="M1792" s="219"/>
      <c r="N1792" s="219"/>
      <c r="O1792" s="219"/>
      <c r="P1792" s="219"/>
      <c r="Q1792" s="221"/>
    </row>
    <row r="1793" spans="2:17" x14ac:dyDescent="0.2">
      <c r="B1793" s="219"/>
      <c r="C1793" s="219"/>
      <c r="D1793" s="219"/>
      <c r="E1793" s="219"/>
      <c r="F1793" s="219"/>
      <c r="G1793" s="219"/>
      <c r="H1793" s="219"/>
      <c r="I1793" s="219"/>
      <c r="J1793" s="219"/>
      <c r="K1793" s="219"/>
      <c r="L1793" s="219"/>
      <c r="M1793" s="219"/>
      <c r="N1793" s="219"/>
      <c r="O1793" s="219"/>
      <c r="P1793" s="219"/>
      <c r="Q1793" s="221"/>
    </row>
    <row r="1794" spans="2:17" x14ac:dyDescent="0.2">
      <c r="B1794" s="219"/>
      <c r="C1794" s="219"/>
      <c r="D1794" s="219"/>
      <c r="E1794" s="219"/>
      <c r="F1794" s="219"/>
      <c r="G1794" s="219"/>
      <c r="H1794" s="219"/>
      <c r="I1794" s="219"/>
      <c r="J1794" s="219"/>
      <c r="K1794" s="219"/>
      <c r="L1794" s="219"/>
      <c r="M1794" s="219"/>
      <c r="N1794" s="219"/>
      <c r="O1794" s="219"/>
      <c r="P1794" s="219"/>
      <c r="Q1794" s="221"/>
    </row>
    <row r="1795" spans="2:17" x14ac:dyDescent="0.2">
      <c r="B1795" s="219"/>
      <c r="C1795" s="219"/>
      <c r="D1795" s="219"/>
      <c r="E1795" s="219"/>
      <c r="F1795" s="219"/>
      <c r="G1795" s="219"/>
      <c r="H1795" s="219"/>
      <c r="I1795" s="219"/>
      <c r="J1795" s="219"/>
      <c r="K1795" s="219"/>
      <c r="L1795" s="219"/>
      <c r="M1795" s="219"/>
      <c r="N1795" s="219"/>
      <c r="O1795" s="219"/>
      <c r="P1795" s="219"/>
      <c r="Q1795" s="221"/>
    </row>
    <row r="1796" spans="2:17" x14ac:dyDescent="0.2">
      <c r="B1796" s="219"/>
      <c r="C1796" s="219"/>
      <c r="D1796" s="219"/>
      <c r="E1796" s="219"/>
      <c r="F1796" s="219"/>
      <c r="G1796" s="219"/>
      <c r="H1796" s="219"/>
      <c r="I1796" s="219"/>
      <c r="J1796" s="219"/>
      <c r="K1796" s="219"/>
      <c r="L1796" s="219"/>
      <c r="M1796" s="219"/>
      <c r="N1796" s="219"/>
      <c r="O1796" s="219"/>
      <c r="P1796" s="219"/>
      <c r="Q1796" s="221"/>
    </row>
    <row r="1797" spans="2:17" x14ac:dyDescent="0.2">
      <c r="B1797" s="219"/>
      <c r="C1797" s="219"/>
      <c r="D1797" s="219"/>
      <c r="E1797" s="219"/>
      <c r="F1797" s="219"/>
      <c r="G1797" s="219"/>
      <c r="H1797" s="219"/>
      <c r="I1797" s="219"/>
      <c r="J1797" s="219"/>
      <c r="K1797" s="219"/>
      <c r="L1797" s="219"/>
      <c r="M1797" s="219"/>
      <c r="N1797" s="219"/>
      <c r="O1797" s="219"/>
      <c r="P1797" s="219"/>
      <c r="Q1797" s="221"/>
    </row>
    <row r="1798" spans="2:17" x14ac:dyDescent="0.2">
      <c r="B1798" s="219"/>
      <c r="C1798" s="219"/>
      <c r="D1798" s="219"/>
      <c r="E1798" s="219"/>
      <c r="F1798" s="219"/>
      <c r="G1798" s="219"/>
      <c r="H1798" s="219"/>
      <c r="I1798" s="219"/>
      <c r="J1798" s="219"/>
      <c r="K1798" s="219"/>
      <c r="L1798" s="219"/>
      <c r="M1798" s="219"/>
      <c r="N1798" s="219"/>
      <c r="O1798" s="219"/>
      <c r="P1798" s="219"/>
      <c r="Q1798" s="221"/>
    </row>
    <row r="1799" spans="2:17" x14ac:dyDescent="0.2">
      <c r="B1799" s="219"/>
      <c r="C1799" s="219"/>
      <c r="D1799" s="219"/>
      <c r="E1799" s="219"/>
      <c r="F1799" s="219"/>
      <c r="G1799" s="219"/>
      <c r="H1799" s="219"/>
      <c r="I1799" s="219"/>
      <c r="J1799" s="219"/>
      <c r="K1799" s="219"/>
      <c r="L1799" s="219"/>
      <c r="M1799" s="219"/>
      <c r="N1799" s="219"/>
      <c r="O1799" s="219"/>
      <c r="P1799" s="219"/>
      <c r="Q1799" s="221"/>
    </row>
    <row r="1800" spans="2:17" x14ac:dyDescent="0.2">
      <c r="B1800" s="219"/>
      <c r="C1800" s="219"/>
      <c r="D1800" s="219"/>
      <c r="E1800" s="219"/>
      <c r="F1800" s="219"/>
      <c r="G1800" s="219"/>
      <c r="H1800" s="219"/>
      <c r="I1800" s="219"/>
      <c r="J1800" s="219"/>
      <c r="K1800" s="219"/>
      <c r="L1800" s="219"/>
      <c r="M1800" s="219"/>
      <c r="N1800" s="219"/>
      <c r="O1800" s="219"/>
      <c r="P1800" s="219"/>
      <c r="Q1800" s="221"/>
    </row>
    <row r="1801" spans="2:17" x14ac:dyDescent="0.2">
      <c r="B1801" s="219"/>
      <c r="C1801" s="219"/>
      <c r="D1801" s="219"/>
      <c r="E1801" s="219"/>
      <c r="F1801" s="219"/>
      <c r="G1801" s="219"/>
      <c r="H1801" s="219"/>
      <c r="I1801" s="219"/>
      <c r="J1801" s="219"/>
      <c r="K1801" s="219"/>
      <c r="L1801" s="219"/>
      <c r="M1801" s="219"/>
      <c r="N1801" s="219"/>
      <c r="O1801" s="219"/>
      <c r="P1801" s="219"/>
      <c r="Q1801" s="221"/>
    </row>
    <row r="1802" spans="2:17" x14ac:dyDescent="0.2">
      <c r="B1802" s="219"/>
      <c r="C1802" s="219"/>
      <c r="D1802" s="219"/>
      <c r="E1802" s="219"/>
      <c r="F1802" s="219"/>
      <c r="G1802" s="219"/>
      <c r="H1802" s="219"/>
      <c r="I1802" s="219"/>
      <c r="J1802" s="219"/>
      <c r="K1802" s="219"/>
      <c r="L1802" s="219"/>
      <c r="M1802" s="219"/>
      <c r="N1802" s="219"/>
      <c r="O1802" s="219"/>
      <c r="P1802" s="219"/>
      <c r="Q1802" s="221"/>
    </row>
    <row r="1803" spans="2:17" x14ac:dyDescent="0.2">
      <c r="B1803" s="219"/>
      <c r="C1803" s="219"/>
      <c r="D1803" s="219"/>
      <c r="E1803" s="219"/>
      <c r="F1803" s="219"/>
      <c r="G1803" s="219"/>
      <c r="H1803" s="219"/>
      <c r="I1803" s="219"/>
      <c r="J1803" s="219"/>
      <c r="K1803" s="219"/>
      <c r="L1803" s="219"/>
      <c r="M1803" s="219"/>
      <c r="N1803" s="219"/>
      <c r="O1803" s="219"/>
      <c r="P1803" s="219"/>
      <c r="Q1803" s="221"/>
    </row>
    <row r="1804" spans="2:17" x14ac:dyDescent="0.2">
      <c r="B1804" s="219"/>
      <c r="C1804" s="219"/>
      <c r="D1804" s="219"/>
      <c r="E1804" s="219"/>
      <c r="F1804" s="219"/>
      <c r="G1804" s="219"/>
      <c r="H1804" s="219"/>
      <c r="I1804" s="219"/>
      <c r="J1804" s="219"/>
      <c r="K1804" s="219"/>
      <c r="L1804" s="219"/>
      <c r="M1804" s="219"/>
      <c r="N1804" s="219"/>
      <c r="O1804" s="219"/>
      <c r="P1804" s="219"/>
      <c r="Q1804" s="221"/>
    </row>
    <row r="1805" spans="2:17" x14ac:dyDescent="0.2">
      <c r="B1805" s="219"/>
      <c r="C1805" s="219"/>
      <c r="D1805" s="219"/>
      <c r="E1805" s="219"/>
      <c r="F1805" s="219"/>
      <c r="G1805" s="219"/>
      <c r="H1805" s="219"/>
      <c r="I1805" s="219"/>
      <c r="J1805" s="219"/>
      <c r="K1805" s="219"/>
      <c r="L1805" s="219"/>
      <c r="M1805" s="219"/>
      <c r="N1805" s="219"/>
      <c r="O1805" s="219"/>
      <c r="P1805" s="219"/>
      <c r="Q1805" s="221"/>
    </row>
    <row r="1806" spans="2:17" x14ac:dyDescent="0.2">
      <c r="B1806" s="219"/>
      <c r="C1806" s="219"/>
      <c r="D1806" s="219"/>
      <c r="E1806" s="219"/>
      <c r="F1806" s="219"/>
      <c r="G1806" s="219"/>
      <c r="H1806" s="219"/>
      <c r="I1806" s="219"/>
      <c r="J1806" s="219"/>
      <c r="K1806" s="219"/>
      <c r="L1806" s="219"/>
      <c r="M1806" s="219"/>
      <c r="N1806" s="219"/>
      <c r="O1806" s="219"/>
      <c r="P1806" s="219"/>
      <c r="Q1806" s="221"/>
    </row>
    <row r="1807" spans="2:17" x14ac:dyDescent="0.2">
      <c r="B1807" s="219"/>
      <c r="C1807" s="219"/>
      <c r="D1807" s="219"/>
      <c r="E1807" s="219"/>
      <c r="F1807" s="219"/>
      <c r="G1807" s="219"/>
      <c r="H1807" s="219"/>
      <c r="I1807" s="219"/>
      <c r="J1807" s="219"/>
      <c r="K1807" s="219"/>
      <c r="L1807" s="219"/>
      <c r="M1807" s="219"/>
      <c r="N1807" s="219"/>
      <c r="O1807" s="219"/>
      <c r="P1807" s="219"/>
      <c r="Q1807" s="221"/>
    </row>
    <row r="1808" spans="2:17" x14ac:dyDescent="0.2">
      <c r="B1808" s="219"/>
      <c r="C1808" s="219"/>
      <c r="D1808" s="219"/>
      <c r="E1808" s="219"/>
      <c r="F1808" s="219"/>
      <c r="G1808" s="219"/>
      <c r="H1808" s="219"/>
      <c r="I1808" s="219"/>
      <c r="J1808" s="219"/>
      <c r="K1808" s="219"/>
      <c r="L1808" s="219"/>
      <c r="M1808" s="219"/>
      <c r="N1808" s="219"/>
      <c r="O1808" s="219"/>
      <c r="P1808" s="219"/>
      <c r="Q1808" s="221"/>
    </row>
    <row r="1809" spans="2:17" x14ac:dyDescent="0.2">
      <c r="B1809" s="219"/>
      <c r="C1809" s="219"/>
      <c r="D1809" s="219"/>
      <c r="E1809" s="219"/>
      <c r="F1809" s="219"/>
      <c r="G1809" s="219"/>
      <c r="H1809" s="219"/>
      <c r="I1809" s="219"/>
      <c r="J1809" s="219"/>
      <c r="K1809" s="219"/>
      <c r="L1809" s="219"/>
      <c r="M1809" s="219"/>
      <c r="N1809" s="219"/>
      <c r="O1809" s="219"/>
      <c r="P1809" s="219"/>
      <c r="Q1809" s="221"/>
    </row>
    <row r="1810" spans="2:17" x14ac:dyDescent="0.2">
      <c r="B1810" s="219"/>
      <c r="C1810" s="219"/>
      <c r="D1810" s="219"/>
      <c r="E1810" s="219"/>
      <c r="F1810" s="219"/>
      <c r="G1810" s="219"/>
      <c r="H1810" s="219"/>
      <c r="I1810" s="219"/>
      <c r="J1810" s="219"/>
      <c r="K1810" s="219"/>
      <c r="L1810" s="219"/>
      <c r="M1810" s="219"/>
      <c r="N1810" s="219"/>
      <c r="O1810" s="219"/>
      <c r="P1810" s="219"/>
      <c r="Q1810" s="221"/>
    </row>
    <row r="1811" spans="2:17" x14ac:dyDescent="0.2">
      <c r="B1811" s="219"/>
      <c r="C1811" s="219"/>
      <c r="D1811" s="219"/>
      <c r="E1811" s="219"/>
      <c r="F1811" s="219"/>
      <c r="G1811" s="219"/>
      <c r="H1811" s="219"/>
      <c r="I1811" s="219"/>
      <c r="J1811" s="219"/>
      <c r="K1811" s="219"/>
      <c r="L1811" s="219"/>
      <c r="M1811" s="219"/>
      <c r="N1811" s="219"/>
      <c r="O1811" s="219"/>
      <c r="P1811" s="219"/>
      <c r="Q1811" s="221"/>
    </row>
    <row r="1812" spans="2:17" x14ac:dyDescent="0.2">
      <c r="B1812" s="219"/>
      <c r="C1812" s="219"/>
      <c r="D1812" s="219"/>
      <c r="E1812" s="219"/>
      <c r="F1812" s="219"/>
      <c r="G1812" s="219"/>
      <c r="H1812" s="219"/>
      <c r="I1812" s="219"/>
      <c r="J1812" s="219"/>
      <c r="K1812" s="219"/>
      <c r="L1812" s="219"/>
      <c r="M1812" s="219"/>
      <c r="N1812" s="219"/>
      <c r="O1812" s="219"/>
      <c r="P1812" s="219"/>
      <c r="Q1812" s="221"/>
    </row>
    <row r="1813" spans="2:17" x14ac:dyDescent="0.2">
      <c r="B1813" s="219"/>
      <c r="C1813" s="219"/>
      <c r="D1813" s="219"/>
      <c r="E1813" s="219"/>
      <c r="F1813" s="219"/>
      <c r="G1813" s="219"/>
      <c r="H1813" s="219"/>
      <c r="I1813" s="219"/>
      <c r="J1813" s="219"/>
      <c r="K1813" s="219"/>
      <c r="L1813" s="219"/>
      <c r="M1813" s="219"/>
      <c r="N1813" s="219"/>
      <c r="O1813" s="219"/>
      <c r="P1813" s="219"/>
      <c r="Q1813" s="221"/>
    </row>
    <row r="1814" spans="2:17" x14ac:dyDescent="0.2">
      <c r="B1814" s="219"/>
      <c r="C1814" s="219"/>
      <c r="D1814" s="219"/>
      <c r="E1814" s="219"/>
      <c r="F1814" s="219"/>
      <c r="G1814" s="219"/>
      <c r="H1814" s="219"/>
      <c r="I1814" s="219"/>
      <c r="J1814" s="219"/>
      <c r="K1814" s="219"/>
      <c r="L1814" s="219"/>
      <c r="M1814" s="219"/>
      <c r="N1814" s="219"/>
      <c r="O1814" s="219"/>
      <c r="P1814" s="219"/>
      <c r="Q1814" s="221"/>
    </row>
    <row r="1815" spans="2:17" x14ac:dyDescent="0.2">
      <c r="B1815" s="219"/>
      <c r="C1815" s="219"/>
      <c r="D1815" s="219"/>
      <c r="E1815" s="219"/>
      <c r="F1815" s="219"/>
      <c r="G1815" s="219"/>
      <c r="H1815" s="219"/>
      <c r="I1815" s="219"/>
      <c r="J1815" s="219"/>
      <c r="K1815" s="219"/>
      <c r="L1815" s="219"/>
      <c r="M1815" s="219"/>
      <c r="N1815" s="219"/>
      <c r="O1815" s="219"/>
      <c r="P1815" s="219"/>
      <c r="Q1815" s="221"/>
    </row>
    <row r="1816" spans="2:17" x14ac:dyDescent="0.2">
      <c r="B1816" s="219"/>
      <c r="C1816" s="219"/>
      <c r="D1816" s="219"/>
      <c r="E1816" s="219"/>
      <c r="F1816" s="219"/>
      <c r="G1816" s="219"/>
      <c r="H1816" s="219"/>
      <c r="I1816" s="219"/>
      <c r="J1816" s="219"/>
      <c r="K1816" s="219"/>
      <c r="L1816" s="219"/>
      <c r="M1816" s="219"/>
      <c r="N1816" s="219"/>
      <c r="O1816" s="219"/>
      <c r="P1816" s="219"/>
      <c r="Q1816" s="221"/>
    </row>
    <row r="1817" spans="2:17" x14ac:dyDescent="0.2">
      <c r="B1817" s="219"/>
      <c r="C1817" s="219"/>
      <c r="D1817" s="219"/>
      <c r="E1817" s="219"/>
      <c r="F1817" s="219"/>
      <c r="G1817" s="219"/>
      <c r="H1817" s="219"/>
      <c r="I1817" s="219"/>
      <c r="J1817" s="219"/>
      <c r="K1817" s="219"/>
      <c r="L1817" s="219"/>
      <c r="M1817" s="219"/>
      <c r="N1817" s="219"/>
      <c r="O1817" s="219"/>
      <c r="P1817" s="219"/>
      <c r="Q1817" s="221"/>
    </row>
    <row r="1818" spans="2:17" x14ac:dyDescent="0.2">
      <c r="B1818" s="219"/>
      <c r="C1818" s="219"/>
      <c r="D1818" s="219"/>
      <c r="E1818" s="219"/>
      <c r="F1818" s="219"/>
      <c r="G1818" s="219"/>
      <c r="H1818" s="219"/>
      <c r="I1818" s="219"/>
      <c r="J1818" s="219"/>
      <c r="K1818" s="219"/>
      <c r="L1818" s="219"/>
      <c r="M1818" s="219"/>
      <c r="N1818" s="219"/>
      <c r="O1818" s="219"/>
      <c r="P1818" s="219"/>
      <c r="Q1818" s="221"/>
    </row>
    <row r="1819" spans="2:17" x14ac:dyDescent="0.2">
      <c r="B1819" s="219"/>
      <c r="C1819" s="219"/>
      <c r="D1819" s="219"/>
      <c r="E1819" s="219"/>
      <c r="F1819" s="219"/>
      <c r="G1819" s="219"/>
      <c r="H1819" s="219"/>
      <c r="I1819" s="219"/>
      <c r="J1819" s="219"/>
      <c r="K1819" s="219"/>
      <c r="L1819" s="219"/>
      <c r="M1819" s="219"/>
      <c r="N1819" s="219"/>
      <c r="O1819" s="219"/>
      <c r="P1819" s="219"/>
      <c r="Q1819" s="221"/>
    </row>
    <row r="1820" spans="2:17" x14ac:dyDescent="0.2">
      <c r="B1820" s="219"/>
      <c r="C1820" s="219"/>
      <c r="D1820" s="219"/>
      <c r="E1820" s="219"/>
      <c r="F1820" s="219"/>
      <c r="G1820" s="219"/>
      <c r="H1820" s="219"/>
      <c r="I1820" s="219"/>
      <c r="J1820" s="219"/>
      <c r="K1820" s="219"/>
      <c r="L1820" s="219"/>
      <c r="M1820" s="219"/>
      <c r="N1820" s="219"/>
      <c r="O1820" s="219"/>
      <c r="P1820" s="219"/>
      <c r="Q1820" s="221"/>
    </row>
    <row r="1821" spans="2:17" x14ac:dyDescent="0.2">
      <c r="B1821" s="219"/>
      <c r="C1821" s="219"/>
      <c r="D1821" s="219"/>
      <c r="E1821" s="219"/>
      <c r="F1821" s="219"/>
      <c r="G1821" s="219"/>
      <c r="H1821" s="219"/>
      <c r="I1821" s="219"/>
      <c r="J1821" s="219"/>
      <c r="K1821" s="219"/>
      <c r="L1821" s="219"/>
      <c r="M1821" s="219"/>
      <c r="N1821" s="219"/>
      <c r="O1821" s="219"/>
      <c r="P1821" s="219"/>
      <c r="Q1821" s="221"/>
    </row>
    <row r="1822" spans="2:17" x14ac:dyDescent="0.2">
      <c r="B1822" s="219"/>
      <c r="C1822" s="219"/>
      <c r="D1822" s="219"/>
      <c r="E1822" s="219"/>
      <c r="F1822" s="219"/>
      <c r="G1822" s="219"/>
      <c r="H1822" s="219"/>
      <c r="I1822" s="219"/>
      <c r="J1822" s="219"/>
      <c r="K1822" s="219"/>
      <c r="L1822" s="219"/>
      <c r="M1822" s="219"/>
      <c r="N1822" s="219"/>
      <c r="O1822" s="219"/>
      <c r="P1822" s="219"/>
      <c r="Q1822" s="221"/>
    </row>
    <row r="1823" spans="2:17" x14ac:dyDescent="0.2">
      <c r="B1823" s="219"/>
      <c r="C1823" s="219"/>
      <c r="D1823" s="219"/>
      <c r="E1823" s="219"/>
      <c r="F1823" s="219"/>
      <c r="G1823" s="219"/>
      <c r="H1823" s="219"/>
      <c r="I1823" s="219"/>
      <c r="J1823" s="219"/>
      <c r="K1823" s="219"/>
      <c r="L1823" s="219"/>
      <c r="M1823" s="219"/>
      <c r="N1823" s="219"/>
      <c r="O1823" s="219"/>
      <c r="P1823" s="219"/>
      <c r="Q1823" s="221"/>
    </row>
    <row r="1824" spans="2:17" x14ac:dyDescent="0.2">
      <c r="B1824" s="219"/>
      <c r="C1824" s="219"/>
      <c r="D1824" s="219"/>
      <c r="E1824" s="219"/>
      <c r="F1824" s="219"/>
      <c r="G1824" s="219"/>
      <c r="H1824" s="219"/>
      <c r="I1824" s="219"/>
      <c r="J1824" s="219"/>
      <c r="K1824" s="219"/>
      <c r="L1824" s="219"/>
      <c r="M1824" s="219"/>
      <c r="N1824" s="219"/>
      <c r="O1824" s="219"/>
      <c r="P1824" s="219"/>
      <c r="Q1824" s="221"/>
    </row>
    <row r="1825" spans="2:17" x14ac:dyDescent="0.2">
      <c r="B1825" s="219"/>
      <c r="C1825" s="219"/>
      <c r="D1825" s="219"/>
      <c r="E1825" s="219"/>
      <c r="F1825" s="219"/>
      <c r="G1825" s="219"/>
      <c r="H1825" s="219"/>
      <c r="I1825" s="219"/>
      <c r="J1825" s="219"/>
      <c r="K1825" s="219"/>
      <c r="L1825" s="219"/>
      <c r="M1825" s="219"/>
      <c r="N1825" s="219"/>
      <c r="O1825" s="219"/>
      <c r="P1825" s="219"/>
      <c r="Q1825" s="221"/>
    </row>
    <row r="1826" spans="2:17" x14ac:dyDescent="0.2">
      <c r="B1826" s="219"/>
      <c r="C1826" s="219"/>
      <c r="D1826" s="219"/>
      <c r="E1826" s="219"/>
      <c r="F1826" s="219"/>
      <c r="G1826" s="219"/>
      <c r="H1826" s="219"/>
      <c r="I1826" s="219"/>
      <c r="J1826" s="219"/>
      <c r="K1826" s="219"/>
      <c r="L1826" s="219"/>
      <c r="M1826" s="219"/>
      <c r="N1826" s="219"/>
      <c r="O1826" s="219"/>
      <c r="P1826" s="219"/>
      <c r="Q1826" s="221"/>
    </row>
    <row r="1827" spans="2:17" x14ac:dyDescent="0.2">
      <c r="B1827" s="219"/>
      <c r="C1827" s="219"/>
      <c r="D1827" s="219"/>
      <c r="E1827" s="219"/>
      <c r="F1827" s="219"/>
      <c r="G1827" s="219"/>
      <c r="H1827" s="219"/>
      <c r="I1827" s="219"/>
      <c r="J1827" s="219"/>
      <c r="K1827" s="219"/>
      <c r="L1827" s="219"/>
      <c r="M1827" s="219"/>
      <c r="N1827" s="219"/>
      <c r="O1827" s="219"/>
      <c r="P1827" s="219"/>
      <c r="Q1827" s="221"/>
    </row>
    <row r="1828" spans="2:17" x14ac:dyDescent="0.2">
      <c r="B1828" s="219"/>
      <c r="C1828" s="219"/>
      <c r="D1828" s="219"/>
      <c r="E1828" s="219"/>
      <c r="F1828" s="219"/>
      <c r="G1828" s="219"/>
      <c r="H1828" s="219"/>
      <c r="I1828" s="219"/>
      <c r="J1828" s="219"/>
      <c r="K1828" s="219"/>
      <c r="L1828" s="219"/>
      <c r="M1828" s="219"/>
      <c r="N1828" s="219"/>
      <c r="O1828" s="219"/>
      <c r="P1828" s="219"/>
      <c r="Q1828" s="221"/>
    </row>
    <row r="1829" spans="2:17" x14ac:dyDescent="0.2">
      <c r="B1829" s="219"/>
      <c r="C1829" s="219"/>
      <c r="D1829" s="219"/>
      <c r="E1829" s="219"/>
      <c r="F1829" s="219"/>
      <c r="G1829" s="219"/>
      <c r="H1829" s="219"/>
      <c r="I1829" s="219"/>
      <c r="J1829" s="219"/>
      <c r="K1829" s="219"/>
      <c r="L1829" s="219"/>
      <c r="M1829" s="219"/>
      <c r="N1829" s="219"/>
      <c r="O1829" s="219"/>
      <c r="P1829" s="219"/>
      <c r="Q1829" s="221"/>
    </row>
    <row r="1830" spans="2:17" x14ac:dyDescent="0.2">
      <c r="B1830" s="219"/>
      <c r="C1830" s="219"/>
      <c r="D1830" s="219"/>
      <c r="E1830" s="219"/>
      <c r="F1830" s="219"/>
      <c r="G1830" s="219"/>
      <c r="H1830" s="219"/>
      <c r="I1830" s="219"/>
      <c r="J1830" s="219"/>
      <c r="K1830" s="219"/>
      <c r="L1830" s="219"/>
      <c r="M1830" s="219"/>
      <c r="N1830" s="219"/>
      <c r="O1830" s="219"/>
      <c r="P1830" s="219"/>
      <c r="Q1830" s="221"/>
    </row>
    <row r="1831" spans="2:17" x14ac:dyDescent="0.2">
      <c r="B1831" s="219"/>
      <c r="C1831" s="219"/>
      <c r="D1831" s="219"/>
      <c r="E1831" s="219"/>
      <c r="F1831" s="219"/>
      <c r="G1831" s="219"/>
      <c r="H1831" s="219"/>
      <c r="I1831" s="219"/>
      <c r="J1831" s="219"/>
      <c r="K1831" s="219"/>
      <c r="L1831" s="219"/>
      <c r="M1831" s="219"/>
      <c r="N1831" s="219"/>
      <c r="O1831" s="219"/>
      <c r="P1831" s="219"/>
      <c r="Q1831" s="221"/>
    </row>
    <row r="1832" spans="2:17" x14ac:dyDescent="0.2">
      <c r="B1832" s="219"/>
      <c r="C1832" s="219"/>
      <c r="D1832" s="219"/>
      <c r="E1832" s="219"/>
      <c r="F1832" s="219"/>
      <c r="G1832" s="219"/>
      <c r="H1832" s="219"/>
      <c r="I1832" s="219"/>
      <c r="J1832" s="219"/>
      <c r="K1832" s="219"/>
      <c r="L1832" s="219"/>
      <c r="M1832" s="219"/>
      <c r="N1832" s="219"/>
      <c r="O1832" s="219"/>
      <c r="P1832" s="219"/>
      <c r="Q1832" s="221"/>
    </row>
    <row r="1833" spans="2:17" x14ac:dyDescent="0.2">
      <c r="B1833" s="219"/>
      <c r="C1833" s="219"/>
      <c r="D1833" s="219"/>
      <c r="E1833" s="219"/>
      <c r="F1833" s="219"/>
      <c r="G1833" s="219"/>
      <c r="H1833" s="219"/>
      <c r="I1833" s="219"/>
      <c r="J1833" s="219"/>
      <c r="K1833" s="219"/>
      <c r="L1833" s="219"/>
      <c r="M1833" s="219"/>
      <c r="N1833" s="219"/>
      <c r="O1833" s="219"/>
      <c r="P1833" s="219"/>
      <c r="Q1833" s="221"/>
    </row>
    <row r="1834" spans="2:17" x14ac:dyDescent="0.2">
      <c r="B1834" s="219"/>
      <c r="C1834" s="219"/>
      <c r="D1834" s="219"/>
      <c r="E1834" s="219"/>
      <c r="F1834" s="219"/>
      <c r="G1834" s="219"/>
      <c r="H1834" s="219"/>
      <c r="I1834" s="219"/>
      <c r="J1834" s="219"/>
      <c r="K1834" s="219"/>
      <c r="L1834" s="219"/>
      <c r="M1834" s="219"/>
      <c r="N1834" s="219"/>
      <c r="O1834" s="219"/>
      <c r="P1834" s="219"/>
      <c r="Q1834" s="221"/>
    </row>
    <row r="1835" spans="2:17" x14ac:dyDescent="0.2">
      <c r="B1835" s="219"/>
      <c r="C1835" s="219"/>
      <c r="D1835" s="219"/>
      <c r="E1835" s="219"/>
      <c r="F1835" s="219"/>
      <c r="G1835" s="219"/>
      <c r="H1835" s="219"/>
      <c r="I1835" s="219"/>
      <c r="J1835" s="219"/>
      <c r="K1835" s="219"/>
      <c r="L1835" s="219"/>
      <c r="M1835" s="219"/>
      <c r="N1835" s="219"/>
      <c r="O1835" s="219"/>
      <c r="P1835" s="219"/>
      <c r="Q1835" s="221"/>
    </row>
    <row r="1836" spans="2:17" x14ac:dyDescent="0.2">
      <c r="B1836" s="219"/>
      <c r="C1836" s="219"/>
      <c r="D1836" s="219"/>
      <c r="E1836" s="219"/>
      <c r="F1836" s="219"/>
      <c r="G1836" s="219"/>
      <c r="H1836" s="219"/>
      <c r="I1836" s="219"/>
      <c r="J1836" s="219"/>
      <c r="K1836" s="219"/>
      <c r="L1836" s="219"/>
      <c r="M1836" s="219"/>
      <c r="N1836" s="219"/>
      <c r="O1836" s="219"/>
      <c r="P1836" s="219"/>
      <c r="Q1836" s="221"/>
    </row>
    <row r="1837" spans="2:17" x14ac:dyDescent="0.2">
      <c r="B1837" s="219"/>
      <c r="C1837" s="219"/>
      <c r="D1837" s="219"/>
      <c r="E1837" s="219"/>
      <c r="F1837" s="219"/>
      <c r="G1837" s="219"/>
      <c r="H1837" s="219"/>
      <c r="I1837" s="219"/>
      <c r="J1837" s="219"/>
      <c r="K1837" s="219"/>
      <c r="L1837" s="219"/>
      <c r="M1837" s="219"/>
      <c r="N1837" s="219"/>
      <c r="O1837" s="219"/>
      <c r="P1837" s="219"/>
      <c r="Q1837" s="221"/>
    </row>
    <row r="1838" spans="2:17" x14ac:dyDescent="0.2">
      <c r="B1838" s="219"/>
      <c r="C1838" s="219"/>
      <c r="D1838" s="219"/>
      <c r="E1838" s="219"/>
      <c r="F1838" s="219"/>
      <c r="G1838" s="219"/>
      <c r="H1838" s="219"/>
      <c r="I1838" s="219"/>
      <c r="J1838" s="219"/>
      <c r="K1838" s="219"/>
      <c r="L1838" s="219"/>
      <c r="M1838" s="219"/>
      <c r="N1838" s="219"/>
      <c r="O1838" s="219"/>
      <c r="P1838" s="219"/>
      <c r="Q1838" s="221"/>
    </row>
    <row r="1839" spans="2:17" x14ac:dyDescent="0.2">
      <c r="B1839" s="219"/>
      <c r="C1839" s="219"/>
      <c r="D1839" s="219"/>
      <c r="E1839" s="219"/>
      <c r="F1839" s="219"/>
      <c r="G1839" s="219"/>
      <c r="H1839" s="219"/>
      <c r="I1839" s="219"/>
      <c r="J1839" s="219"/>
      <c r="K1839" s="219"/>
      <c r="L1839" s="219"/>
      <c r="M1839" s="219"/>
      <c r="N1839" s="219"/>
      <c r="O1839" s="219"/>
      <c r="P1839" s="219"/>
      <c r="Q1839" s="221"/>
    </row>
    <row r="1840" spans="2:17" x14ac:dyDescent="0.2">
      <c r="B1840" s="219"/>
      <c r="C1840" s="219"/>
      <c r="D1840" s="219"/>
      <c r="E1840" s="219"/>
      <c r="F1840" s="219"/>
      <c r="G1840" s="219"/>
      <c r="H1840" s="219"/>
      <c r="I1840" s="219"/>
      <c r="J1840" s="219"/>
      <c r="K1840" s="219"/>
      <c r="L1840" s="219"/>
      <c r="M1840" s="219"/>
      <c r="N1840" s="219"/>
      <c r="O1840" s="219"/>
      <c r="P1840" s="219"/>
      <c r="Q1840" s="221"/>
    </row>
    <row r="1841" spans="2:17" x14ac:dyDescent="0.2">
      <c r="B1841" s="219"/>
      <c r="C1841" s="219"/>
      <c r="D1841" s="219"/>
      <c r="E1841" s="219"/>
      <c r="F1841" s="219"/>
      <c r="G1841" s="219"/>
      <c r="H1841" s="219"/>
      <c r="I1841" s="219"/>
      <c r="J1841" s="219"/>
      <c r="K1841" s="219"/>
      <c r="L1841" s="219"/>
      <c r="M1841" s="219"/>
      <c r="N1841" s="219"/>
      <c r="O1841" s="219"/>
      <c r="P1841" s="219"/>
      <c r="Q1841" s="221"/>
    </row>
    <row r="1842" spans="2:17" x14ac:dyDescent="0.2">
      <c r="B1842" s="219"/>
      <c r="C1842" s="219"/>
      <c r="D1842" s="219"/>
      <c r="E1842" s="219"/>
      <c r="F1842" s="219"/>
      <c r="G1842" s="219"/>
      <c r="H1842" s="219"/>
      <c r="I1842" s="219"/>
      <c r="J1842" s="219"/>
      <c r="K1842" s="219"/>
      <c r="L1842" s="219"/>
      <c r="M1842" s="219"/>
      <c r="N1842" s="219"/>
      <c r="O1842" s="219"/>
      <c r="P1842" s="219"/>
      <c r="Q1842" s="221"/>
    </row>
    <row r="1843" spans="2:17" x14ac:dyDescent="0.2">
      <c r="B1843" s="219"/>
      <c r="C1843" s="219"/>
      <c r="D1843" s="219"/>
      <c r="E1843" s="219"/>
      <c r="F1843" s="219"/>
      <c r="G1843" s="219"/>
      <c r="H1843" s="219"/>
      <c r="I1843" s="219"/>
      <c r="J1843" s="219"/>
      <c r="K1843" s="219"/>
      <c r="L1843" s="219"/>
      <c r="M1843" s="219"/>
      <c r="N1843" s="219"/>
      <c r="O1843" s="219"/>
      <c r="P1843" s="219"/>
      <c r="Q1843" s="221"/>
    </row>
    <row r="1844" spans="2:17" x14ac:dyDescent="0.2">
      <c r="B1844" s="219"/>
      <c r="C1844" s="219"/>
      <c r="D1844" s="219"/>
      <c r="E1844" s="219"/>
      <c r="F1844" s="219"/>
      <c r="G1844" s="219"/>
      <c r="H1844" s="219"/>
      <c r="I1844" s="219"/>
      <c r="J1844" s="219"/>
      <c r="K1844" s="219"/>
      <c r="L1844" s="219"/>
      <c r="M1844" s="219"/>
      <c r="N1844" s="219"/>
      <c r="O1844" s="219"/>
      <c r="P1844" s="219"/>
      <c r="Q1844" s="221"/>
    </row>
    <row r="1845" spans="2:17" x14ac:dyDescent="0.2">
      <c r="B1845" s="219"/>
      <c r="C1845" s="219"/>
      <c r="D1845" s="219"/>
      <c r="E1845" s="219"/>
      <c r="F1845" s="219"/>
      <c r="G1845" s="219"/>
      <c r="H1845" s="219"/>
      <c r="I1845" s="219"/>
      <c r="J1845" s="219"/>
      <c r="K1845" s="219"/>
      <c r="L1845" s="219"/>
      <c r="M1845" s="219"/>
      <c r="N1845" s="219"/>
      <c r="O1845" s="219"/>
      <c r="P1845" s="219"/>
      <c r="Q1845" s="221"/>
    </row>
    <row r="1846" spans="2:17" x14ac:dyDescent="0.2">
      <c r="B1846" s="219"/>
      <c r="C1846" s="219"/>
      <c r="D1846" s="219"/>
      <c r="E1846" s="219"/>
      <c r="F1846" s="219"/>
      <c r="G1846" s="219"/>
      <c r="H1846" s="219"/>
      <c r="I1846" s="219"/>
      <c r="J1846" s="219"/>
      <c r="K1846" s="219"/>
      <c r="L1846" s="219"/>
      <c r="M1846" s="219"/>
      <c r="N1846" s="219"/>
      <c r="O1846" s="219"/>
      <c r="P1846" s="219"/>
      <c r="Q1846" s="221"/>
    </row>
    <row r="1847" spans="2:17" x14ac:dyDescent="0.2">
      <c r="B1847" s="219"/>
      <c r="C1847" s="219"/>
      <c r="D1847" s="219"/>
      <c r="E1847" s="219"/>
      <c r="F1847" s="219"/>
      <c r="G1847" s="219"/>
      <c r="H1847" s="219"/>
      <c r="I1847" s="219"/>
      <c r="J1847" s="219"/>
      <c r="K1847" s="219"/>
      <c r="L1847" s="219"/>
      <c r="M1847" s="219"/>
      <c r="N1847" s="219"/>
      <c r="O1847" s="219"/>
      <c r="P1847" s="219"/>
      <c r="Q1847" s="221"/>
    </row>
    <row r="1848" spans="2:17" x14ac:dyDescent="0.2">
      <c r="B1848" s="219"/>
      <c r="C1848" s="219"/>
      <c r="D1848" s="219"/>
      <c r="E1848" s="219"/>
      <c r="F1848" s="219"/>
      <c r="G1848" s="219"/>
      <c r="H1848" s="219"/>
      <c r="I1848" s="219"/>
      <c r="J1848" s="219"/>
      <c r="K1848" s="219"/>
      <c r="L1848" s="219"/>
      <c r="M1848" s="219"/>
      <c r="N1848" s="219"/>
      <c r="O1848" s="219"/>
      <c r="P1848" s="219"/>
      <c r="Q1848" s="221"/>
    </row>
    <row r="1849" spans="2:17" x14ac:dyDescent="0.2">
      <c r="B1849" s="219"/>
      <c r="C1849" s="219"/>
      <c r="D1849" s="219"/>
      <c r="E1849" s="219"/>
      <c r="F1849" s="219"/>
      <c r="G1849" s="219"/>
      <c r="H1849" s="219"/>
      <c r="I1849" s="219"/>
      <c r="J1849" s="219"/>
      <c r="K1849" s="219"/>
      <c r="L1849" s="219"/>
      <c r="M1849" s="219"/>
      <c r="N1849" s="219"/>
      <c r="O1849" s="219"/>
      <c r="P1849" s="219"/>
      <c r="Q1849" s="221"/>
    </row>
    <row r="1850" spans="2:17" x14ac:dyDescent="0.2">
      <c r="B1850" s="219"/>
      <c r="C1850" s="219"/>
      <c r="D1850" s="219"/>
      <c r="E1850" s="219"/>
      <c r="F1850" s="219"/>
      <c r="G1850" s="219"/>
      <c r="H1850" s="219"/>
      <c r="I1850" s="219"/>
      <c r="J1850" s="219"/>
      <c r="K1850" s="219"/>
      <c r="L1850" s="219"/>
      <c r="M1850" s="219"/>
      <c r="N1850" s="219"/>
      <c r="O1850" s="219"/>
      <c r="P1850" s="219"/>
      <c r="Q1850" s="221"/>
    </row>
    <row r="1851" spans="2:17" x14ac:dyDescent="0.2">
      <c r="B1851" s="219"/>
      <c r="C1851" s="219"/>
      <c r="D1851" s="219"/>
      <c r="E1851" s="219"/>
      <c r="F1851" s="219"/>
      <c r="G1851" s="219"/>
      <c r="H1851" s="219"/>
      <c r="I1851" s="219"/>
      <c r="J1851" s="219"/>
      <c r="K1851" s="219"/>
      <c r="L1851" s="219"/>
      <c r="M1851" s="219"/>
      <c r="N1851" s="219"/>
      <c r="O1851" s="219"/>
      <c r="P1851" s="219"/>
      <c r="Q1851" s="221"/>
    </row>
    <row r="1852" spans="2:17" x14ac:dyDescent="0.2">
      <c r="B1852" s="219"/>
      <c r="C1852" s="219"/>
      <c r="D1852" s="219"/>
      <c r="E1852" s="219"/>
      <c r="F1852" s="219"/>
      <c r="G1852" s="219"/>
      <c r="H1852" s="219"/>
      <c r="I1852" s="219"/>
      <c r="J1852" s="219"/>
      <c r="K1852" s="219"/>
      <c r="L1852" s="219"/>
      <c r="M1852" s="219"/>
      <c r="N1852" s="219"/>
      <c r="O1852" s="219"/>
      <c r="P1852" s="219"/>
      <c r="Q1852" s="221"/>
    </row>
    <row r="1853" spans="2:17" x14ac:dyDescent="0.2">
      <c r="B1853" s="219"/>
      <c r="C1853" s="219"/>
      <c r="D1853" s="219"/>
      <c r="E1853" s="219"/>
      <c r="F1853" s="219"/>
      <c r="G1853" s="219"/>
      <c r="H1853" s="219"/>
      <c r="I1853" s="219"/>
      <c r="J1853" s="219"/>
      <c r="K1853" s="219"/>
      <c r="L1853" s="219"/>
      <c r="M1853" s="219"/>
      <c r="N1853" s="219"/>
      <c r="O1853" s="219"/>
      <c r="P1853" s="219"/>
      <c r="Q1853" s="221"/>
    </row>
    <row r="1854" spans="2:17" x14ac:dyDescent="0.2">
      <c r="B1854" s="219"/>
      <c r="C1854" s="219"/>
      <c r="D1854" s="219"/>
      <c r="E1854" s="219"/>
      <c r="F1854" s="219"/>
      <c r="G1854" s="219"/>
      <c r="H1854" s="219"/>
      <c r="I1854" s="219"/>
      <c r="J1854" s="219"/>
      <c r="K1854" s="219"/>
      <c r="L1854" s="219"/>
      <c r="M1854" s="219"/>
      <c r="N1854" s="219"/>
      <c r="O1854" s="219"/>
      <c r="P1854" s="219"/>
      <c r="Q1854" s="221"/>
    </row>
    <row r="1855" spans="2:17" x14ac:dyDescent="0.2">
      <c r="B1855" s="219"/>
      <c r="C1855" s="219"/>
      <c r="D1855" s="219"/>
      <c r="E1855" s="219"/>
      <c r="F1855" s="219"/>
      <c r="G1855" s="219"/>
      <c r="H1855" s="219"/>
      <c r="I1855" s="219"/>
      <c r="J1855" s="219"/>
      <c r="K1855" s="219"/>
      <c r="L1855" s="219"/>
      <c r="M1855" s="219"/>
      <c r="N1855" s="219"/>
      <c r="O1855" s="219"/>
      <c r="P1855" s="219"/>
      <c r="Q1855" s="221"/>
    </row>
    <row r="1856" spans="2:17" x14ac:dyDescent="0.2">
      <c r="B1856" s="219"/>
      <c r="C1856" s="219"/>
      <c r="D1856" s="219"/>
      <c r="E1856" s="219"/>
      <c r="F1856" s="219"/>
      <c r="G1856" s="219"/>
      <c r="H1856" s="219"/>
      <c r="I1856" s="219"/>
      <c r="J1856" s="219"/>
      <c r="K1856" s="219"/>
      <c r="L1856" s="219"/>
      <c r="M1856" s="219"/>
      <c r="N1856" s="219"/>
      <c r="O1856" s="219"/>
      <c r="P1856" s="219"/>
      <c r="Q1856" s="221"/>
    </row>
    <row r="1857" spans="2:17" x14ac:dyDescent="0.2">
      <c r="B1857" s="219"/>
      <c r="C1857" s="219"/>
      <c r="D1857" s="219"/>
      <c r="E1857" s="219"/>
      <c r="F1857" s="219"/>
      <c r="G1857" s="219"/>
      <c r="H1857" s="219"/>
      <c r="I1857" s="219"/>
      <c r="J1857" s="219"/>
      <c r="K1857" s="219"/>
      <c r="L1857" s="219"/>
      <c r="M1857" s="219"/>
      <c r="N1857" s="219"/>
      <c r="O1857" s="219"/>
      <c r="P1857" s="219"/>
      <c r="Q1857" s="221"/>
    </row>
    <row r="1858" spans="2:17" x14ac:dyDescent="0.2">
      <c r="B1858" s="219"/>
      <c r="C1858" s="219"/>
      <c r="D1858" s="219"/>
      <c r="E1858" s="219"/>
      <c r="F1858" s="219"/>
      <c r="G1858" s="219"/>
      <c r="H1858" s="219"/>
      <c r="I1858" s="219"/>
      <c r="J1858" s="219"/>
      <c r="K1858" s="219"/>
      <c r="L1858" s="219"/>
      <c r="M1858" s="219"/>
      <c r="N1858" s="219"/>
      <c r="O1858" s="219"/>
      <c r="P1858" s="219"/>
      <c r="Q1858" s="221"/>
    </row>
    <row r="1859" spans="2:17" x14ac:dyDescent="0.2">
      <c r="B1859" s="219"/>
      <c r="C1859" s="219"/>
      <c r="D1859" s="219"/>
      <c r="E1859" s="219"/>
      <c r="F1859" s="219"/>
      <c r="G1859" s="219"/>
      <c r="H1859" s="219"/>
      <c r="I1859" s="219"/>
      <c r="J1859" s="219"/>
      <c r="K1859" s="219"/>
      <c r="L1859" s="219"/>
      <c r="M1859" s="219"/>
      <c r="N1859" s="219"/>
      <c r="O1859" s="219"/>
      <c r="P1859" s="219"/>
      <c r="Q1859" s="221"/>
    </row>
    <row r="1860" spans="2:17" x14ac:dyDescent="0.2">
      <c r="B1860" s="219"/>
      <c r="C1860" s="219"/>
      <c r="D1860" s="219"/>
      <c r="E1860" s="219"/>
      <c r="F1860" s="219"/>
      <c r="G1860" s="219"/>
      <c r="H1860" s="219"/>
      <c r="I1860" s="219"/>
      <c r="J1860" s="219"/>
      <c r="K1860" s="219"/>
      <c r="L1860" s="219"/>
      <c r="M1860" s="219"/>
      <c r="N1860" s="219"/>
      <c r="O1860" s="219"/>
      <c r="P1860" s="219"/>
      <c r="Q1860" s="221"/>
    </row>
    <row r="1861" spans="2:17" x14ac:dyDescent="0.2">
      <c r="B1861" s="219"/>
      <c r="C1861" s="219"/>
      <c r="D1861" s="219"/>
      <c r="E1861" s="219"/>
      <c r="F1861" s="219"/>
      <c r="G1861" s="219"/>
      <c r="H1861" s="219"/>
      <c r="I1861" s="219"/>
      <c r="J1861" s="219"/>
      <c r="K1861" s="219"/>
      <c r="L1861" s="219"/>
      <c r="M1861" s="219"/>
      <c r="N1861" s="219"/>
      <c r="O1861" s="219"/>
      <c r="P1861" s="219"/>
      <c r="Q1861" s="221"/>
    </row>
    <row r="1862" spans="2:17" x14ac:dyDescent="0.2">
      <c r="B1862" s="219"/>
      <c r="C1862" s="219"/>
      <c r="D1862" s="219"/>
      <c r="E1862" s="219"/>
      <c r="F1862" s="219"/>
      <c r="G1862" s="219"/>
      <c r="H1862" s="219"/>
      <c r="I1862" s="219"/>
      <c r="J1862" s="219"/>
      <c r="K1862" s="219"/>
      <c r="L1862" s="219"/>
      <c r="M1862" s="219"/>
      <c r="N1862" s="219"/>
      <c r="O1862" s="219"/>
      <c r="P1862" s="219"/>
      <c r="Q1862" s="221"/>
    </row>
    <row r="1863" spans="2:17" x14ac:dyDescent="0.2">
      <c r="B1863" s="219"/>
      <c r="C1863" s="219"/>
      <c r="D1863" s="219"/>
      <c r="E1863" s="219"/>
      <c r="F1863" s="219"/>
      <c r="G1863" s="219"/>
      <c r="H1863" s="219"/>
      <c r="I1863" s="219"/>
      <c r="J1863" s="219"/>
      <c r="K1863" s="219"/>
      <c r="L1863" s="219"/>
      <c r="M1863" s="219"/>
      <c r="N1863" s="219"/>
      <c r="O1863" s="219"/>
      <c r="P1863" s="219"/>
      <c r="Q1863" s="221"/>
    </row>
    <row r="1864" spans="2:17" x14ac:dyDescent="0.2">
      <c r="B1864" s="219"/>
      <c r="C1864" s="219"/>
      <c r="D1864" s="219"/>
      <c r="E1864" s="219"/>
      <c r="F1864" s="219"/>
      <c r="G1864" s="219"/>
      <c r="H1864" s="219"/>
      <c r="I1864" s="219"/>
      <c r="J1864" s="219"/>
      <c r="K1864" s="219"/>
      <c r="L1864" s="219"/>
      <c r="M1864" s="219"/>
      <c r="N1864" s="219"/>
      <c r="O1864" s="219"/>
      <c r="P1864" s="219"/>
      <c r="Q1864" s="221"/>
    </row>
    <row r="1865" spans="2:17" x14ac:dyDescent="0.2">
      <c r="B1865" s="219"/>
      <c r="C1865" s="219"/>
      <c r="D1865" s="219"/>
      <c r="E1865" s="219"/>
      <c r="F1865" s="219"/>
      <c r="G1865" s="219"/>
      <c r="H1865" s="219"/>
      <c r="I1865" s="219"/>
      <c r="J1865" s="219"/>
      <c r="K1865" s="219"/>
      <c r="L1865" s="219"/>
      <c r="M1865" s="219"/>
      <c r="N1865" s="219"/>
      <c r="O1865" s="219"/>
      <c r="P1865" s="219"/>
      <c r="Q1865" s="221"/>
    </row>
    <row r="1866" spans="2:17" x14ac:dyDescent="0.2">
      <c r="B1866" s="219"/>
      <c r="C1866" s="219"/>
      <c r="D1866" s="219"/>
      <c r="E1866" s="219"/>
      <c r="F1866" s="219"/>
      <c r="G1866" s="219"/>
      <c r="H1866" s="219"/>
      <c r="I1866" s="219"/>
      <c r="J1866" s="219"/>
      <c r="K1866" s="219"/>
      <c r="L1866" s="219"/>
      <c r="M1866" s="219"/>
      <c r="N1866" s="219"/>
      <c r="O1866" s="219"/>
      <c r="P1866" s="219"/>
      <c r="Q1866" s="221"/>
    </row>
    <row r="1867" spans="2:17" x14ac:dyDescent="0.2">
      <c r="B1867" s="219"/>
      <c r="C1867" s="219"/>
      <c r="D1867" s="219"/>
      <c r="E1867" s="219"/>
      <c r="F1867" s="219"/>
      <c r="G1867" s="219"/>
      <c r="H1867" s="219"/>
      <c r="I1867" s="219"/>
      <c r="J1867" s="219"/>
      <c r="K1867" s="219"/>
      <c r="L1867" s="219"/>
      <c r="M1867" s="219"/>
      <c r="N1867" s="219"/>
      <c r="O1867" s="219"/>
      <c r="P1867" s="219"/>
      <c r="Q1867" s="221"/>
    </row>
    <row r="1868" spans="2:17" x14ac:dyDescent="0.2">
      <c r="B1868" s="219"/>
      <c r="C1868" s="219"/>
      <c r="D1868" s="219"/>
      <c r="E1868" s="219"/>
      <c r="F1868" s="219"/>
      <c r="G1868" s="219"/>
      <c r="H1868" s="219"/>
      <c r="I1868" s="219"/>
      <c r="J1868" s="219"/>
      <c r="K1868" s="219"/>
      <c r="L1868" s="219"/>
      <c r="M1868" s="219"/>
      <c r="N1868" s="219"/>
      <c r="O1868" s="219"/>
      <c r="P1868" s="219"/>
      <c r="Q1868" s="221"/>
    </row>
    <row r="1869" spans="2:17" x14ac:dyDescent="0.2">
      <c r="B1869" s="219"/>
      <c r="C1869" s="219"/>
      <c r="D1869" s="219"/>
      <c r="E1869" s="219"/>
      <c r="F1869" s="219"/>
      <c r="G1869" s="219"/>
      <c r="H1869" s="219"/>
      <c r="I1869" s="219"/>
      <c r="J1869" s="219"/>
      <c r="K1869" s="219"/>
      <c r="L1869" s="219"/>
      <c r="M1869" s="219"/>
      <c r="N1869" s="219"/>
      <c r="O1869" s="219"/>
      <c r="P1869" s="219"/>
      <c r="Q1869" s="221"/>
    </row>
    <row r="1870" spans="2:17" x14ac:dyDescent="0.2">
      <c r="B1870" s="219"/>
      <c r="C1870" s="219"/>
      <c r="D1870" s="219"/>
      <c r="E1870" s="219"/>
      <c r="F1870" s="219"/>
      <c r="G1870" s="219"/>
      <c r="H1870" s="219"/>
      <c r="I1870" s="219"/>
      <c r="J1870" s="219"/>
      <c r="K1870" s="219"/>
      <c r="L1870" s="219"/>
      <c r="M1870" s="219"/>
      <c r="N1870" s="219"/>
      <c r="O1870" s="219"/>
      <c r="P1870" s="219"/>
      <c r="Q1870" s="221"/>
    </row>
    <row r="1871" spans="2:17" x14ac:dyDescent="0.2">
      <c r="B1871" s="219"/>
      <c r="C1871" s="219"/>
      <c r="D1871" s="219"/>
      <c r="E1871" s="219"/>
      <c r="F1871" s="219"/>
      <c r="G1871" s="219"/>
      <c r="H1871" s="219"/>
      <c r="I1871" s="219"/>
      <c r="J1871" s="219"/>
      <c r="K1871" s="219"/>
      <c r="L1871" s="219"/>
      <c r="M1871" s="219"/>
      <c r="N1871" s="219"/>
      <c r="O1871" s="219"/>
      <c r="P1871" s="219"/>
      <c r="Q1871" s="221"/>
    </row>
    <row r="1872" spans="2:17" x14ac:dyDescent="0.2">
      <c r="B1872" s="219"/>
      <c r="C1872" s="219"/>
      <c r="D1872" s="219"/>
      <c r="E1872" s="219"/>
      <c r="F1872" s="219"/>
      <c r="G1872" s="219"/>
      <c r="H1872" s="219"/>
      <c r="I1872" s="219"/>
      <c r="J1872" s="219"/>
      <c r="K1872" s="219"/>
      <c r="L1872" s="219"/>
      <c r="M1872" s="219"/>
      <c r="N1872" s="219"/>
      <c r="O1872" s="219"/>
      <c r="P1872" s="219"/>
      <c r="Q1872" s="221"/>
    </row>
    <row r="1873" spans="2:17" x14ac:dyDescent="0.2">
      <c r="B1873" s="219"/>
      <c r="C1873" s="219"/>
      <c r="D1873" s="219"/>
      <c r="E1873" s="219"/>
      <c r="F1873" s="219"/>
      <c r="G1873" s="219"/>
      <c r="H1873" s="219"/>
      <c r="I1873" s="219"/>
      <c r="J1873" s="219"/>
      <c r="K1873" s="219"/>
      <c r="L1873" s="219"/>
      <c r="M1873" s="219"/>
      <c r="N1873" s="219"/>
      <c r="O1873" s="219"/>
      <c r="P1873" s="219"/>
      <c r="Q1873" s="221"/>
    </row>
    <row r="1874" spans="2:17" x14ac:dyDescent="0.2">
      <c r="B1874" s="219"/>
      <c r="C1874" s="219"/>
      <c r="D1874" s="219"/>
      <c r="E1874" s="219"/>
      <c r="F1874" s="219"/>
      <c r="G1874" s="219"/>
      <c r="H1874" s="219"/>
      <c r="I1874" s="219"/>
      <c r="J1874" s="219"/>
      <c r="K1874" s="219"/>
      <c r="L1874" s="219"/>
      <c r="M1874" s="219"/>
      <c r="N1874" s="219"/>
      <c r="O1874" s="219"/>
      <c r="P1874" s="219"/>
      <c r="Q1874" s="221"/>
    </row>
    <row r="1875" spans="2:17" x14ac:dyDescent="0.2">
      <c r="B1875" s="219"/>
      <c r="C1875" s="219"/>
      <c r="D1875" s="219"/>
      <c r="E1875" s="219"/>
      <c r="F1875" s="219"/>
      <c r="G1875" s="219"/>
      <c r="H1875" s="219"/>
      <c r="I1875" s="219"/>
      <c r="J1875" s="219"/>
      <c r="K1875" s="219"/>
      <c r="L1875" s="219"/>
      <c r="M1875" s="219"/>
      <c r="N1875" s="219"/>
      <c r="O1875" s="219"/>
      <c r="P1875" s="219"/>
      <c r="Q1875" s="221"/>
    </row>
    <row r="1876" spans="2:17" x14ac:dyDescent="0.2">
      <c r="B1876" s="219"/>
      <c r="C1876" s="219"/>
      <c r="D1876" s="219"/>
      <c r="E1876" s="219"/>
      <c r="F1876" s="219"/>
      <c r="G1876" s="219"/>
      <c r="H1876" s="219"/>
      <c r="I1876" s="219"/>
      <c r="J1876" s="219"/>
      <c r="K1876" s="219"/>
      <c r="L1876" s="219"/>
      <c r="M1876" s="219"/>
      <c r="N1876" s="219"/>
      <c r="O1876" s="219"/>
      <c r="P1876" s="219"/>
      <c r="Q1876" s="221"/>
    </row>
    <row r="1877" spans="2:17" x14ac:dyDescent="0.2">
      <c r="B1877" s="219"/>
      <c r="C1877" s="219"/>
      <c r="D1877" s="219"/>
      <c r="E1877" s="219"/>
      <c r="F1877" s="219"/>
      <c r="G1877" s="219"/>
      <c r="H1877" s="219"/>
      <c r="I1877" s="219"/>
      <c r="J1877" s="219"/>
      <c r="K1877" s="219"/>
      <c r="L1877" s="219"/>
      <c r="M1877" s="219"/>
      <c r="N1877" s="219"/>
      <c r="O1877" s="219"/>
      <c r="P1877" s="219"/>
      <c r="Q1877" s="221"/>
    </row>
    <row r="1878" spans="2:17" x14ac:dyDescent="0.2">
      <c r="B1878" s="219"/>
      <c r="C1878" s="219"/>
      <c r="D1878" s="219"/>
      <c r="E1878" s="219"/>
      <c r="F1878" s="219"/>
      <c r="G1878" s="219"/>
      <c r="H1878" s="219"/>
      <c r="I1878" s="219"/>
      <c r="J1878" s="219"/>
      <c r="K1878" s="219"/>
      <c r="L1878" s="219"/>
      <c r="M1878" s="219"/>
      <c r="N1878" s="219"/>
      <c r="O1878" s="219"/>
      <c r="P1878" s="219"/>
      <c r="Q1878" s="221"/>
    </row>
    <row r="1879" spans="2:17" x14ac:dyDescent="0.2">
      <c r="B1879" s="219"/>
      <c r="C1879" s="219"/>
      <c r="D1879" s="219"/>
      <c r="E1879" s="219"/>
      <c r="F1879" s="219"/>
      <c r="G1879" s="219"/>
      <c r="H1879" s="219"/>
      <c r="I1879" s="219"/>
      <c r="J1879" s="219"/>
      <c r="K1879" s="219"/>
      <c r="L1879" s="219"/>
      <c r="M1879" s="219"/>
      <c r="N1879" s="219"/>
      <c r="O1879" s="219"/>
      <c r="P1879" s="219"/>
      <c r="Q1879" s="221"/>
    </row>
    <row r="1880" spans="2:17" x14ac:dyDescent="0.2">
      <c r="B1880" s="219"/>
      <c r="C1880" s="219"/>
      <c r="D1880" s="219"/>
      <c r="E1880" s="219"/>
      <c r="F1880" s="219"/>
      <c r="G1880" s="219"/>
      <c r="H1880" s="219"/>
      <c r="I1880" s="219"/>
      <c r="J1880" s="219"/>
      <c r="K1880" s="219"/>
      <c r="L1880" s="219"/>
      <c r="M1880" s="219"/>
      <c r="N1880" s="219"/>
      <c r="O1880" s="219"/>
      <c r="P1880" s="219"/>
      <c r="Q1880" s="221"/>
    </row>
    <row r="1881" spans="2:17" x14ac:dyDescent="0.2">
      <c r="B1881" s="219"/>
      <c r="C1881" s="219"/>
      <c r="D1881" s="219"/>
      <c r="E1881" s="219"/>
      <c r="F1881" s="219"/>
      <c r="G1881" s="219"/>
      <c r="H1881" s="219"/>
      <c r="I1881" s="219"/>
      <c r="J1881" s="219"/>
      <c r="K1881" s="219"/>
      <c r="L1881" s="219"/>
      <c r="M1881" s="219"/>
      <c r="N1881" s="219"/>
      <c r="O1881" s="219"/>
      <c r="P1881" s="219"/>
      <c r="Q1881" s="221"/>
    </row>
    <row r="1882" spans="2:17" x14ac:dyDescent="0.2">
      <c r="B1882" s="219"/>
      <c r="C1882" s="219"/>
      <c r="D1882" s="219"/>
      <c r="E1882" s="219"/>
      <c r="F1882" s="219"/>
      <c r="G1882" s="219"/>
      <c r="H1882" s="219"/>
      <c r="I1882" s="219"/>
      <c r="J1882" s="219"/>
      <c r="K1882" s="219"/>
      <c r="L1882" s="219"/>
      <c r="M1882" s="219"/>
      <c r="N1882" s="219"/>
      <c r="O1882" s="219"/>
      <c r="P1882" s="219"/>
      <c r="Q1882" s="221"/>
    </row>
    <row r="1883" spans="2:17" x14ac:dyDescent="0.2">
      <c r="B1883" s="219"/>
      <c r="C1883" s="219"/>
      <c r="D1883" s="219"/>
      <c r="E1883" s="219"/>
      <c r="F1883" s="219"/>
      <c r="G1883" s="219"/>
      <c r="H1883" s="219"/>
      <c r="I1883" s="219"/>
      <c r="J1883" s="219"/>
      <c r="K1883" s="219"/>
      <c r="L1883" s="219"/>
      <c r="M1883" s="219"/>
      <c r="N1883" s="219"/>
      <c r="O1883" s="219"/>
      <c r="P1883" s="219"/>
      <c r="Q1883" s="221"/>
    </row>
    <row r="1884" spans="2:17" x14ac:dyDescent="0.2">
      <c r="B1884" s="219"/>
      <c r="C1884" s="219"/>
      <c r="D1884" s="219"/>
      <c r="E1884" s="219"/>
      <c r="F1884" s="219"/>
      <c r="G1884" s="219"/>
      <c r="H1884" s="219"/>
      <c r="I1884" s="219"/>
      <c r="J1884" s="219"/>
      <c r="K1884" s="219"/>
      <c r="L1884" s="219"/>
      <c r="M1884" s="219"/>
      <c r="N1884" s="219"/>
      <c r="O1884" s="219"/>
      <c r="P1884" s="219"/>
      <c r="Q1884" s="221"/>
    </row>
    <row r="1885" spans="2:17" x14ac:dyDescent="0.2">
      <c r="B1885" s="219"/>
      <c r="C1885" s="219"/>
      <c r="D1885" s="219"/>
      <c r="E1885" s="219"/>
      <c r="F1885" s="219"/>
      <c r="G1885" s="219"/>
      <c r="H1885" s="219"/>
      <c r="I1885" s="219"/>
      <c r="J1885" s="219"/>
      <c r="K1885" s="219"/>
      <c r="L1885" s="219"/>
      <c r="M1885" s="219"/>
      <c r="N1885" s="219"/>
      <c r="O1885" s="219"/>
      <c r="P1885" s="219"/>
      <c r="Q1885" s="221"/>
    </row>
    <row r="1886" spans="2:17" x14ac:dyDescent="0.2">
      <c r="B1886" s="219"/>
      <c r="C1886" s="219"/>
      <c r="D1886" s="219"/>
      <c r="E1886" s="219"/>
      <c r="F1886" s="219"/>
      <c r="G1886" s="219"/>
      <c r="H1886" s="219"/>
      <c r="I1886" s="219"/>
      <c r="J1886" s="219"/>
      <c r="K1886" s="219"/>
      <c r="L1886" s="219"/>
      <c r="M1886" s="219"/>
      <c r="N1886" s="219"/>
      <c r="O1886" s="219"/>
      <c r="P1886" s="219"/>
      <c r="Q1886" s="221"/>
    </row>
    <row r="1887" spans="2:17" x14ac:dyDescent="0.2">
      <c r="B1887" s="219"/>
      <c r="C1887" s="219"/>
      <c r="D1887" s="219"/>
      <c r="E1887" s="219"/>
      <c r="F1887" s="219"/>
      <c r="G1887" s="219"/>
      <c r="H1887" s="219"/>
      <c r="I1887" s="219"/>
      <c r="J1887" s="219"/>
      <c r="K1887" s="219"/>
      <c r="L1887" s="219"/>
      <c r="M1887" s="219"/>
      <c r="N1887" s="219"/>
      <c r="O1887" s="219"/>
      <c r="P1887" s="219"/>
      <c r="Q1887" s="221"/>
    </row>
    <row r="1888" spans="2:17" x14ac:dyDescent="0.2">
      <c r="B1888" s="219"/>
      <c r="C1888" s="219"/>
      <c r="D1888" s="219"/>
      <c r="E1888" s="219"/>
      <c r="F1888" s="219"/>
      <c r="G1888" s="219"/>
      <c r="H1888" s="219"/>
      <c r="I1888" s="219"/>
      <c r="J1888" s="219"/>
      <c r="K1888" s="219"/>
      <c r="L1888" s="219"/>
      <c r="M1888" s="219"/>
      <c r="N1888" s="219"/>
      <c r="O1888" s="219"/>
      <c r="P1888" s="219"/>
      <c r="Q1888" s="221"/>
    </row>
    <row r="1889" spans="2:17" x14ac:dyDescent="0.2">
      <c r="B1889" s="219"/>
      <c r="C1889" s="219"/>
      <c r="D1889" s="219"/>
      <c r="E1889" s="219"/>
      <c r="F1889" s="219"/>
      <c r="G1889" s="219"/>
      <c r="H1889" s="219"/>
      <c r="I1889" s="219"/>
      <c r="J1889" s="219"/>
      <c r="K1889" s="219"/>
      <c r="L1889" s="219"/>
      <c r="M1889" s="219"/>
      <c r="N1889" s="219"/>
      <c r="O1889" s="219"/>
      <c r="P1889" s="219"/>
      <c r="Q1889" s="221"/>
    </row>
    <row r="1890" spans="2:17" x14ac:dyDescent="0.2">
      <c r="B1890" s="219"/>
      <c r="C1890" s="219"/>
      <c r="D1890" s="219"/>
      <c r="E1890" s="219"/>
      <c r="F1890" s="219"/>
      <c r="G1890" s="219"/>
      <c r="H1890" s="219"/>
      <c r="I1890" s="219"/>
      <c r="J1890" s="219"/>
      <c r="K1890" s="219"/>
      <c r="L1890" s="219"/>
      <c r="M1890" s="219"/>
      <c r="N1890" s="219"/>
      <c r="O1890" s="219"/>
      <c r="P1890" s="219"/>
      <c r="Q1890" s="221"/>
    </row>
    <row r="1891" spans="2:17" x14ac:dyDescent="0.2">
      <c r="B1891" s="219"/>
      <c r="C1891" s="219"/>
      <c r="D1891" s="219"/>
      <c r="E1891" s="219"/>
      <c r="F1891" s="219"/>
      <c r="G1891" s="219"/>
      <c r="H1891" s="219"/>
      <c r="I1891" s="219"/>
      <c r="J1891" s="219"/>
      <c r="K1891" s="219"/>
      <c r="L1891" s="219"/>
      <c r="M1891" s="219"/>
      <c r="N1891" s="219"/>
      <c r="O1891" s="219"/>
      <c r="P1891" s="219"/>
      <c r="Q1891" s="221"/>
    </row>
    <row r="1892" spans="2:17" x14ac:dyDescent="0.2">
      <c r="B1892" s="219"/>
      <c r="C1892" s="219"/>
      <c r="D1892" s="219"/>
      <c r="E1892" s="219"/>
      <c r="F1892" s="219"/>
      <c r="G1892" s="219"/>
      <c r="H1892" s="219"/>
      <c r="I1892" s="219"/>
      <c r="J1892" s="219"/>
      <c r="K1892" s="219"/>
      <c r="L1892" s="219"/>
      <c r="M1892" s="219"/>
      <c r="N1892" s="219"/>
      <c r="O1892" s="219"/>
      <c r="P1892" s="219"/>
      <c r="Q1892" s="221"/>
    </row>
    <row r="1893" spans="2:17" x14ac:dyDescent="0.2">
      <c r="B1893" s="219"/>
      <c r="C1893" s="219"/>
      <c r="D1893" s="219"/>
      <c r="E1893" s="219"/>
      <c r="F1893" s="219"/>
      <c r="G1893" s="219"/>
      <c r="H1893" s="219"/>
      <c r="I1893" s="219"/>
      <c r="J1893" s="219"/>
      <c r="K1893" s="219"/>
      <c r="L1893" s="219"/>
      <c r="M1893" s="219"/>
      <c r="N1893" s="219"/>
      <c r="O1893" s="219"/>
      <c r="P1893" s="219"/>
      <c r="Q1893" s="221"/>
    </row>
    <row r="1894" spans="2:17" x14ac:dyDescent="0.2">
      <c r="B1894" s="219"/>
      <c r="C1894" s="219"/>
      <c r="D1894" s="219"/>
      <c r="E1894" s="219"/>
      <c r="F1894" s="219"/>
      <c r="G1894" s="219"/>
      <c r="H1894" s="219"/>
      <c r="I1894" s="219"/>
      <c r="J1894" s="219"/>
      <c r="K1894" s="219"/>
      <c r="L1894" s="219"/>
      <c r="M1894" s="219"/>
      <c r="N1894" s="219"/>
      <c r="O1894" s="219"/>
      <c r="P1894" s="219"/>
      <c r="Q1894" s="221"/>
    </row>
    <row r="1895" spans="2:17" x14ac:dyDescent="0.2">
      <c r="B1895" s="219"/>
      <c r="C1895" s="219"/>
      <c r="D1895" s="219"/>
      <c r="E1895" s="219"/>
      <c r="F1895" s="219"/>
      <c r="G1895" s="219"/>
      <c r="H1895" s="219"/>
      <c r="I1895" s="219"/>
      <c r="J1895" s="219"/>
      <c r="K1895" s="219"/>
      <c r="L1895" s="219"/>
      <c r="M1895" s="219"/>
      <c r="N1895" s="219"/>
      <c r="O1895" s="219"/>
      <c r="P1895" s="219"/>
      <c r="Q1895" s="221"/>
    </row>
    <row r="1896" spans="2:17" x14ac:dyDescent="0.2">
      <c r="B1896" s="219"/>
      <c r="C1896" s="219"/>
      <c r="D1896" s="219"/>
      <c r="E1896" s="219"/>
      <c r="F1896" s="219"/>
      <c r="G1896" s="219"/>
      <c r="H1896" s="219"/>
      <c r="I1896" s="219"/>
      <c r="J1896" s="219"/>
      <c r="K1896" s="219"/>
      <c r="L1896" s="219"/>
      <c r="M1896" s="219"/>
      <c r="N1896" s="219"/>
      <c r="O1896" s="219"/>
      <c r="P1896" s="219"/>
      <c r="Q1896" s="221"/>
    </row>
    <row r="1897" spans="2:17" x14ac:dyDescent="0.2">
      <c r="B1897" s="219"/>
      <c r="C1897" s="219"/>
      <c r="D1897" s="219"/>
      <c r="E1897" s="219"/>
      <c r="F1897" s="219"/>
      <c r="G1897" s="219"/>
      <c r="H1897" s="219"/>
      <c r="I1897" s="219"/>
      <c r="J1897" s="219"/>
      <c r="K1897" s="219"/>
      <c r="L1897" s="219"/>
      <c r="M1897" s="219"/>
      <c r="N1897" s="219"/>
      <c r="O1897" s="219"/>
      <c r="P1897" s="219"/>
      <c r="Q1897" s="221"/>
    </row>
    <row r="1898" spans="2:17" x14ac:dyDescent="0.2">
      <c r="B1898" s="219"/>
      <c r="C1898" s="219"/>
      <c r="D1898" s="219"/>
      <c r="E1898" s="219"/>
      <c r="F1898" s="219"/>
      <c r="G1898" s="219"/>
      <c r="H1898" s="219"/>
      <c r="I1898" s="219"/>
      <c r="J1898" s="219"/>
      <c r="K1898" s="219"/>
      <c r="L1898" s="219"/>
      <c r="M1898" s="219"/>
      <c r="N1898" s="219"/>
      <c r="O1898" s="219"/>
      <c r="P1898" s="219"/>
      <c r="Q1898" s="221"/>
    </row>
    <row r="1899" spans="2:17" x14ac:dyDescent="0.2">
      <c r="B1899" s="219"/>
      <c r="C1899" s="219"/>
      <c r="D1899" s="219"/>
      <c r="E1899" s="219"/>
      <c r="F1899" s="219"/>
      <c r="G1899" s="219"/>
      <c r="H1899" s="219"/>
      <c r="I1899" s="219"/>
      <c r="J1899" s="219"/>
      <c r="K1899" s="219"/>
      <c r="L1899" s="219"/>
      <c r="M1899" s="219"/>
      <c r="N1899" s="219"/>
      <c r="O1899" s="219"/>
      <c r="P1899" s="219"/>
      <c r="Q1899" s="221"/>
    </row>
    <row r="1900" spans="2:17" x14ac:dyDescent="0.2">
      <c r="B1900" s="219"/>
      <c r="C1900" s="219"/>
      <c r="D1900" s="219"/>
      <c r="E1900" s="219"/>
      <c r="F1900" s="219"/>
      <c r="G1900" s="219"/>
      <c r="H1900" s="219"/>
      <c r="I1900" s="219"/>
      <c r="J1900" s="219"/>
      <c r="K1900" s="219"/>
      <c r="L1900" s="219"/>
      <c r="M1900" s="219"/>
      <c r="N1900" s="219"/>
      <c r="O1900" s="219"/>
      <c r="P1900" s="219"/>
      <c r="Q1900" s="221"/>
    </row>
    <row r="1901" spans="2:17" x14ac:dyDescent="0.2">
      <c r="B1901" s="219"/>
      <c r="C1901" s="219"/>
      <c r="D1901" s="219"/>
      <c r="E1901" s="219"/>
      <c r="F1901" s="219"/>
      <c r="G1901" s="219"/>
      <c r="H1901" s="219"/>
      <c r="I1901" s="219"/>
      <c r="J1901" s="219"/>
      <c r="K1901" s="219"/>
      <c r="L1901" s="219"/>
      <c r="M1901" s="219"/>
      <c r="N1901" s="219"/>
      <c r="O1901" s="219"/>
      <c r="P1901" s="219"/>
      <c r="Q1901" s="221"/>
    </row>
    <row r="1902" spans="2:17" x14ac:dyDescent="0.2">
      <c r="B1902" s="219"/>
      <c r="C1902" s="219"/>
      <c r="D1902" s="219"/>
      <c r="E1902" s="219"/>
      <c r="F1902" s="219"/>
      <c r="G1902" s="219"/>
      <c r="H1902" s="219"/>
      <c r="I1902" s="219"/>
      <c r="J1902" s="219"/>
      <c r="K1902" s="219"/>
      <c r="L1902" s="219"/>
      <c r="M1902" s="219"/>
      <c r="N1902" s="219"/>
      <c r="O1902" s="219"/>
      <c r="P1902" s="219"/>
      <c r="Q1902" s="221"/>
    </row>
    <row r="1903" spans="2:17" x14ac:dyDescent="0.2">
      <c r="B1903" s="219"/>
      <c r="C1903" s="219"/>
      <c r="D1903" s="219"/>
      <c r="E1903" s="219"/>
      <c r="F1903" s="219"/>
      <c r="G1903" s="219"/>
      <c r="H1903" s="219"/>
      <c r="I1903" s="219"/>
      <c r="J1903" s="219"/>
      <c r="K1903" s="219"/>
      <c r="L1903" s="219"/>
      <c r="M1903" s="219"/>
      <c r="N1903" s="219"/>
      <c r="O1903" s="219"/>
      <c r="P1903" s="219"/>
      <c r="Q1903" s="221"/>
    </row>
    <row r="1904" spans="2:17" x14ac:dyDescent="0.2">
      <c r="B1904" s="219"/>
      <c r="C1904" s="219"/>
      <c r="D1904" s="219"/>
      <c r="E1904" s="219"/>
      <c r="F1904" s="219"/>
      <c r="G1904" s="219"/>
      <c r="H1904" s="219"/>
      <c r="I1904" s="219"/>
      <c r="J1904" s="219"/>
      <c r="K1904" s="219"/>
      <c r="L1904" s="219"/>
      <c r="M1904" s="219"/>
      <c r="N1904" s="219"/>
      <c r="O1904" s="219"/>
      <c r="P1904" s="219"/>
      <c r="Q1904" s="221"/>
    </row>
    <row r="1905" spans="2:17" x14ac:dyDescent="0.2">
      <c r="B1905" s="219"/>
      <c r="C1905" s="219"/>
      <c r="D1905" s="219"/>
      <c r="E1905" s="219"/>
      <c r="F1905" s="219"/>
      <c r="G1905" s="219"/>
      <c r="H1905" s="219"/>
      <c r="I1905" s="219"/>
      <c r="J1905" s="219"/>
      <c r="K1905" s="219"/>
      <c r="L1905" s="219"/>
      <c r="M1905" s="219"/>
      <c r="N1905" s="219"/>
      <c r="O1905" s="219"/>
      <c r="P1905" s="219"/>
      <c r="Q1905" s="221"/>
    </row>
    <row r="1906" spans="2:17" x14ac:dyDescent="0.2">
      <c r="B1906" s="219"/>
      <c r="C1906" s="219"/>
      <c r="D1906" s="219"/>
      <c r="E1906" s="219"/>
      <c r="F1906" s="219"/>
      <c r="G1906" s="219"/>
      <c r="H1906" s="219"/>
      <c r="I1906" s="219"/>
      <c r="J1906" s="219"/>
      <c r="K1906" s="219"/>
      <c r="L1906" s="219"/>
      <c r="M1906" s="219"/>
      <c r="N1906" s="219"/>
      <c r="O1906" s="219"/>
      <c r="P1906" s="219"/>
      <c r="Q1906" s="221"/>
    </row>
    <row r="1907" spans="2:17" x14ac:dyDescent="0.2">
      <c r="B1907" s="219"/>
      <c r="C1907" s="219"/>
      <c r="D1907" s="219"/>
      <c r="E1907" s="219"/>
      <c r="F1907" s="219"/>
      <c r="G1907" s="219"/>
      <c r="H1907" s="219"/>
      <c r="I1907" s="219"/>
      <c r="J1907" s="219"/>
      <c r="K1907" s="219"/>
      <c r="L1907" s="219"/>
      <c r="M1907" s="219"/>
      <c r="N1907" s="219"/>
      <c r="O1907" s="219"/>
      <c r="P1907" s="219"/>
      <c r="Q1907" s="221"/>
    </row>
    <row r="1908" spans="2:17" x14ac:dyDescent="0.2">
      <c r="B1908" s="219"/>
      <c r="C1908" s="219"/>
      <c r="D1908" s="219"/>
      <c r="E1908" s="219"/>
      <c r="F1908" s="219"/>
      <c r="G1908" s="219"/>
      <c r="H1908" s="219"/>
      <c r="I1908" s="219"/>
      <c r="J1908" s="219"/>
      <c r="K1908" s="219"/>
      <c r="L1908" s="219"/>
      <c r="M1908" s="219"/>
      <c r="N1908" s="219"/>
      <c r="O1908" s="219"/>
      <c r="P1908" s="219"/>
      <c r="Q1908" s="221"/>
    </row>
    <row r="1909" spans="2:17" x14ac:dyDescent="0.2">
      <c r="B1909" s="219"/>
      <c r="C1909" s="219"/>
      <c r="D1909" s="219"/>
      <c r="E1909" s="219"/>
      <c r="F1909" s="219"/>
      <c r="G1909" s="219"/>
      <c r="H1909" s="219"/>
      <c r="I1909" s="219"/>
      <c r="J1909" s="219"/>
      <c r="K1909" s="219"/>
      <c r="L1909" s="219"/>
      <c r="M1909" s="219"/>
      <c r="N1909" s="219"/>
      <c r="O1909" s="219"/>
      <c r="P1909" s="219"/>
      <c r="Q1909" s="221"/>
    </row>
    <row r="1910" spans="2:17" x14ac:dyDescent="0.2">
      <c r="B1910" s="219"/>
      <c r="C1910" s="219"/>
      <c r="D1910" s="219"/>
      <c r="E1910" s="219"/>
      <c r="F1910" s="219"/>
      <c r="G1910" s="219"/>
      <c r="H1910" s="219"/>
      <c r="I1910" s="219"/>
      <c r="J1910" s="219"/>
      <c r="K1910" s="219"/>
      <c r="L1910" s="219"/>
      <c r="M1910" s="219"/>
      <c r="N1910" s="219"/>
      <c r="O1910" s="219"/>
      <c r="P1910" s="219"/>
      <c r="Q1910" s="221"/>
    </row>
    <row r="1911" spans="2:17" x14ac:dyDescent="0.2">
      <c r="B1911" s="219"/>
      <c r="C1911" s="219"/>
      <c r="D1911" s="219"/>
      <c r="E1911" s="219"/>
      <c r="F1911" s="219"/>
      <c r="G1911" s="219"/>
      <c r="H1911" s="219"/>
      <c r="I1911" s="219"/>
      <c r="J1911" s="219"/>
      <c r="K1911" s="219"/>
      <c r="L1911" s="219"/>
      <c r="M1911" s="219"/>
      <c r="N1911" s="219"/>
      <c r="O1911" s="219"/>
      <c r="P1911" s="219"/>
      <c r="Q1911" s="221"/>
    </row>
    <row r="1912" spans="2:17" x14ac:dyDescent="0.2">
      <c r="B1912" s="219"/>
      <c r="C1912" s="219"/>
      <c r="D1912" s="219"/>
      <c r="E1912" s="219"/>
      <c r="F1912" s="219"/>
      <c r="G1912" s="219"/>
      <c r="H1912" s="219"/>
      <c r="I1912" s="219"/>
      <c r="J1912" s="219"/>
      <c r="K1912" s="219"/>
      <c r="L1912" s="219"/>
      <c r="M1912" s="219"/>
      <c r="N1912" s="219"/>
      <c r="O1912" s="219"/>
      <c r="P1912" s="219"/>
      <c r="Q1912" s="221"/>
    </row>
    <row r="1913" spans="2:17" x14ac:dyDescent="0.2">
      <c r="B1913" s="219"/>
      <c r="C1913" s="219"/>
      <c r="D1913" s="219"/>
      <c r="E1913" s="219"/>
      <c r="F1913" s="219"/>
      <c r="G1913" s="219"/>
      <c r="H1913" s="219"/>
      <c r="I1913" s="219"/>
      <c r="J1913" s="219"/>
      <c r="K1913" s="219"/>
      <c r="L1913" s="219"/>
      <c r="M1913" s="219"/>
      <c r="N1913" s="219"/>
      <c r="O1913" s="219"/>
      <c r="P1913" s="219"/>
      <c r="Q1913" s="221"/>
    </row>
    <row r="1914" spans="2:17" x14ac:dyDescent="0.2">
      <c r="B1914" s="219"/>
      <c r="C1914" s="219"/>
      <c r="D1914" s="219"/>
      <c r="E1914" s="219"/>
      <c r="F1914" s="219"/>
      <c r="G1914" s="219"/>
      <c r="H1914" s="219"/>
      <c r="I1914" s="219"/>
      <c r="J1914" s="219"/>
      <c r="K1914" s="219"/>
      <c r="L1914" s="219"/>
      <c r="M1914" s="219"/>
      <c r="N1914" s="219"/>
      <c r="O1914" s="219"/>
      <c r="P1914" s="219"/>
      <c r="Q1914" s="221"/>
    </row>
    <row r="1915" spans="2:17" x14ac:dyDescent="0.2">
      <c r="B1915" s="219"/>
      <c r="C1915" s="219"/>
      <c r="D1915" s="219"/>
      <c r="E1915" s="219"/>
      <c r="F1915" s="219"/>
      <c r="G1915" s="219"/>
      <c r="H1915" s="219"/>
      <c r="I1915" s="219"/>
      <c r="J1915" s="219"/>
      <c r="K1915" s="219"/>
      <c r="L1915" s="219"/>
      <c r="M1915" s="219"/>
      <c r="N1915" s="219"/>
      <c r="O1915" s="219"/>
      <c r="P1915" s="219"/>
      <c r="Q1915" s="221"/>
    </row>
    <row r="1916" spans="2:17" x14ac:dyDescent="0.2">
      <c r="B1916" s="219"/>
      <c r="C1916" s="219"/>
      <c r="D1916" s="219"/>
      <c r="E1916" s="219"/>
      <c r="F1916" s="219"/>
      <c r="G1916" s="219"/>
      <c r="H1916" s="219"/>
      <c r="I1916" s="219"/>
      <c r="J1916" s="219"/>
      <c r="K1916" s="219"/>
      <c r="L1916" s="219"/>
      <c r="M1916" s="219"/>
      <c r="N1916" s="219"/>
      <c r="O1916" s="219"/>
      <c r="P1916" s="219"/>
      <c r="Q1916" s="221"/>
    </row>
    <row r="1917" spans="2:17" x14ac:dyDescent="0.2">
      <c r="B1917" s="219"/>
      <c r="C1917" s="219"/>
      <c r="D1917" s="219"/>
      <c r="E1917" s="219"/>
      <c r="F1917" s="219"/>
      <c r="G1917" s="219"/>
      <c r="H1917" s="219"/>
      <c r="I1917" s="219"/>
      <c r="J1917" s="219"/>
      <c r="K1917" s="219"/>
      <c r="L1917" s="219"/>
      <c r="M1917" s="219"/>
      <c r="N1917" s="219"/>
      <c r="O1917" s="219"/>
      <c r="P1917" s="219"/>
      <c r="Q1917" s="221"/>
    </row>
    <row r="1918" spans="2:17" x14ac:dyDescent="0.2">
      <c r="B1918" s="219"/>
      <c r="C1918" s="219"/>
      <c r="D1918" s="219"/>
      <c r="E1918" s="219"/>
      <c r="F1918" s="219"/>
      <c r="G1918" s="219"/>
      <c r="H1918" s="219"/>
      <c r="I1918" s="219"/>
      <c r="J1918" s="219"/>
      <c r="K1918" s="219"/>
      <c r="L1918" s="219"/>
      <c r="M1918" s="219"/>
      <c r="N1918" s="219"/>
      <c r="O1918" s="219"/>
      <c r="P1918" s="219"/>
      <c r="Q1918" s="221"/>
    </row>
    <row r="1919" spans="2:17" x14ac:dyDescent="0.2">
      <c r="B1919" s="219"/>
      <c r="C1919" s="219"/>
      <c r="D1919" s="219"/>
      <c r="E1919" s="219"/>
      <c r="F1919" s="219"/>
      <c r="G1919" s="219"/>
      <c r="H1919" s="219"/>
      <c r="I1919" s="219"/>
      <c r="J1919" s="219"/>
      <c r="K1919" s="219"/>
      <c r="L1919" s="219"/>
      <c r="M1919" s="219"/>
      <c r="N1919" s="219"/>
      <c r="O1919" s="219"/>
      <c r="P1919" s="219"/>
      <c r="Q1919" s="221"/>
    </row>
    <row r="1920" spans="2:17" x14ac:dyDescent="0.2">
      <c r="B1920" s="219"/>
      <c r="C1920" s="219"/>
      <c r="D1920" s="219"/>
      <c r="E1920" s="219"/>
      <c r="F1920" s="219"/>
      <c r="G1920" s="219"/>
      <c r="H1920" s="219"/>
      <c r="I1920" s="219"/>
      <c r="J1920" s="219"/>
      <c r="K1920" s="219"/>
      <c r="L1920" s="219"/>
      <c r="M1920" s="219"/>
      <c r="N1920" s="219"/>
      <c r="O1920" s="219"/>
      <c r="P1920" s="219"/>
      <c r="Q1920" s="221"/>
    </row>
    <row r="1921" spans="2:17" x14ac:dyDescent="0.2">
      <c r="B1921" s="219"/>
      <c r="C1921" s="219"/>
      <c r="D1921" s="219"/>
      <c r="E1921" s="219"/>
      <c r="F1921" s="219"/>
      <c r="G1921" s="219"/>
      <c r="H1921" s="219"/>
      <c r="I1921" s="219"/>
      <c r="J1921" s="219"/>
      <c r="K1921" s="219"/>
      <c r="L1921" s="219"/>
      <c r="M1921" s="219"/>
      <c r="N1921" s="219"/>
      <c r="O1921" s="219"/>
      <c r="P1921" s="219"/>
      <c r="Q1921" s="221"/>
    </row>
    <row r="1922" spans="2:17" x14ac:dyDescent="0.2">
      <c r="B1922" s="219"/>
      <c r="C1922" s="219"/>
      <c r="D1922" s="219"/>
      <c r="E1922" s="219"/>
      <c r="F1922" s="219"/>
      <c r="G1922" s="219"/>
      <c r="H1922" s="219"/>
      <c r="I1922" s="219"/>
      <c r="J1922" s="219"/>
      <c r="K1922" s="219"/>
      <c r="L1922" s="219"/>
      <c r="M1922" s="219"/>
      <c r="N1922" s="219"/>
      <c r="O1922" s="219"/>
      <c r="P1922" s="219"/>
      <c r="Q1922" s="221"/>
    </row>
    <row r="1923" spans="2:17" x14ac:dyDescent="0.2">
      <c r="B1923" s="219"/>
      <c r="C1923" s="219"/>
      <c r="D1923" s="219"/>
      <c r="E1923" s="219"/>
      <c r="F1923" s="219"/>
      <c r="G1923" s="219"/>
      <c r="H1923" s="219"/>
      <c r="I1923" s="219"/>
      <c r="J1923" s="219"/>
      <c r="K1923" s="219"/>
      <c r="L1923" s="219"/>
      <c r="M1923" s="219"/>
      <c r="N1923" s="219"/>
      <c r="O1923" s="219"/>
      <c r="P1923" s="219"/>
      <c r="Q1923" s="221"/>
    </row>
    <row r="1924" spans="2:17" x14ac:dyDescent="0.2">
      <c r="B1924" s="219"/>
      <c r="C1924" s="219"/>
      <c r="D1924" s="219"/>
      <c r="E1924" s="219"/>
      <c r="F1924" s="219"/>
      <c r="G1924" s="219"/>
      <c r="H1924" s="219"/>
      <c r="I1924" s="219"/>
      <c r="J1924" s="219"/>
      <c r="K1924" s="219"/>
      <c r="L1924" s="219"/>
      <c r="M1924" s="219"/>
      <c r="N1924" s="219"/>
      <c r="O1924" s="219"/>
      <c r="P1924" s="219"/>
      <c r="Q1924" s="221"/>
    </row>
    <row r="1925" spans="2:17" x14ac:dyDescent="0.2">
      <c r="B1925" s="219"/>
      <c r="C1925" s="219"/>
      <c r="D1925" s="219"/>
      <c r="E1925" s="219"/>
      <c r="F1925" s="219"/>
      <c r="G1925" s="219"/>
      <c r="H1925" s="219"/>
      <c r="I1925" s="219"/>
      <c r="J1925" s="219"/>
      <c r="K1925" s="219"/>
      <c r="L1925" s="219"/>
      <c r="M1925" s="219"/>
      <c r="N1925" s="219"/>
      <c r="O1925" s="219"/>
      <c r="P1925" s="219"/>
      <c r="Q1925" s="221"/>
    </row>
    <row r="1926" spans="2:17" x14ac:dyDescent="0.2">
      <c r="B1926" s="219"/>
      <c r="C1926" s="219"/>
      <c r="D1926" s="219"/>
      <c r="E1926" s="219"/>
      <c r="F1926" s="219"/>
      <c r="G1926" s="219"/>
      <c r="H1926" s="219"/>
      <c r="I1926" s="219"/>
      <c r="J1926" s="219"/>
      <c r="K1926" s="219"/>
      <c r="L1926" s="219"/>
      <c r="M1926" s="219"/>
      <c r="N1926" s="219"/>
      <c r="O1926" s="219"/>
      <c r="P1926" s="219"/>
      <c r="Q1926" s="221"/>
    </row>
    <row r="1927" spans="2:17" x14ac:dyDescent="0.2">
      <c r="B1927" s="219"/>
      <c r="C1927" s="219"/>
      <c r="D1927" s="219"/>
      <c r="E1927" s="219"/>
      <c r="F1927" s="219"/>
      <c r="G1927" s="219"/>
      <c r="H1927" s="219"/>
      <c r="I1927" s="219"/>
      <c r="J1927" s="219"/>
      <c r="K1927" s="219"/>
      <c r="L1927" s="219"/>
      <c r="M1927" s="219"/>
      <c r="N1927" s="219"/>
      <c r="O1927" s="219"/>
      <c r="P1927" s="219"/>
      <c r="Q1927" s="221"/>
    </row>
    <row r="1928" spans="2:17" x14ac:dyDescent="0.2">
      <c r="B1928" s="219"/>
      <c r="C1928" s="219"/>
      <c r="D1928" s="219"/>
      <c r="E1928" s="219"/>
      <c r="F1928" s="219"/>
      <c r="G1928" s="219"/>
      <c r="H1928" s="219"/>
      <c r="I1928" s="219"/>
      <c r="J1928" s="219"/>
      <c r="K1928" s="219"/>
      <c r="L1928" s="219"/>
      <c r="M1928" s="219"/>
      <c r="N1928" s="219"/>
      <c r="O1928" s="219"/>
      <c r="P1928" s="219"/>
      <c r="Q1928" s="221"/>
    </row>
    <row r="1929" spans="2:17" x14ac:dyDescent="0.2">
      <c r="B1929" s="219"/>
      <c r="C1929" s="219"/>
      <c r="D1929" s="219"/>
      <c r="E1929" s="219"/>
      <c r="F1929" s="219"/>
      <c r="G1929" s="219"/>
      <c r="H1929" s="219"/>
      <c r="I1929" s="219"/>
      <c r="J1929" s="219"/>
      <c r="K1929" s="219"/>
      <c r="L1929" s="219"/>
      <c r="M1929" s="219"/>
      <c r="N1929" s="219"/>
      <c r="O1929" s="219"/>
      <c r="P1929" s="219"/>
      <c r="Q1929" s="221"/>
    </row>
    <row r="1930" spans="2:17" x14ac:dyDescent="0.2">
      <c r="B1930" s="219"/>
      <c r="C1930" s="219"/>
      <c r="D1930" s="219"/>
      <c r="E1930" s="219"/>
      <c r="F1930" s="219"/>
      <c r="G1930" s="219"/>
      <c r="H1930" s="219"/>
      <c r="I1930" s="219"/>
      <c r="J1930" s="219"/>
      <c r="K1930" s="219"/>
      <c r="L1930" s="219"/>
      <c r="M1930" s="219"/>
      <c r="N1930" s="219"/>
      <c r="O1930" s="219"/>
      <c r="P1930" s="219"/>
      <c r="Q1930" s="221"/>
    </row>
    <row r="1931" spans="2:17" x14ac:dyDescent="0.2">
      <c r="B1931" s="219"/>
      <c r="C1931" s="219"/>
      <c r="D1931" s="219"/>
      <c r="E1931" s="219"/>
      <c r="F1931" s="219"/>
      <c r="G1931" s="219"/>
      <c r="H1931" s="219"/>
      <c r="I1931" s="219"/>
      <c r="J1931" s="219"/>
      <c r="K1931" s="219"/>
      <c r="L1931" s="219"/>
      <c r="M1931" s="219"/>
      <c r="N1931" s="219"/>
      <c r="O1931" s="219"/>
      <c r="P1931" s="219"/>
      <c r="Q1931" s="221"/>
    </row>
    <row r="1932" spans="2:17" x14ac:dyDescent="0.2">
      <c r="B1932" s="219"/>
      <c r="C1932" s="219"/>
      <c r="D1932" s="219"/>
      <c r="E1932" s="219"/>
      <c r="F1932" s="219"/>
      <c r="G1932" s="219"/>
      <c r="H1932" s="219"/>
      <c r="I1932" s="219"/>
      <c r="J1932" s="219"/>
      <c r="K1932" s="219"/>
      <c r="L1932" s="219"/>
      <c r="M1932" s="219"/>
      <c r="N1932" s="219"/>
      <c r="O1932" s="219"/>
      <c r="P1932" s="219"/>
      <c r="Q1932" s="221"/>
    </row>
    <row r="1933" spans="2:17" x14ac:dyDescent="0.2">
      <c r="B1933" s="219"/>
      <c r="C1933" s="219"/>
      <c r="D1933" s="219"/>
      <c r="E1933" s="219"/>
      <c r="F1933" s="219"/>
      <c r="G1933" s="219"/>
      <c r="H1933" s="219"/>
      <c r="I1933" s="219"/>
      <c r="J1933" s="219"/>
      <c r="K1933" s="219"/>
      <c r="L1933" s="219"/>
      <c r="M1933" s="219"/>
      <c r="N1933" s="219"/>
      <c r="O1933" s="219"/>
      <c r="P1933" s="219"/>
      <c r="Q1933" s="221"/>
    </row>
    <row r="1934" spans="2:17" x14ac:dyDescent="0.2">
      <c r="B1934" s="219"/>
      <c r="C1934" s="219"/>
      <c r="D1934" s="219"/>
      <c r="E1934" s="219"/>
      <c r="F1934" s="219"/>
      <c r="G1934" s="219"/>
      <c r="H1934" s="219"/>
      <c r="I1934" s="219"/>
      <c r="J1934" s="219"/>
      <c r="K1934" s="219"/>
      <c r="L1934" s="219"/>
      <c r="M1934" s="219"/>
      <c r="N1934" s="219"/>
      <c r="O1934" s="219"/>
      <c r="P1934" s="219"/>
      <c r="Q1934" s="221"/>
    </row>
    <row r="1935" spans="2:17" x14ac:dyDescent="0.2">
      <c r="B1935" s="219"/>
      <c r="C1935" s="219"/>
      <c r="D1935" s="219"/>
      <c r="E1935" s="219"/>
      <c r="F1935" s="219"/>
      <c r="G1935" s="219"/>
      <c r="H1935" s="219"/>
      <c r="I1935" s="219"/>
      <c r="J1935" s="219"/>
      <c r="K1935" s="219"/>
      <c r="L1935" s="219"/>
      <c r="M1935" s="219"/>
      <c r="N1935" s="219"/>
      <c r="O1935" s="219"/>
      <c r="P1935" s="219"/>
      <c r="Q1935" s="221"/>
    </row>
    <row r="1936" spans="2:17" x14ac:dyDescent="0.2">
      <c r="B1936" s="219"/>
      <c r="C1936" s="219"/>
      <c r="D1936" s="219"/>
      <c r="E1936" s="219"/>
      <c r="F1936" s="219"/>
      <c r="G1936" s="219"/>
      <c r="H1936" s="219"/>
      <c r="I1936" s="219"/>
      <c r="J1936" s="219"/>
      <c r="K1936" s="219"/>
      <c r="L1936" s="219"/>
      <c r="M1936" s="219"/>
      <c r="N1936" s="219"/>
      <c r="O1936" s="219"/>
      <c r="P1936" s="219"/>
      <c r="Q1936" s="221"/>
    </row>
    <row r="1937" spans="2:17" x14ac:dyDescent="0.2">
      <c r="B1937" s="219"/>
      <c r="C1937" s="219"/>
      <c r="D1937" s="219"/>
      <c r="E1937" s="219"/>
      <c r="F1937" s="219"/>
      <c r="G1937" s="219"/>
      <c r="H1937" s="219"/>
      <c r="I1937" s="219"/>
      <c r="J1937" s="219"/>
      <c r="K1937" s="219"/>
      <c r="L1937" s="219"/>
      <c r="M1937" s="219"/>
      <c r="N1937" s="219"/>
      <c r="O1937" s="219"/>
      <c r="P1937" s="219"/>
      <c r="Q1937" s="221"/>
    </row>
    <row r="1938" spans="2:17" x14ac:dyDescent="0.2">
      <c r="B1938" s="219"/>
      <c r="C1938" s="219"/>
      <c r="D1938" s="219"/>
      <c r="E1938" s="219"/>
      <c r="F1938" s="219"/>
      <c r="G1938" s="219"/>
      <c r="H1938" s="219"/>
      <c r="I1938" s="219"/>
      <c r="J1938" s="219"/>
      <c r="K1938" s="219"/>
      <c r="L1938" s="219"/>
      <c r="M1938" s="219"/>
      <c r="N1938" s="219"/>
      <c r="O1938" s="219"/>
      <c r="P1938" s="219"/>
      <c r="Q1938" s="221"/>
    </row>
    <row r="1939" spans="2:17" x14ac:dyDescent="0.2">
      <c r="B1939" s="219"/>
      <c r="C1939" s="219"/>
      <c r="D1939" s="219"/>
      <c r="E1939" s="219"/>
      <c r="F1939" s="219"/>
      <c r="G1939" s="219"/>
      <c r="H1939" s="219"/>
      <c r="I1939" s="219"/>
      <c r="J1939" s="219"/>
      <c r="K1939" s="219"/>
      <c r="L1939" s="219"/>
      <c r="M1939" s="219"/>
      <c r="N1939" s="219"/>
      <c r="O1939" s="219"/>
      <c r="P1939" s="219"/>
      <c r="Q1939" s="221"/>
    </row>
    <row r="1940" spans="2:17" x14ac:dyDescent="0.2">
      <c r="B1940" s="219"/>
      <c r="C1940" s="219"/>
      <c r="D1940" s="219"/>
      <c r="E1940" s="219"/>
      <c r="F1940" s="219"/>
      <c r="G1940" s="219"/>
      <c r="H1940" s="219"/>
      <c r="I1940" s="219"/>
      <c r="J1940" s="219"/>
      <c r="K1940" s="219"/>
      <c r="L1940" s="219"/>
      <c r="M1940" s="219"/>
      <c r="N1940" s="219"/>
      <c r="O1940" s="219"/>
      <c r="P1940" s="219"/>
      <c r="Q1940" s="221"/>
    </row>
    <row r="1941" spans="2:17" x14ac:dyDescent="0.2">
      <c r="B1941" s="219"/>
      <c r="C1941" s="219"/>
      <c r="D1941" s="219"/>
      <c r="E1941" s="219"/>
      <c r="F1941" s="219"/>
      <c r="G1941" s="219"/>
      <c r="H1941" s="219"/>
      <c r="I1941" s="219"/>
      <c r="J1941" s="219"/>
      <c r="K1941" s="219"/>
      <c r="L1941" s="219"/>
      <c r="M1941" s="219"/>
      <c r="N1941" s="219"/>
      <c r="O1941" s="219"/>
      <c r="P1941" s="219"/>
      <c r="Q1941" s="221"/>
    </row>
    <row r="1942" spans="2:17" x14ac:dyDescent="0.2">
      <c r="B1942" s="219"/>
      <c r="C1942" s="219"/>
      <c r="D1942" s="219"/>
      <c r="E1942" s="219"/>
      <c r="F1942" s="219"/>
      <c r="G1942" s="219"/>
      <c r="H1942" s="219"/>
      <c r="I1942" s="219"/>
      <c r="J1942" s="219"/>
      <c r="K1942" s="219"/>
      <c r="L1942" s="219"/>
      <c r="M1942" s="219"/>
      <c r="N1942" s="219"/>
      <c r="O1942" s="219"/>
      <c r="P1942" s="219"/>
      <c r="Q1942" s="221"/>
    </row>
    <row r="1943" spans="2:17" x14ac:dyDescent="0.2">
      <c r="B1943" s="219"/>
      <c r="C1943" s="219"/>
      <c r="D1943" s="219"/>
      <c r="E1943" s="219"/>
      <c r="F1943" s="219"/>
      <c r="G1943" s="219"/>
      <c r="H1943" s="219"/>
      <c r="I1943" s="219"/>
      <c r="J1943" s="219"/>
      <c r="K1943" s="219"/>
      <c r="L1943" s="219"/>
      <c r="M1943" s="219"/>
      <c r="N1943" s="219"/>
      <c r="O1943" s="219"/>
      <c r="P1943" s="219"/>
      <c r="Q1943" s="221"/>
    </row>
    <row r="1944" spans="2:17" x14ac:dyDescent="0.2">
      <c r="B1944" s="219"/>
      <c r="C1944" s="219"/>
      <c r="D1944" s="219"/>
      <c r="E1944" s="219"/>
      <c r="F1944" s="219"/>
      <c r="G1944" s="219"/>
      <c r="H1944" s="219"/>
      <c r="I1944" s="219"/>
      <c r="J1944" s="219"/>
      <c r="K1944" s="219"/>
      <c r="L1944" s="219"/>
      <c r="M1944" s="219"/>
      <c r="N1944" s="219"/>
      <c r="O1944" s="219"/>
      <c r="P1944" s="219"/>
      <c r="Q1944" s="221"/>
    </row>
    <row r="1945" spans="2:17" x14ac:dyDescent="0.2">
      <c r="B1945" s="219"/>
      <c r="C1945" s="219"/>
      <c r="D1945" s="219"/>
      <c r="E1945" s="219"/>
      <c r="F1945" s="219"/>
      <c r="G1945" s="219"/>
      <c r="H1945" s="219"/>
      <c r="I1945" s="219"/>
      <c r="J1945" s="219"/>
      <c r="K1945" s="219"/>
      <c r="L1945" s="219"/>
      <c r="M1945" s="219"/>
      <c r="N1945" s="219"/>
      <c r="O1945" s="219"/>
      <c r="P1945" s="219"/>
      <c r="Q1945" s="221"/>
    </row>
    <row r="1946" spans="2:17" x14ac:dyDescent="0.2">
      <c r="B1946" s="219"/>
      <c r="C1946" s="219"/>
      <c r="D1946" s="219"/>
      <c r="E1946" s="219"/>
      <c r="F1946" s="219"/>
      <c r="G1946" s="219"/>
      <c r="H1946" s="219"/>
      <c r="I1946" s="219"/>
      <c r="J1946" s="219"/>
      <c r="K1946" s="219"/>
      <c r="L1946" s="219"/>
      <c r="M1946" s="219"/>
      <c r="N1946" s="219"/>
      <c r="O1946" s="219"/>
      <c r="P1946" s="219"/>
      <c r="Q1946" s="221"/>
    </row>
    <row r="1947" spans="2:17" x14ac:dyDescent="0.2">
      <c r="B1947" s="219"/>
      <c r="C1947" s="219"/>
      <c r="D1947" s="219"/>
      <c r="E1947" s="219"/>
      <c r="F1947" s="219"/>
      <c r="G1947" s="219"/>
      <c r="H1947" s="219"/>
      <c r="I1947" s="219"/>
      <c r="J1947" s="219"/>
      <c r="K1947" s="219"/>
      <c r="L1947" s="219"/>
      <c r="M1947" s="219"/>
      <c r="N1947" s="219"/>
      <c r="O1947" s="219"/>
      <c r="P1947" s="219"/>
      <c r="Q1947" s="221"/>
    </row>
    <row r="1948" spans="2:17" x14ac:dyDescent="0.2">
      <c r="B1948" s="219"/>
      <c r="C1948" s="219"/>
      <c r="D1948" s="219"/>
      <c r="E1948" s="219"/>
      <c r="F1948" s="219"/>
      <c r="G1948" s="219"/>
      <c r="H1948" s="219"/>
      <c r="I1948" s="219"/>
      <c r="J1948" s="219"/>
      <c r="K1948" s="219"/>
      <c r="L1948" s="219"/>
      <c r="M1948" s="219"/>
      <c r="N1948" s="219"/>
      <c r="O1948" s="219"/>
      <c r="P1948" s="219"/>
      <c r="Q1948" s="221"/>
    </row>
    <row r="1949" spans="2:17" x14ac:dyDescent="0.2">
      <c r="B1949" s="219"/>
      <c r="C1949" s="219"/>
      <c r="D1949" s="219"/>
      <c r="E1949" s="219"/>
      <c r="F1949" s="219"/>
      <c r="G1949" s="219"/>
      <c r="H1949" s="219"/>
      <c r="I1949" s="219"/>
      <c r="J1949" s="219"/>
      <c r="K1949" s="219"/>
      <c r="L1949" s="219"/>
      <c r="M1949" s="219"/>
      <c r="N1949" s="219"/>
      <c r="O1949" s="219"/>
      <c r="P1949" s="219"/>
      <c r="Q1949" s="221"/>
    </row>
    <row r="1950" spans="2:17" x14ac:dyDescent="0.2">
      <c r="B1950" s="219"/>
      <c r="C1950" s="219"/>
      <c r="D1950" s="219"/>
      <c r="E1950" s="219"/>
      <c r="F1950" s="219"/>
      <c r="G1950" s="219"/>
      <c r="H1950" s="219"/>
      <c r="I1950" s="219"/>
      <c r="J1950" s="219"/>
      <c r="K1950" s="219"/>
      <c r="L1950" s="219"/>
      <c r="M1950" s="219"/>
      <c r="N1950" s="219"/>
      <c r="O1950" s="219"/>
      <c r="P1950" s="219"/>
      <c r="Q1950" s="221"/>
    </row>
    <row r="1951" spans="2:17" x14ac:dyDescent="0.2">
      <c r="B1951" s="219"/>
      <c r="C1951" s="219"/>
      <c r="D1951" s="219"/>
      <c r="E1951" s="219"/>
      <c r="F1951" s="219"/>
      <c r="G1951" s="219"/>
      <c r="H1951" s="219"/>
      <c r="I1951" s="219"/>
      <c r="J1951" s="219"/>
      <c r="K1951" s="219"/>
      <c r="L1951" s="219"/>
      <c r="M1951" s="219"/>
      <c r="N1951" s="219"/>
      <c r="O1951" s="219"/>
      <c r="P1951" s="219"/>
      <c r="Q1951" s="221"/>
    </row>
    <row r="1952" spans="2:17" x14ac:dyDescent="0.2">
      <c r="B1952" s="219"/>
      <c r="C1952" s="219"/>
      <c r="D1952" s="219"/>
      <c r="E1952" s="219"/>
      <c r="F1952" s="219"/>
      <c r="G1952" s="219"/>
      <c r="H1952" s="219"/>
      <c r="I1952" s="219"/>
      <c r="J1952" s="219"/>
      <c r="K1952" s="219"/>
      <c r="L1952" s="219"/>
      <c r="M1952" s="219"/>
      <c r="N1952" s="219"/>
      <c r="O1952" s="219"/>
      <c r="P1952" s="219"/>
      <c r="Q1952" s="221"/>
    </row>
    <row r="1953" spans="2:17" x14ac:dyDescent="0.2">
      <c r="B1953" s="219"/>
      <c r="C1953" s="219"/>
      <c r="D1953" s="219"/>
      <c r="E1953" s="219"/>
      <c r="F1953" s="219"/>
      <c r="G1953" s="219"/>
      <c r="H1953" s="219"/>
      <c r="I1953" s="219"/>
      <c r="J1953" s="219"/>
      <c r="K1953" s="219"/>
      <c r="L1953" s="219"/>
      <c r="M1953" s="219"/>
      <c r="N1953" s="219"/>
      <c r="O1953" s="219"/>
      <c r="P1953" s="219"/>
      <c r="Q1953" s="221"/>
    </row>
    <row r="1954" spans="2:17" x14ac:dyDescent="0.2">
      <c r="B1954" s="219"/>
      <c r="C1954" s="219"/>
      <c r="D1954" s="219"/>
      <c r="E1954" s="219"/>
      <c r="F1954" s="219"/>
      <c r="G1954" s="219"/>
      <c r="H1954" s="219"/>
      <c r="I1954" s="219"/>
      <c r="J1954" s="219"/>
      <c r="K1954" s="219"/>
      <c r="L1954" s="219"/>
      <c r="M1954" s="219"/>
      <c r="N1954" s="219"/>
      <c r="O1954" s="219"/>
      <c r="P1954" s="219"/>
      <c r="Q1954" s="221"/>
    </row>
    <row r="1955" spans="2:17" x14ac:dyDescent="0.2">
      <c r="B1955" s="219"/>
      <c r="C1955" s="219"/>
      <c r="D1955" s="219"/>
      <c r="E1955" s="219"/>
      <c r="F1955" s="219"/>
      <c r="G1955" s="219"/>
      <c r="H1955" s="219"/>
      <c r="I1955" s="219"/>
      <c r="J1955" s="219"/>
      <c r="K1955" s="219"/>
      <c r="L1955" s="219"/>
      <c r="M1955" s="219"/>
      <c r="N1955" s="219"/>
      <c r="O1955" s="219"/>
      <c r="P1955" s="219"/>
      <c r="Q1955" s="221"/>
    </row>
    <row r="1956" spans="2:17" x14ac:dyDescent="0.2">
      <c r="B1956" s="219"/>
      <c r="C1956" s="219"/>
      <c r="D1956" s="219"/>
      <c r="E1956" s="219"/>
      <c r="F1956" s="219"/>
      <c r="G1956" s="219"/>
      <c r="H1956" s="219"/>
      <c r="I1956" s="219"/>
      <c r="J1956" s="219"/>
      <c r="K1956" s="219"/>
      <c r="L1956" s="219"/>
      <c r="M1956" s="219"/>
      <c r="N1956" s="219"/>
      <c r="O1956" s="219"/>
      <c r="P1956" s="219"/>
      <c r="Q1956" s="221"/>
    </row>
    <row r="1957" spans="2:17" x14ac:dyDescent="0.2">
      <c r="B1957" s="219"/>
      <c r="C1957" s="219"/>
      <c r="D1957" s="219"/>
      <c r="E1957" s="219"/>
      <c r="F1957" s="219"/>
      <c r="G1957" s="219"/>
      <c r="H1957" s="219"/>
      <c r="I1957" s="219"/>
      <c r="J1957" s="219"/>
      <c r="K1957" s="219"/>
      <c r="L1957" s="219"/>
      <c r="M1957" s="219"/>
      <c r="N1957" s="219"/>
      <c r="O1957" s="219"/>
      <c r="P1957" s="219"/>
      <c r="Q1957" s="221"/>
    </row>
    <row r="1958" spans="2:17" x14ac:dyDescent="0.2">
      <c r="B1958" s="219"/>
      <c r="C1958" s="219"/>
      <c r="D1958" s="219"/>
      <c r="E1958" s="219"/>
      <c r="F1958" s="219"/>
      <c r="G1958" s="219"/>
      <c r="H1958" s="219"/>
      <c r="I1958" s="219"/>
      <c r="J1958" s="219"/>
      <c r="K1958" s="219"/>
      <c r="L1958" s="219"/>
      <c r="M1958" s="219"/>
      <c r="N1958" s="219"/>
      <c r="O1958" s="219"/>
      <c r="P1958" s="219"/>
      <c r="Q1958" s="221"/>
    </row>
    <row r="1959" spans="2:17" x14ac:dyDescent="0.2">
      <c r="B1959" s="219"/>
      <c r="C1959" s="219"/>
      <c r="D1959" s="219"/>
      <c r="E1959" s="219"/>
      <c r="F1959" s="219"/>
      <c r="G1959" s="219"/>
      <c r="H1959" s="219"/>
      <c r="I1959" s="219"/>
      <c r="J1959" s="219"/>
      <c r="K1959" s="219"/>
      <c r="L1959" s="219"/>
      <c r="M1959" s="219"/>
      <c r="N1959" s="219"/>
      <c r="O1959" s="219"/>
      <c r="P1959" s="219"/>
      <c r="Q1959" s="221"/>
    </row>
    <row r="1960" spans="2:17" x14ac:dyDescent="0.2">
      <c r="B1960" s="219"/>
      <c r="C1960" s="219"/>
      <c r="D1960" s="219"/>
      <c r="E1960" s="219"/>
      <c r="F1960" s="219"/>
      <c r="G1960" s="219"/>
      <c r="H1960" s="219"/>
      <c r="I1960" s="219"/>
      <c r="J1960" s="219"/>
      <c r="K1960" s="219"/>
      <c r="L1960" s="219"/>
      <c r="M1960" s="219"/>
      <c r="N1960" s="219"/>
      <c r="O1960" s="219"/>
      <c r="P1960" s="219"/>
      <c r="Q1960" s="221"/>
    </row>
    <row r="1961" spans="2:17" x14ac:dyDescent="0.2">
      <c r="B1961" s="219"/>
      <c r="C1961" s="219"/>
      <c r="D1961" s="219"/>
      <c r="E1961" s="219"/>
      <c r="F1961" s="219"/>
      <c r="G1961" s="219"/>
      <c r="H1961" s="219"/>
      <c r="I1961" s="219"/>
      <c r="J1961" s="219"/>
      <c r="K1961" s="219"/>
      <c r="L1961" s="219"/>
      <c r="M1961" s="219"/>
      <c r="N1961" s="219"/>
      <c r="O1961" s="219"/>
      <c r="P1961" s="219"/>
      <c r="Q1961" s="221"/>
    </row>
    <row r="1962" spans="2:17" x14ac:dyDescent="0.2">
      <c r="B1962" s="219"/>
      <c r="C1962" s="219"/>
      <c r="D1962" s="219"/>
      <c r="E1962" s="219"/>
      <c r="F1962" s="219"/>
      <c r="G1962" s="219"/>
      <c r="H1962" s="219"/>
      <c r="I1962" s="219"/>
      <c r="J1962" s="219"/>
      <c r="K1962" s="219"/>
      <c r="L1962" s="219"/>
      <c r="M1962" s="219"/>
      <c r="N1962" s="219"/>
      <c r="O1962" s="219"/>
      <c r="P1962" s="219"/>
      <c r="Q1962" s="221"/>
    </row>
    <row r="1963" spans="2:17" x14ac:dyDescent="0.2">
      <c r="B1963" s="219"/>
      <c r="C1963" s="219"/>
      <c r="D1963" s="219"/>
      <c r="E1963" s="219"/>
      <c r="F1963" s="219"/>
      <c r="G1963" s="219"/>
      <c r="H1963" s="219"/>
      <c r="I1963" s="219"/>
      <c r="J1963" s="219"/>
      <c r="K1963" s="219"/>
      <c r="L1963" s="219"/>
      <c r="M1963" s="219"/>
      <c r="N1963" s="219"/>
      <c r="O1963" s="219"/>
      <c r="P1963" s="219"/>
      <c r="Q1963" s="221"/>
    </row>
    <row r="1964" spans="2:17" x14ac:dyDescent="0.2">
      <c r="B1964" s="219"/>
      <c r="C1964" s="219"/>
      <c r="D1964" s="219"/>
      <c r="E1964" s="219"/>
      <c r="F1964" s="219"/>
      <c r="G1964" s="219"/>
      <c r="H1964" s="219"/>
      <c r="I1964" s="219"/>
      <c r="J1964" s="219"/>
      <c r="K1964" s="219"/>
      <c r="L1964" s="219"/>
      <c r="M1964" s="219"/>
      <c r="N1964" s="219"/>
      <c r="O1964" s="219"/>
      <c r="P1964" s="219"/>
      <c r="Q1964" s="221"/>
    </row>
    <row r="1965" spans="2:17" x14ac:dyDescent="0.2">
      <c r="B1965" s="219"/>
      <c r="C1965" s="219"/>
      <c r="D1965" s="219"/>
      <c r="E1965" s="219"/>
      <c r="F1965" s="219"/>
      <c r="G1965" s="219"/>
      <c r="H1965" s="219"/>
      <c r="I1965" s="219"/>
      <c r="J1965" s="219"/>
      <c r="K1965" s="219"/>
      <c r="L1965" s="219"/>
      <c r="M1965" s="219"/>
      <c r="N1965" s="219"/>
      <c r="O1965" s="219"/>
      <c r="P1965" s="219"/>
      <c r="Q1965" s="221"/>
    </row>
    <row r="1966" spans="2:17" x14ac:dyDescent="0.2">
      <c r="B1966" s="219"/>
      <c r="C1966" s="219"/>
      <c r="D1966" s="219"/>
      <c r="E1966" s="219"/>
      <c r="F1966" s="219"/>
      <c r="G1966" s="219"/>
      <c r="H1966" s="219"/>
      <c r="I1966" s="219"/>
      <c r="J1966" s="219"/>
      <c r="K1966" s="219"/>
      <c r="L1966" s="219"/>
      <c r="M1966" s="219"/>
      <c r="N1966" s="219"/>
      <c r="O1966" s="219"/>
      <c r="P1966" s="219"/>
      <c r="Q1966" s="221"/>
    </row>
    <row r="1967" spans="2:17" x14ac:dyDescent="0.2">
      <c r="B1967" s="219"/>
      <c r="C1967" s="219"/>
      <c r="D1967" s="219"/>
      <c r="E1967" s="219"/>
      <c r="F1967" s="219"/>
      <c r="G1967" s="219"/>
      <c r="H1967" s="219"/>
      <c r="I1967" s="219"/>
      <c r="J1967" s="219"/>
      <c r="K1967" s="219"/>
      <c r="L1967" s="219"/>
      <c r="M1967" s="219"/>
      <c r="N1967" s="219"/>
      <c r="O1967" s="219"/>
      <c r="P1967" s="219"/>
      <c r="Q1967" s="221"/>
    </row>
    <row r="1968" spans="2:17" x14ac:dyDescent="0.2">
      <c r="B1968" s="219"/>
      <c r="C1968" s="219"/>
      <c r="D1968" s="219"/>
      <c r="E1968" s="219"/>
      <c r="F1968" s="219"/>
      <c r="G1968" s="219"/>
      <c r="H1968" s="219"/>
      <c r="I1968" s="219"/>
      <c r="J1968" s="219"/>
      <c r="K1968" s="219"/>
      <c r="L1968" s="219"/>
      <c r="M1968" s="219"/>
      <c r="N1968" s="219"/>
      <c r="O1968" s="219"/>
      <c r="P1968" s="219"/>
      <c r="Q1968" s="221"/>
    </row>
    <row r="1969" spans="2:17" x14ac:dyDescent="0.2">
      <c r="B1969" s="219"/>
      <c r="C1969" s="219"/>
      <c r="D1969" s="219"/>
      <c r="E1969" s="219"/>
      <c r="F1969" s="219"/>
      <c r="G1969" s="219"/>
      <c r="H1969" s="219"/>
      <c r="I1969" s="219"/>
      <c r="J1969" s="219"/>
      <c r="K1969" s="219"/>
      <c r="L1969" s="219"/>
      <c r="M1969" s="219"/>
      <c r="N1969" s="219"/>
      <c r="O1969" s="219"/>
      <c r="P1969" s="219"/>
      <c r="Q1969" s="221"/>
    </row>
    <row r="1970" spans="2:17" x14ac:dyDescent="0.2">
      <c r="B1970" s="219"/>
      <c r="C1970" s="219"/>
      <c r="D1970" s="219"/>
      <c r="E1970" s="219"/>
      <c r="F1970" s="219"/>
      <c r="G1970" s="219"/>
      <c r="H1970" s="219"/>
      <c r="I1970" s="219"/>
      <c r="J1970" s="219"/>
      <c r="K1970" s="219"/>
      <c r="L1970" s="219"/>
      <c r="M1970" s="219"/>
      <c r="N1970" s="219"/>
      <c r="O1970" s="219"/>
      <c r="P1970" s="219"/>
      <c r="Q1970" s="221"/>
    </row>
    <row r="1971" spans="2:17" x14ac:dyDescent="0.2">
      <c r="B1971" s="219"/>
      <c r="C1971" s="219"/>
      <c r="D1971" s="219"/>
      <c r="E1971" s="219"/>
      <c r="F1971" s="219"/>
      <c r="G1971" s="219"/>
      <c r="H1971" s="219"/>
      <c r="I1971" s="219"/>
      <c r="J1971" s="219"/>
      <c r="K1971" s="219"/>
      <c r="L1971" s="219"/>
      <c r="M1971" s="219"/>
      <c r="N1971" s="219"/>
      <c r="O1971" s="219"/>
      <c r="P1971" s="219"/>
      <c r="Q1971" s="221"/>
    </row>
    <row r="1972" spans="2:17" x14ac:dyDescent="0.2">
      <c r="B1972" s="219"/>
      <c r="C1972" s="219"/>
      <c r="D1972" s="219"/>
      <c r="E1972" s="219"/>
      <c r="F1972" s="219"/>
      <c r="G1972" s="219"/>
      <c r="H1972" s="219"/>
      <c r="I1972" s="219"/>
      <c r="J1972" s="219"/>
      <c r="K1972" s="219"/>
      <c r="L1972" s="219"/>
      <c r="M1972" s="219"/>
      <c r="N1972" s="219"/>
      <c r="O1972" s="219"/>
      <c r="P1972" s="219"/>
      <c r="Q1972" s="221"/>
    </row>
    <row r="1973" spans="2:17" x14ac:dyDescent="0.2">
      <c r="B1973" s="219"/>
      <c r="C1973" s="219"/>
      <c r="D1973" s="219"/>
      <c r="E1973" s="219"/>
      <c r="F1973" s="219"/>
      <c r="G1973" s="219"/>
      <c r="H1973" s="219"/>
      <c r="I1973" s="219"/>
      <c r="J1973" s="219"/>
      <c r="K1973" s="219"/>
      <c r="L1973" s="219"/>
      <c r="M1973" s="219"/>
      <c r="N1973" s="219"/>
      <c r="O1973" s="219"/>
      <c r="P1973" s="219"/>
      <c r="Q1973" s="221"/>
    </row>
    <row r="1974" spans="2:17" x14ac:dyDescent="0.2">
      <c r="B1974" s="219"/>
      <c r="C1974" s="219"/>
      <c r="D1974" s="219"/>
      <c r="E1974" s="219"/>
      <c r="F1974" s="219"/>
      <c r="G1974" s="219"/>
      <c r="H1974" s="219"/>
      <c r="I1974" s="219"/>
      <c r="J1974" s="219"/>
      <c r="K1974" s="219"/>
      <c r="L1974" s="219"/>
      <c r="M1974" s="219"/>
      <c r="N1974" s="219"/>
      <c r="O1974" s="219"/>
      <c r="P1974" s="219"/>
      <c r="Q1974" s="221"/>
    </row>
    <row r="1975" spans="2:17" x14ac:dyDescent="0.2">
      <c r="B1975" s="219"/>
      <c r="C1975" s="219"/>
      <c r="D1975" s="219"/>
      <c r="E1975" s="219"/>
      <c r="F1975" s="219"/>
      <c r="G1975" s="219"/>
      <c r="H1975" s="219"/>
      <c r="I1975" s="219"/>
      <c r="J1975" s="219"/>
      <c r="K1975" s="219"/>
      <c r="L1975" s="219"/>
      <c r="M1975" s="219"/>
      <c r="N1975" s="219"/>
      <c r="O1975" s="219"/>
      <c r="P1975" s="219"/>
      <c r="Q1975" s="221"/>
    </row>
    <row r="1976" spans="2:17" x14ac:dyDescent="0.2">
      <c r="B1976" s="219"/>
      <c r="C1976" s="219"/>
      <c r="D1976" s="219"/>
      <c r="E1976" s="219"/>
      <c r="F1976" s="219"/>
      <c r="G1976" s="219"/>
      <c r="H1976" s="219"/>
      <c r="I1976" s="219"/>
      <c r="J1976" s="219"/>
      <c r="K1976" s="219"/>
      <c r="L1976" s="219"/>
      <c r="M1976" s="219"/>
      <c r="N1976" s="219"/>
      <c r="O1976" s="219"/>
      <c r="P1976" s="219"/>
      <c r="Q1976" s="221"/>
    </row>
    <row r="1977" spans="2:17" x14ac:dyDescent="0.2">
      <c r="B1977" s="219"/>
      <c r="C1977" s="219"/>
      <c r="D1977" s="219"/>
      <c r="E1977" s="219"/>
      <c r="F1977" s="219"/>
      <c r="G1977" s="219"/>
      <c r="H1977" s="219"/>
      <c r="I1977" s="219"/>
      <c r="J1977" s="219"/>
      <c r="K1977" s="219"/>
      <c r="L1977" s="219"/>
      <c r="M1977" s="219"/>
      <c r="N1977" s="219"/>
      <c r="O1977" s="219"/>
      <c r="P1977" s="219"/>
      <c r="Q1977" s="221"/>
    </row>
    <row r="1978" spans="2:17" x14ac:dyDescent="0.2">
      <c r="B1978" s="219"/>
      <c r="C1978" s="219"/>
      <c r="D1978" s="219"/>
      <c r="E1978" s="219"/>
      <c r="F1978" s="219"/>
      <c r="G1978" s="219"/>
      <c r="H1978" s="219"/>
      <c r="I1978" s="219"/>
      <c r="J1978" s="219"/>
      <c r="K1978" s="219"/>
      <c r="L1978" s="219"/>
      <c r="M1978" s="219"/>
      <c r="N1978" s="219"/>
      <c r="O1978" s="219"/>
      <c r="P1978" s="219"/>
      <c r="Q1978" s="221"/>
    </row>
    <row r="1979" spans="2:17" x14ac:dyDescent="0.2">
      <c r="B1979" s="219"/>
      <c r="C1979" s="219"/>
      <c r="D1979" s="219"/>
      <c r="E1979" s="219"/>
      <c r="F1979" s="219"/>
      <c r="G1979" s="219"/>
      <c r="H1979" s="219"/>
      <c r="I1979" s="219"/>
      <c r="J1979" s="219"/>
      <c r="K1979" s="219"/>
      <c r="L1979" s="219"/>
      <c r="M1979" s="219"/>
      <c r="N1979" s="219"/>
      <c r="O1979" s="219"/>
      <c r="P1979" s="219"/>
      <c r="Q1979" s="221"/>
    </row>
    <row r="1980" spans="2:17" x14ac:dyDescent="0.2">
      <c r="B1980" s="219"/>
      <c r="C1980" s="219"/>
      <c r="D1980" s="219"/>
      <c r="E1980" s="219"/>
      <c r="F1980" s="219"/>
      <c r="G1980" s="219"/>
      <c r="H1980" s="219"/>
      <c r="I1980" s="219"/>
      <c r="J1980" s="219"/>
      <c r="K1980" s="219"/>
      <c r="L1980" s="219"/>
      <c r="M1980" s="219"/>
      <c r="N1980" s="219"/>
      <c r="O1980" s="219"/>
      <c r="P1980" s="219"/>
      <c r="Q1980" s="221"/>
    </row>
    <row r="1981" spans="2:17" x14ac:dyDescent="0.2">
      <c r="B1981" s="219"/>
      <c r="C1981" s="219"/>
      <c r="D1981" s="219"/>
      <c r="E1981" s="219"/>
      <c r="F1981" s="219"/>
      <c r="G1981" s="219"/>
      <c r="H1981" s="219"/>
      <c r="I1981" s="219"/>
      <c r="J1981" s="219"/>
      <c r="K1981" s="219"/>
      <c r="L1981" s="219"/>
      <c r="M1981" s="219"/>
      <c r="N1981" s="219"/>
      <c r="O1981" s="219"/>
      <c r="P1981" s="219"/>
      <c r="Q1981" s="221"/>
    </row>
    <row r="1982" spans="2:17" x14ac:dyDescent="0.2">
      <c r="B1982" s="219"/>
      <c r="C1982" s="219"/>
      <c r="D1982" s="219"/>
      <c r="E1982" s="219"/>
      <c r="F1982" s="219"/>
      <c r="G1982" s="219"/>
      <c r="H1982" s="219"/>
      <c r="I1982" s="219"/>
      <c r="J1982" s="219"/>
      <c r="K1982" s="219"/>
      <c r="L1982" s="219"/>
      <c r="M1982" s="219"/>
      <c r="N1982" s="219"/>
      <c r="O1982" s="219"/>
      <c r="P1982" s="219"/>
      <c r="Q1982" s="221"/>
    </row>
    <row r="1983" spans="2:17" x14ac:dyDescent="0.2">
      <c r="B1983" s="219"/>
      <c r="C1983" s="219"/>
      <c r="D1983" s="219"/>
      <c r="E1983" s="219"/>
      <c r="F1983" s="219"/>
      <c r="G1983" s="219"/>
      <c r="H1983" s="219"/>
      <c r="I1983" s="219"/>
      <c r="J1983" s="219"/>
      <c r="K1983" s="219"/>
      <c r="L1983" s="219"/>
      <c r="M1983" s="219"/>
      <c r="N1983" s="219"/>
      <c r="O1983" s="219"/>
      <c r="P1983" s="219"/>
      <c r="Q1983" s="221"/>
    </row>
    <row r="1984" spans="2:17" x14ac:dyDescent="0.2">
      <c r="B1984" s="219"/>
      <c r="C1984" s="219"/>
      <c r="D1984" s="219"/>
      <c r="E1984" s="219"/>
      <c r="F1984" s="219"/>
      <c r="G1984" s="219"/>
      <c r="H1984" s="219"/>
      <c r="I1984" s="219"/>
      <c r="J1984" s="219"/>
      <c r="K1984" s="219"/>
      <c r="L1984" s="219"/>
      <c r="M1984" s="219"/>
      <c r="N1984" s="219"/>
      <c r="O1984" s="219"/>
      <c r="P1984" s="219"/>
      <c r="Q1984" s="221"/>
    </row>
    <row r="1985" spans="2:17" x14ac:dyDescent="0.2">
      <c r="B1985" s="219"/>
      <c r="C1985" s="219"/>
      <c r="D1985" s="219"/>
      <c r="E1985" s="219"/>
      <c r="F1985" s="219"/>
      <c r="G1985" s="219"/>
      <c r="H1985" s="219"/>
      <c r="I1985" s="219"/>
      <c r="J1985" s="219"/>
      <c r="K1985" s="219"/>
      <c r="L1985" s="219"/>
      <c r="M1985" s="219"/>
      <c r="N1985" s="219"/>
      <c r="O1985" s="219"/>
      <c r="P1985" s="219"/>
      <c r="Q1985" s="221"/>
    </row>
    <row r="1986" spans="2:17" x14ac:dyDescent="0.2">
      <c r="B1986" s="219"/>
      <c r="C1986" s="219"/>
      <c r="D1986" s="219"/>
      <c r="E1986" s="219"/>
      <c r="F1986" s="219"/>
      <c r="G1986" s="219"/>
      <c r="H1986" s="219"/>
      <c r="I1986" s="219"/>
      <c r="J1986" s="219"/>
      <c r="K1986" s="219"/>
      <c r="L1986" s="219"/>
      <c r="M1986" s="219"/>
      <c r="N1986" s="219"/>
      <c r="O1986" s="219"/>
      <c r="P1986" s="219"/>
      <c r="Q1986" s="221"/>
    </row>
    <row r="1987" spans="2:17" x14ac:dyDescent="0.2">
      <c r="B1987" s="219"/>
      <c r="C1987" s="219"/>
      <c r="D1987" s="219"/>
      <c r="E1987" s="219"/>
      <c r="F1987" s="219"/>
      <c r="G1987" s="219"/>
      <c r="H1987" s="219"/>
      <c r="I1987" s="219"/>
      <c r="J1987" s="219"/>
      <c r="K1987" s="219"/>
      <c r="L1987" s="219"/>
      <c r="M1987" s="219"/>
      <c r="N1987" s="219"/>
      <c r="O1987" s="219"/>
      <c r="P1987" s="219"/>
      <c r="Q1987" s="221"/>
    </row>
    <row r="1988" spans="2:17" x14ac:dyDescent="0.2">
      <c r="B1988" s="219"/>
      <c r="C1988" s="219"/>
      <c r="D1988" s="219"/>
      <c r="E1988" s="219"/>
      <c r="F1988" s="219"/>
      <c r="G1988" s="219"/>
      <c r="H1988" s="219"/>
      <c r="I1988" s="219"/>
      <c r="J1988" s="219"/>
      <c r="K1988" s="219"/>
      <c r="L1988" s="219"/>
      <c r="M1988" s="219"/>
      <c r="N1988" s="219"/>
      <c r="O1988" s="219"/>
      <c r="P1988" s="219"/>
      <c r="Q1988" s="221"/>
    </row>
    <row r="1989" spans="2:17" x14ac:dyDescent="0.2">
      <c r="B1989" s="219"/>
      <c r="C1989" s="219"/>
      <c r="D1989" s="219"/>
      <c r="E1989" s="219"/>
      <c r="F1989" s="219"/>
      <c r="G1989" s="219"/>
      <c r="H1989" s="219"/>
      <c r="I1989" s="219"/>
      <c r="J1989" s="219"/>
      <c r="K1989" s="219"/>
      <c r="L1989" s="219"/>
      <c r="M1989" s="219"/>
      <c r="N1989" s="219"/>
      <c r="O1989" s="219"/>
      <c r="P1989" s="219"/>
      <c r="Q1989" s="221"/>
    </row>
    <row r="1990" spans="2:17" x14ac:dyDescent="0.2">
      <c r="B1990" s="219"/>
      <c r="C1990" s="219"/>
      <c r="D1990" s="219"/>
      <c r="E1990" s="219"/>
      <c r="F1990" s="219"/>
      <c r="G1990" s="219"/>
      <c r="H1990" s="219"/>
      <c r="I1990" s="219"/>
      <c r="J1990" s="219"/>
      <c r="K1990" s="219"/>
      <c r="L1990" s="219"/>
      <c r="M1990" s="219"/>
      <c r="N1990" s="219"/>
      <c r="O1990" s="219"/>
      <c r="P1990" s="219"/>
      <c r="Q1990" s="221"/>
    </row>
    <row r="1991" spans="2:17" x14ac:dyDescent="0.2">
      <c r="B1991" s="219"/>
      <c r="C1991" s="219"/>
      <c r="D1991" s="219"/>
      <c r="E1991" s="219"/>
      <c r="F1991" s="219"/>
      <c r="G1991" s="219"/>
      <c r="H1991" s="219"/>
      <c r="I1991" s="219"/>
      <c r="J1991" s="219"/>
      <c r="K1991" s="219"/>
      <c r="L1991" s="219"/>
      <c r="M1991" s="219"/>
      <c r="N1991" s="219"/>
      <c r="O1991" s="219"/>
      <c r="P1991" s="219"/>
      <c r="Q1991" s="221"/>
    </row>
    <row r="1992" spans="2:17" x14ac:dyDescent="0.2">
      <c r="B1992" s="219"/>
      <c r="C1992" s="219"/>
      <c r="D1992" s="219"/>
      <c r="E1992" s="219"/>
      <c r="F1992" s="219"/>
      <c r="G1992" s="219"/>
      <c r="H1992" s="219"/>
      <c r="I1992" s="219"/>
      <c r="J1992" s="219"/>
      <c r="K1992" s="219"/>
      <c r="L1992" s="219"/>
      <c r="M1992" s="219"/>
      <c r="N1992" s="219"/>
      <c r="O1992" s="219"/>
      <c r="P1992" s="219"/>
      <c r="Q1992" s="221"/>
    </row>
    <row r="1993" spans="2:17" x14ac:dyDescent="0.2">
      <c r="B1993" s="219"/>
      <c r="C1993" s="219"/>
      <c r="D1993" s="219"/>
      <c r="E1993" s="219"/>
      <c r="F1993" s="219"/>
      <c r="G1993" s="219"/>
      <c r="H1993" s="219"/>
      <c r="I1993" s="219"/>
      <c r="J1993" s="219"/>
      <c r="K1993" s="219"/>
      <c r="L1993" s="219"/>
      <c r="M1993" s="219"/>
      <c r="N1993" s="219"/>
      <c r="O1993" s="219"/>
      <c r="P1993" s="219"/>
      <c r="Q1993" s="221"/>
    </row>
    <row r="1994" spans="2:17" x14ac:dyDescent="0.2">
      <c r="B1994" s="219"/>
      <c r="C1994" s="219"/>
      <c r="D1994" s="219"/>
      <c r="E1994" s="219"/>
      <c r="F1994" s="219"/>
      <c r="G1994" s="219"/>
      <c r="H1994" s="219"/>
      <c r="I1994" s="219"/>
      <c r="J1994" s="219"/>
      <c r="K1994" s="219"/>
      <c r="L1994" s="219"/>
      <c r="M1994" s="219"/>
      <c r="N1994" s="219"/>
      <c r="O1994" s="219"/>
      <c r="P1994" s="219"/>
      <c r="Q1994" s="221"/>
    </row>
    <row r="1995" spans="2:17" x14ac:dyDescent="0.2">
      <c r="B1995" s="219"/>
      <c r="C1995" s="219"/>
      <c r="D1995" s="219"/>
      <c r="E1995" s="219"/>
      <c r="F1995" s="219"/>
      <c r="G1995" s="219"/>
      <c r="H1995" s="219"/>
      <c r="I1995" s="219"/>
      <c r="J1995" s="219"/>
      <c r="K1995" s="219"/>
      <c r="L1995" s="219"/>
      <c r="M1995" s="219"/>
      <c r="N1995" s="219"/>
      <c r="O1995" s="219"/>
      <c r="P1995" s="219"/>
      <c r="Q1995" s="221"/>
    </row>
    <row r="1996" spans="2:17" x14ac:dyDescent="0.2">
      <c r="B1996" s="219"/>
      <c r="C1996" s="219"/>
      <c r="D1996" s="219"/>
      <c r="E1996" s="219"/>
      <c r="F1996" s="219"/>
      <c r="G1996" s="219"/>
      <c r="H1996" s="219"/>
      <c r="I1996" s="219"/>
      <c r="J1996" s="219"/>
      <c r="K1996" s="219"/>
      <c r="L1996" s="219"/>
      <c r="M1996" s="219"/>
      <c r="N1996" s="219"/>
      <c r="O1996" s="219"/>
      <c r="P1996" s="219"/>
      <c r="Q1996" s="221"/>
    </row>
    <row r="1997" spans="2:17" x14ac:dyDescent="0.2">
      <c r="B1997" s="219"/>
      <c r="C1997" s="219"/>
      <c r="D1997" s="219"/>
      <c r="E1997" s="219"/>
      <c r="F1997" s="219"/>
      <c r="G1997" s="219"/>
      <c r="H1997" s="219"/>
      <c r="I1997" s="219"/>
      <c r="J1997" s="219"/>
      <c r="K1997" s="219"/>
      <c r="L1997" s="219"/>
      <c r="M1997" s="219"/>
      <c r="N1997" s="219"/>
      <c r="O1997" s="219"/>
      <c r="P1997" s="219"/>
      <c r="Q1997" s="221"/>
    </row>
    <row r="1998" spans="2:17" x14ac:dyDescent="0.2">
      <c r="B1998" s="219"/>
      <c r="C1998" s="219"/>
      <c r="D1998" s="219"/>
      <c r="E1998" s="219"/>
      <c r="F1998" s="219"/>
      <c r="G1998" s="219"/>
      <c r="H1998" s="219"/>
      <c r="I1998" s="219"/>
      <c r="J1998" s="219"/>
      <c r="K1998" s="219"/>
      <c r="L1998" s="219"/>
      <c r="M1998" s="219"/>
      <c r="N1998" s="219"/>
      <c r="O1998" s="219"/>
      <c r="P1998" s="219"/>
      <c r="Q1998" s="221"/>
    </row>
    <row r="1999" spans="2:17" x14ac:dyDescent="0.2">
      <c r="B1999" s="219"/>
      <c r="C1999" s="219"/>
      <c r="D1999" s="219"/>
      <c r="E1999" s="219"/>
      <c r="F1999" s="219"/>
      <c r="G1999" s="219"/>
      <c r="H1999" s="219"/>
      <c r="I1999" s="219"/>
      <c r="J1999" s="219"/>
      <c r="K1999" s="219"/>
      <c r="L1999" s="219"/>
      <c r="M1999" s="219"/>
      <c r="N1999" s="219"/>
      <c r="O1999" s="219"/>
      <c r="P1999" s="219"/>
      <c r="Q1999" s="221"/>
    </row>
    <row r="2000" spans="2:17" x14ac:dyDescent="0.2">
      <c r="B2000" s="219"/>
      <c r="C2000" s="219"/>
      <c r="D2000" s="219"/>
      <c r="E2000" s="219"/>
      <c r="F2000" s="219"/>
      <c r="G2000" s="219"/>
      <c r="H2000" s="219"/>
      <c r="I2000" s="219"/>
      <c r="J2000" s="219"/>
      <c r="K2000" s="219"/>
      <c r="L2000" s="219"/>
      <c r="M2000" s="219"/>
      <c r="N2000" s="219"/>
      <c r="O2000" s="219"/>
      <c r="P2000" s="219"/>
      <c r="Q2000" s="221"/>
    </row>
    <row r="2001" spans="2:17" x14ac:dyDescent="0.2">
      <c r="B2001" s="219"/>
      <c r="C2001" s="219"/>
      <c r="D2001" s="219"/>
      <c r="E2001" s="219"/>
      <c r="F2001" s="219"/>
      <c r="G2001" s="219"/>
      <c r="H2001" s="219"/>
      <c r="I2001" s="219"/>
      <c r="J2001" s="219"/>
      <c r="K2001" s="219"/>
      <c r="L2001" s="219"/>
      <c r="M2001" s="219"/>
      <c r="N2001" s="219"/>
      <c r="O2001" s="219"/>
      <c r="P2001" s="219"/>
      <c r="Q2001" s="221"/>
    </row>
    <row r="2002" spans="2:17" x14ac:dyDescent="0.2">
      <c r="B2002" s="219"/>
      <c r="C2002" s="219"/>
      <c r="D2002" s="219"/>
      <c r="E2002" s="219"/>
      <c r="F2002" s="219"/>
      <c r="G2002" s="219"/>
      <c r="H2002" s="219"/>
      <c r="I2002" s="219"/>
      <c r="J2002" s="219"/>
      <c r="K2002" s="219"/>
      <c r="L2002" s="219"/>
      <c r="M2002" s="219"/>
      <c r="N2002" s="219"/>
      <c r="O2002" s="219"/>
      <c r="P2002" s="219"/>
      <c r="Q2002" s="221"/>
    </row>
    <row r="2003" spans="2:17" x14ac:dyDescent="0.2">
      <c r="B2003" s="219"/>
      <c r="C2003" s="219"/>
      <c r="D2003" s="219"/>
      <c r="E2003" s="219"/>
      <c r="F2003" s="219"/>
      <c r="G2003" s="219"/>
      <c r="H2003" s="219"/>
      <c r="I2003" s="219"/>
      <c r="J2003" s="219"/>
      <c r="K2003" s="219"/>
      <c r="L2003" s="219"/>
      <c r="M2003" s="219"/>
      <c r="N2003" s="219"/>
      <c r="O2003" s="219"/>
      <c r="P2003" s="219"/>
      <c r="Q2003" s="221"/>
    </row>
    <row r="2004" spans="2:17" x14ac:dyDescent="0.2">
      <c r="B2004" s="219"/>
      <c r="C2004" s="219"/>
      <c r="D2004" s="219"/>
      <c r="E2004" s="219"/>
      <c r="F2004" s="219"/>
      <c r="G2004" s="219"/>
      <c r="H2004" s="219"/>
      <c r="I2004" s="219"/>
      <c r="J2004" s="219"/>
      <c r="K2004" s="219"/>
      <c r="L2004" s="219"/>
      <c r="M2004" s="219"/>
      <c r="N2004" s="219"/>
      <c r="O2004" s="219"/>
      <c r="P2004" s="219"/>
      <c r="Q2004" s="221"/>
    </row>
    <row r="2005" spans="2:17" x14ac:dyDescent="0.2">
      <c r="B2005" s="219"/>
      <c r="C2005" s="219"/>
      <c r="D2005" s="219"/>
      <c r="E2005" s="219"/>
      <c r="F2005" s="219"/>
      <c r="G2005" s="219"/>
      <c r="H2005" s="219"/>
      <c r="I2005" s="219"/>
      <c r="J2005" s="219"/>
      <c r="K2005" s="219"/>
      <c r="L2005" s="219"/>
      <c r="M2005" s="219"/>
      <c r="N2005" s="219"/>
      <c r="O2005" s="219"/>
      <c r="P2005" s="219"/>
      <c r="Q2005" s="221"/>
    </row>
    <row r="2006" spans="2:17" x14ac:dyDescent="0.2">
      <c r="B2006" s="219"/>
      <c r="C2006" s="219"/>
      <c r="D2006" s="219"/>
      <c r="E2006" s="219"/>
      <c r="F2006" s="219"/>
      <c r="G2006" s="219"/>
      <c r="H2006" s="219"/>
      <c r="I2006" s="219"/>
      <c r="J2006" s="219"/>
      <c r="K2006" s="219"/>
      <c r="L2006" s="219"/>
      <c r="M2006" s="219"/>
      <c r="N2006" s="219"/>
      <c r="O2006" s="219"/>
      <c r="P2006" s="219"/>
      <c r="Q2006" s="221"/>
    </row>
    <row r="2007" spans="2:17" x14ac:dyDescent="0.2">
      <c r="B2007" s="219"/>
      <c r="C2007" s="219"/>
      <c r="D2007" s="219"/>
      <c r="E2007" s="219"/>
      <c r="F2007" s="219"/>
      <c r="G2007" s="219"/>
      <c r="H2007" s="219"/>
      <c r="I2007" s="219"/>
      <c r="J2007" s="219"/>
      <c r="K2007" s="219"/>
      <c r="L2007" s="219"/>
      <c r="M2007" s="219"/>
      <c r="N2007" s="219"/>
      <c r="O2007" s="219"/>
      <c r="P2007" s="219"/>
      <c r="Q2007" s="221"/>
    </row>
    <row r="2008" spans="2:17" x14ac:dyDescent="0.2">
      <c r="B2008" s="219"/>
      <c r="C2008" s="219"/>
      <c r="D2008" s="219"/>
      <c r="E2008" s="219"/>
      <c r="F2008" s="219"/>
      <c r="G2008" s="219"/>
      <c r="H2008" s="219"/>
      <c r="I2008" s="219"/>
      <c r="J2008" s="219"/>
      <c r="K2008" s="219"/>
      <c r="L2008" s="219"/>
      <c r="M2008" s="219"/>
      <c r="N2008" s="219"/>
      <c r="O2008" s="219"/>
      <c r="P2008" s="219"/>
      <c r="Q2008" s="221"/>
    </row>
    <row r="2009" spans="2:17" x14ac:dyDescent="0.2">
      <c r="B2009" s="219"/>
      <c r="C2009" s="219"/>
      <c r="D2009" s="219"/>
      <c r="E2009" s="219"/>
      <c r="F2009" s="219"/>
      <c r="G2009" s="219"/>
      <c r="H2009" s="219"/>
      <c r="I2009" s="219"/>
      <c r="J2009" s="219"/>
      <c r="K2009" s="219"/>
      <c r="L2009" s="219"/>
      <c r="M2009" s="219"/>
      <c r="N2009" s="219"/>
      <c r="O2009" s="219"/>
      <c r="P2009" s="219"/>
      <c r="Q2009" s="221"/>
    </row>
    <row r="2010" spans="2:17" x14ac:dyDescent="0.2">
      <c r="B2010" s="219"/>
      <c r="C2010" s="219"/>
      <c r="D2010" s="219"/>
      <c r="E2010" s="219"/>
      <c r="F2010" s="219"/>
      <c r="G2010" s="219"/>
      <c r="H2010" s="219"/>
      <c r="I2010" s="219"/>
      <c r="J2010" s="219"/>
      <c r="K2010" s="219"/>
      <c r="L2010" s="219"/>
      <c r="M2010" s="219"/>
      <c r="N2010" s="219"/>
      <c r="O2010" s="219"/>
      <c r="P2010" s="219"/>
      <c r="Q2010" s="221"/>
    </row>
    <row r="2011" spans="2:17" x14ac:dyDescent="0.2">
      <c r="B2011" s="219"/>
      <c r="C2011" s="219"/>
      <c r="D2011" s="219"/>
      <c r="E2011" s="219"/>
      <c r="F2011" s="219"/>
      <c r="G2011" s="219"/>
      <c r="H2011" s="219"/>
      <c r="I2011" s="219"/>
      <c r="J2011" s="219"/>
      <c r="K2011" s="219"/>
      <c r="L2011" s="219"/>
      <c r="M2011" s="219"/>
      <c r="N2011" s="219"/>
      <c r="O2011" s="219"/>
      <c r="P2011" s="219"/>
      <c r="Q2011" s="221"/>
    </row>
    <row r="2012" spans="2:17" x14ac:dyDescent="0.2">
      <c r="B2012" s="219"/>
      <c r="C2012" s="219"/>
      <c r="D2012" s="219"/>
      <c r="E2012" s="219"/>
      <c r="F2012" s="219"/>
      <c r="G2012" s="219"/>
      <c r="H2012" s="219"/>
      <c r="I2012" s="219"/>
      <c r="J2012" s="219"/>
      <c r="K2012" s="219"/>
      <c r="L2012" s="219"/>
      <c r="M2012" s="219"/>
      <c r="N2012" s="219"/>
      <c r="O2012" s="219"/>
      <c r="P2012" s="219"/>
      <c r="Q2012" s="221"/>
    </row>
    <row r="2013" spans="2:17" x14ac:dyDescent="0.2">
      <c r="B2013" s="219"/>
      <c r="C2013" s="219"/>
      <c r="D2013" s="219"/>
      <c r="E2013" s="219"/>
      <c r="F2013" s="219"/>
      <c r="G2013" s="219"/>
      <c r="H2013" s="219"/>
      <c r="I2013" s="219"/>
      <c r="J2013" s="219"/>
      <c r="K2013" s="219"/>
      <c r="L2013" s="219"/>
      <c r="M2013" s="219"/>
      <c r="N2013" s="219"/>
      <c r="O2013" s="219"/>
      <c r="P2013" s="219"/>
      <c r="Q2013" s="221"/>
    </row>
    <row r="2014" spans="2:17" x14ac:dyDescent="0.2">
      <c r="B2014" s="219"/>
      <c r="C2014" s="219"/>
      <c r="D2014" s="219"/>
      <c r="E2014" s="219"/>
      <c r="F2014" s="219"/>
      <c r="G2014" s="219"/>
      <c r="H2014" s="219"/>
      <c r="I2014" s="219"/>
      <c r="J2014" s="219"/>
      <c r="K2014" s="219"/>
      <c r="L2014" s="219"/>
      <c r="M2014" s="219"/>
      <c r="N2014" s="219"/>
      <c r="O2014" s="219"/>
      <c r="P2014" s="219"/>
      <c r="Q2014" s="221"/>
    </row>
    <row r="2015" spans="2:17" x14ac:dyDescent="0.2">
      <c r="B2015" s="219"/>
      <c r="C2015" s="219"/>
      <c r="D2015" s="219"/>
      <c r="E2015" s="219"/>
      <c r="F2015" s="219"/>
      <c r="G2015" s="219"/>
      <c r="H2015" s="219"/>
      <c r="I2015" s="219"/>
      <c r="J2015" s="219"/>
      <c r="K2015" s="219"/>
      <c r="L2015" s="219"/>
      <c r="M2015" s="219"/>
      <c r="N2015" s="219"/>
      <c r="O2015" s="219"/>
      <c r="P2015" s="219"/>
      <c r="Q2015" s="221"/>
    </row>
    <row r="2016" spans="2:17" x14ac:dyDescent="0.2">
      <c r="B2016" s="219"/>
      <c r="C2016" s="219"/>
      <c r="D2016" s="219"/>
      <c r="E2016" s="219"/>
      <c r="F2016" s="219"/>
      <c r="G2016" s="219"/>
      <c r="H2016" s="219"/>
      <c r="I2016" s="219"/>
      <c r="J2016" s="219"/>
      <c r="K2016" s="219"/>
      <c r="L2016" s="219"/>
      <c r="M2016" s="219"/>
      <c r="N2016" s="219"/>
      <c r="O2016" s="219"/>
      <c r="P2016" s="219"/>
      <c r="Q2016" s="221"/>
    </row>
    <row r="2017" spans="2:17" x14ac:dyDescent="0.2">
      <c r="B2017" s="219"/>
      <c r="C2017" s="219"/>
      <c r="D2017" s="219"/>
      <c r="E2017" s="219"/>
      <c r="F2017" s="219"/>
      <c r="G2017" s="219"/>
      <c r="H2017" s="219"/>
      <c r="I2017" s="219"/>
      <c r="J2017" s="219"/>
      <c r="K2017" s="219"/>
      <c r="L2017" s="219"/>
      <c r="M2017" s="219"/>
      <c r="N2017" s="219"/>
      <c r="O2017" s="219"/>
      <c r="P2017" s="219"/>
      <c r="Q2017" s="221"/>
    </row>
    <row r="2018" spans="2:17" x14ac:dyDescent="0.2">
      <c r="B2018" s="219"/>
      <c r="C2018" s="219"/>
      <c r="D2018" s="219"/>
      <c r="E2018" s="219"/>
      <c r="F2018" s="219"/>
      <c r="G2018" s="219"/>
      <c r="H2018" s="219"/>
      <c r="I2018" s="219"/>
      <c r="J2018" s="219"/>
      <c r="K2018" s="219"/>
      <c r="L2018" s="219"/>
      <c r="M2018" s="219"/>
      <c r="N2018" s="219"/>
      <c r="O2018" s="219"/>
      <c r="P2018" s="219"/>
      <c r="Q2018" s="221"/>
    </row>
    <row r="2019" spans="2:17" x14ac:dyDescent="0.2">
      <c r="B2019" s="219"/>
      <c r="C2019" s="219"/>
      <c r="D2019" s="219"/>
      <c r="E2019" s="219"/>
      <c r="F2019" s="219"/>
      <c r="G2019" s="219"/>
      <c r="H2019" s="219"/>
      <c r="I2019" s="219"/>
      <c r="J2019" s="219"/>
      <c r="K2019" s="219"/>
      <c r="L2019" s="219"/>
      <c r="M2019" s="219"/>
      <c r="N2019" s="219"/>
      <c r="O2019" s="219"/>
      <c r="P2019" s="219"/>
      <c r="Q2019" s="221"/>
    </row>
    <row r="2020" spans="2:17" x14ac:dyDescent="0.2">
      <c r="B2020" s="219"/>
      <c r="C2020" s="219"/>
      <c r="D2020" s="219"/>
      <c r="E2020" s="219"/>
      <c r="F2020" s="219"/>
      <c r="G2020" s="219"/>
      <c r="H2020" s="219"/>
      <c r="I2020" s="219"/>
      <c r="J2020" s="219"/>
      <c r="K2020" s="219"/>
      <c r="L2020" s="219"/>
      <c r="M2020" s="219"/>
      <c r="N2020" s="219"/>
      <c r="O2020" s="219"/>
      <c r="P2020" s="219"/>
      <c r="Q2020" s="221"/>
    </row>
    <row r="2021" spans="2:17" x14ac:dyDescent="0.2">
      <c r="B2021" s="219"/>
      <c r="C2021" s="219"/>
      <c r="D2021" s="219"/>
      <c r="E2021" s="219"/>
      <c r="F2021" s="219"/>
      <c r="G2021" s="219"/>
      <c r="H2021" s="219"/>
      <c r="I2021" s="219"/>
      <c r="J2021" s="219"/>
      <c r="K2021" s="219"/>
      <c r="L2021" s="219"/>
      <c r="M2021" s="219"/>
      <c r="N2021" s="219"/>
      <c r="O2021" s="219"/>
      <c r="P2021" s="219"/>
      <c r="Q2021" s="221"/>
    </row>
    <row r="2022" spans="2:17" x14ac:dyDescent="0.2">
      <c r="B2022" s="219"/>
      <c r="C2022" s="219"/>
      <c r="D2022" s="219"/>
      <c r="E2022" s="219"/>
      <c r="F2022" s="219"/>
      <c r="G2022" s="219"/>
      <c r="H2022" s="219"/>
      <c r="I2022" s="219"/>
      <c r="J2022" s="219"/>
      <c r="K2022" s="219"/>
      <c r="L2022" s="219"/>
      <c r="M2022" s="219"/>
      <c r="N2022" s="219"/>
      <c r="O2022" s="219"/>
      <c r="P2022" s="219"/>
      <c r="Q2022" s="221"/>
    </row>
    <row r="2023" spans="2:17" x14ac:dyDescent="0.2">
      <c r="B2023" s="219"/>
      <c r="C2023" s="219"/>
      <c r="D2023" s="219"/>
      <c r="E2023" s="219"/>
      <c r="F2023" s="219"/>
      <c r="G2023" s="219"/>
      <c r="H2023" s="219"/>
      <c r="I2023" s="219"/>
      <c r="J2023" s="219"/>
      <c r="K2023" s="219"/>
      <c r="L2023" s="219"/>
      <c r="M2023" s="219"/>
      <c r="N2023" s="219"/>
      <c r="O2023" s="219"/>
      <c r="P2023" s="219"/>
      <c r="Q2023" s="221"/>
    </row>
    <row r="2024" spans="2:17" x14ac:dyDescent="0.2">
      <c r="B2024" s="219"/>
      <c r="C2024" s="219"/>
      <c r="D2024" s="219"/>
      <c r="E2024" s="219"/>
      <c r="F2024" s="219"/>
      <c r="G2024" s="219"/>
      <c r="H2024" s="219"/>
      <c r="I2024" s="219"/>
      <c r="J2024" s="219"/>
      <c r="K2024" s="219"/>
      <c r="L2024" s="219"/>
      <c r="M2024" s="219"/>
      <c r="N2024" s="219"/>
      <c r="O2024" s="219"/>
      <c r="P2024" s="219"/>
      <c r="Q2024" s="221"/>
    </row>
    <row r="2025" spans="2:17" x14ac:dyDescent="0.2">
      <c r="B2025" s="219"/>
      <c r="C2025" s="219"/>
      <c r="D2025" s="219"/>
      <c r="E2025" s="219"/>
      <c r="F2025" s="219"/>
      <c r="G2025" s="219"/>
      <c r="H2025" s="219"/>
      <c r="I2025" s="219"/>
      <c r="J2025" s="219"/>
      <c r="K2025" s="219"/>
      <c r="L2025" s="219"/>
      <c r="M2025" s="219"/>
      <c r="N2025" s="219"/>
      <c r="O2025" s="219"/>
      <c r="P2025" s="219"/>
      <c r="Q2025" s="221"/>
    </row>
    <row r="2026" spans="2:17" x14ac:dyDescent="0.2">
      <c r="B2026" s="219"/>
      <c r="C2026" s="219"/>
      <c r="D2026" s="219"/>
      <c r="E2026" s="219"/>
      <c r="F2026" s="219"/>
      <c r="G2026" s="219"/>
      <c r="H2026" s="219"/>
      <c r="I2026" s="219"/>
      <c r="J2026" s="219"/>
      <c r="K2026" s="219"/>
      <c r="L2026" s="219"/>
      <c r="M2026" s="219"/>
      <c r="N2026" s="219"/>
      <c r="O2026" s="219"/>
      <c r="P2026" s="219"/>
      <c r="Q2026" s="221"/>
    </row>
    <row r="2027" spans="2:17" x14ac:dyDescent="0.2">
      <c r="B2027" s="219"/>
      <c r="C2027" s="219"/>
      <c r="D2027" s="219"/>
      <c r="E2027" s="219"/>
      <c r="F2027" s="219"/>
      <c r="G2027" s="219"/>
      <c r="H2027" s="219"/>
      <c r="I2027" s="219"/>
      <c r="J2027" s="219"/>
      <c r="K2027" s="219"/>
      <c r="L2027" s="219"/>
      <c r="M2027" s="219"/>
      <c r="N2027" s="219"/>
      <c r="O2027" s="219"/>
      <c r="P2027" s="219"/>
      <c r="Q2027" s="221"/>
    </row>
    <row r="2028" spans="2:17" x14ac:dyDescent="0.2">
      <c r="B2028" s="219"/>
      <c r="C2028" s="219"/>
      <c r="D2028" s="219"/>
      <c r="E2028" s="219"/>
      <c r="F2028" s="219"/>
      <c r="G2028" s="219"/>
      <c r="H2028" s="219"/>
      <c r="I2028" s="219"/>
      <c r="J2028" s="219"/>
      <c r="K2028" s="219"/>
      <c r="L2028" s="219"/>
      <c r="M2028" s="219"/>
      <c r="N2028" s="219"/>
      <c r="O2028" s="219"/>
      <c r="P2028" s="219"/>
      <c r="Q2028" s="221"/>
    </row>
    <row r="2029" spans="2:17" x14ac:dyDescent="0.2">
      <c r="B2029" s="219"/>
      <c r="C2029" s="219"/>
      <c r="D2029" s="219"/>
      <c r="E2029" s="219"/>
      <c r="F2029" s="219"/>
      <c r="G2029" s="219"/>
      <c r="H2029" s="219"/>
      <c r="I2029" s="219"/>
      <c r="J2029" s="219"/>
      <c r="K2029" s="219"/>
      <c r="L2029" s="219"/>
      <c r="M2029" s="219"/>
      <c r="N2029" s="219"/>
      <c r="O2029" s="219"/>
      <c r="P2029" s="219"/>
      <c r="Q2029" s="221"/>
    </row>
    <row r="2030" spans="2:17" x14ac:dyDescent="0.2">
      <c r="B2030" s="219"/>
      <c r="C2030" s="219"/>
      <c r="D2030" s="219"/>
      <c r="E2030" s="219"/>
      <c r="F2030" s="219"/>
      <c r="G2030" s="219"/>
      <c r="H2030" s="219"/>
      <c r="I2030" s="219"/>
      <c r="J2030" s="219"/>
      <c r="K2030" s="219"/>
      <c r="L2030" s="219"/>
      <c r="M2030" s="219"/>
      <c r="N2030" s="219"/>
      <c r="O2030" s="219"/>
      <c r="P2030" s="219"/>
      <c r="Q2030" s="221"/>
    </row>
    <row r="2031" spans="2:17" x14ac:dyDescent="0.2">
      <c r="B2031" s="219"/>
      <c r="C2031" s="219"/>
      <c r="D2031" s="219"/>
      <c r="E2031" s="219"/>
      <c r="F2031" s="219"/>
      <c r="G2031" s="219"/>
      <c r="H2031" s="219"/>
      <c r="I2031" s="219"/>
      <c r="J2031" s="219"/>
      <c r="K2031" s="219"/>
      <c r="L2031" s="219"/>
      <c r="M2031" s="219"/>
      <c r="N2031" s="219"/>
      <c r="O2031" s="219"/>
      <c r="P2031" s="219"/>
      <c r="Q2031" s="221"/>
    </row>
    <row r="2032" spans="2:17" x14ac:dyDescent="0.2">
      <c r="B2032" s="219"/>
      <c r="C2032" s="219"/>
      <c r="D2032" s="219"/>
      <c r="E2032" s="219"/>
      <c r="F2032" s="219"/>
      <c r="G2032" s="219"/>
      <c r="H2032" s="219"/>
      <c r="I2032" s="219"/>
      <c r="J2032" s="219"/>
      <c r="K2032" s="219"/>
      <c r="L2032" s="219"/>
      <c r="M2032" s="219"/>
      <c r="N2032" s="219"/>
      <c r="O2032" s="219"/>
      <c r="P2032" s="219"/>
      <c r="Q2032" s="221"/>
    </row>
    <row r="2033" spans="2:17" x14ac:dyDescent="0.2">
      <c r="B2033" s="219"/>
      <c r="C2033" s="219"/>
      <c r="D2033" s="219"/>
      <c r="E2033" s="219"/>
      <c r="F2033" s="219"/>
      <c r="G2033" s="219"/>
      <c r="H2033" s="219"/>
      <c r="I2033" s="219"/>
      <c r="J2033" s="219"/>
      <c r="K2033" s="219"/>
      <c r="L2033" s="219"/>
      <c r="M2033" s="219"/>
      <c r="N2033" s="219"/>
      <c r="O2033" s="219"/>
      <c r="P2033" s="219"/>
      <c r="Q2033" s="221"/>
    </row>
    <row r="2034" spans="2:17" x14ac:dyDescent="0.2">
      <c r="B2034" s="219"/>
      <c r="C2034" s="219"/>
      <c r="D2034" s="219"/>
      <c r="E2034" s="219"/>
      <c r="F2034" s="219"/>
      <c r="G2034" s="219"/>
      <c r="H2034" s="219"/>
      <c r="I2034" s="219"/>
      <c r="J2034" s="219"/>
      <c r="K2034" s="219"/>
      <c r="L2034" s="219"/>
      <c r="M2034" s="219"/>
      <c r="N2034" s="219"/>
      <c r="O2034" s="219"/>
      <c r="P2034" s="219"/>
      <c r="Q2034" s="221"/>
    </row>
    <row r="2035" spans="2:17" x14ac:dyDescent="0.2">
      <c r="B2035" s="219"/>
      <c r="C2035" s="219"/>
      <c r="D2035" s="219"/>
      <c r="E2035" s="219"/>
      <c r="F2035" s="219"/>
      <c r="G2035" s="219"/>
      <c r="H2035" s="219"/>
      <c r="I2035" s="219"/>
      <c r="J2035" s="219"/>
      <c r="K2035" s="219"/>
      <c r="L2035" s="219"/>
      <c r="M2035" s="219"/>
      <c r="N2035" s="219"/>
      <c r="O2035" s="219"/>
      <c r="P2035" s="219"/>
      <c r="Q2035" s="221"/>
    </row>
    <row r="2036" spans="2:17" x14ac:dyDescent="0.2">
      <c r="B2036" s="219"/>
      <c r="C2036" s="219"/>
      <c r="D2036" s="219"/>
      <c r="E2036" s="219"/>
      <c r="F2036" s="219"/>
      <c r="G2036" s="219"/>
      <c r="H2036" s="219"/>
      <c r="I2036" s="219"/>
      <c r="J2036" s="219"/>
      <c r="K2036" s="219"/>
      <c r="L2036" s="219"/>
      <c r="M2036" s="219"/>
      <c r="N2036" s="219"/>
      <c r="O2036" s="219"/>
      <c r="P2036" s="219"/>
      <c r="Q2036" s="221"/>
    </row>
    <row r="2037" spans="2:17" x14ac:dyDescent="0.2">
      <c r="B2037" s="219"/>
      <c r="C2037" s="219"/>
      <c r="D2037" s="219"/>
      <c r="E2037" s="219"/>
      <c r="F2037" s="219"/>
      <c r="G2037" s="219"/>
      <c r="H2037" s="219"/>
      <c r="I2037" s="219"/>
      <c r="J2037" s="219"/>
      <c r="K2037" s="219"/>
      <c r="L2037" s="219"/>
      <c r="M2037" s="219"/>
      <c r="N2037" s="219"/>
      <c r="O2037" s="219"/>
      <c r="P2037" s="219"/>
      <c r="Q2037" s="221"/>
    </row>
    <row r="2038" spans="2:17" x14ac:dyDescent="0.2">
      <c r="B2038" s="219"/>
      <c r="C2038" s="219"/>
      <c r="D2038" s="219"/>
      <c r="E2038" s="219"/>
      <c r="F2038" s="219"/>
      <c r="G2038" s="219"/>
      <c r="H2038" s="219"/>
      <c r="I2038" s="219"/>
      <c r="J2038" s="219"/>
      <c r="K2038" s="219"/>
      <c r="L2038" s="219"/>
      <c r="M2038" s="219"/>
      <c r="N2038" s="219"/>
      <c r="O2038" s="219"/>
      <c r="P2038" s="219"/>
      <c r="Q2038" s="221"/>
    </row>
    <row r="2039" spans="2:17" x14ac:dyDescent="0.2">
      <c r="B2039" s="219"/>
      <c r="C2039" s="219"/>
      <c r="D2039" s="219"/>
      <c r="E2039" s="219"/>
      <c r="F2039" s="219"/>
      <c r="G2039" s="219"/>
      <c r="H2039" s="219"/>
      <c r="I2039" s="219"/>
      <c r="J2039" s="219"/>
      <c r="K2039" s="219"/>
      <c r="L2039" s="219"/>
      <c r="M2039" s="219"/>
      <c r="N2039" s="219"/>
      <c r="O2039" s="219"/>
      <c r="P2039" s="219"/>
      <c r="Q2039" s="221"/>
    </row>
    <row r="2040" spans="2:17" x14ac:dyDescent="0.2">
      <c r="B2040" s="219"/>
      <c r="C2040" s="219"/>
      <c r="D2040" s="219"/>
      <c r="E2040" s="219"/>
      <c r="F2040" s="219"/>
      <c r="G2040" s="219"/>
      <c r="H2040" s="219"/>
      <c r="I2040" s="219"/>
      <c r="J2040" s="219"/>
      <c r="K2040" s="219"/>
      <c r="L2040" s="219"/>
      <c r="M2040" s="219"/>
      <c r="N2040" s="219"/>
      <c r="O2040" s="219"/>
      <c r="P2040" s="219"/>
      <c r="Q2040" s="221"/>
    </row>
    <row r="2041" spans="2:17" x14ac:dyDescent="0.2">
      <c r="B2041" s="219"/>
      <c r="C2041" s="219"/>
      <c r="D2041" s="219"/>
      <c r="E2041" s="219"/>
      <c r="F2041" s="219"/>
      <c r="G2041" s="219"/>
      <c r="H2041" s="219"/>
      <c r="I2041" s="219"/>
      <c r="J2041" s="219"/>
      <c r="K2041" s="219"/>
      <c r="L2041" s="219"/>
      <c r="M2041" s="219"/>
      <c r="N2041" s="219"/>
      <c r="O2041" s="219"/>
      <c r="P2041" s="219"/>
      <c r="Q2041" s="221"/>
    </row>
    <row r="2042" spans="2:17" x14ac:dyDescent="0.2">
      <c r="B2042" s="219"/>
      <c r="C2042" s="219"/>
      <c r="D2042" s="219"/>
      <c r="E2042" s="219"/>
      <c r="F2042" s="219"/>
      <c r="G2042" s="219"/>
      <c r="H2042" s="219"/>
      <c r="I2042" s="219"/>
      <c r="J2042" s="219"/>
      <c r="K2042" s="219"/>
      <c r="L2042" s="219"/>
      <c r="M2042" s="219"/>
      <c r="N2042" s="219"/>
      <c r="O2042" s="219"/>
      <c r="P2042" s="219"/>
      <c r="Q2042" s="221"/>
    </row>
    <row r="2043" spans="2:17" x14ac:dyDescent="0.2">
      <c r="B2043" s="219"/>
      <c r="C2043" s="219"/>
      <c r="D2043" s="219"/>
      <c r="E2043" s="219"/>
      <c r="F2043" s="219"/>
      <c r="G2043" s="219"/>
      <c r="H2043" s="219"/>
      <c r="I2043" s="219"/>
      <c r="J2043" s="219"/>
      <c r="K2043" s="219"/>
      <c r="L2043" s="219"/>
      <c r="M2043" s="219"/>
      <c r="N2043" s="219"/>
      <c r="O2043" s="219"/>
      <c r="P2043" s="219"/>
      <c r="Q2043" s="221"/>
    </row>
    <row r="2044" spans="2:17" x14ac:dyDescent="0.2">
      <c r="B2044" s="219"/>
      <c r="C2044" s="219"/>
      <c r="D2044" s="219"/>
      <c r="E2044" s="219"/>
      <c r="F2044" s="219"/>
      <c r="G2044" s="219"/>
      <c r="H2044" s="219"/>
      <c r="I2044" s="219"/>
      <c r="J2044" s="219"/>
      <c r="K2044" s="219"/>
      <c r="L2044" s="219"/>
      <c r="M2044" s="219"/>
      <c r="N2044" s="219"/>
      <c r="O2044" s="219"/>
      <c r="P2044" s="219"/>
      <c r="Q2044" s="221"/>
    </row>
    <row r="2045" spans="2:17" x14ac:dyDescent="0.2">
      <c r="B2045" s="219"/>
      <c r="C2045" s="219"/>
      <c r="D2045" s="219"/>
      <c r="E2045" s="219"/>
      <c r="F2045" s="219"/>
      <c r="G2045" s="219"/>
      <c r="H2045" s="219"/>
      <c r="I2045" s="219"/>
      <c r="J2045" s="219"/>
      <c r="K2045" s="219"/>
      <c r="L2045" s="219"/>
      <c r="M2045" s="219"/>
      <c r="N2045" s="219"/>
      <c r="O2045" s="219"/>
      <c r="P2045" s="219"/>
      <c r="Q2045" s="221"/>
    </row>
    <row r="2046" spans="2:17" x14ac:dyDescent="0.2">
      <c r="B2046" s="219"/>
      <c r="C2046" s="219"/>
      <c r="D2046" s="219"/>
      <c r="E2046" s="219"/>
      <c r="F2046" s="219"/>
      <c r="G2046" s="219"/>
      <c r="H2046" s="219"/>
      <c r="I2046" s="219"/>
      <c r="J2046" s="219"/>
      <c r="K2046" s="219"/>
      <c r="L2046" s="219"/>
      <c r="M2046" s="219"/>
      <c r="N2046" s="219"/>
      <c r="O2046" s="219"/>
      <c r="P2046" s="219"/>
      <c r="Q2046" s="221"/>
    </row>
    <row r="2047" spans="2:17" x14ac:dyDescent="0.2">
      <c r="B2047" s="219"/>
      <c r="C2047" s="219"/>
      <c r="D2047" s="219"/>
      <c r="E2047" s="219"/>
      <c r="F2047" s="219"/>
      <c r="G2047" s="219"/>
      <c r="H2047" s="219"/>
      <c r="I2047" s="219"/>
      <c r="J2047" s="219"/>
      <c r="K2047" s="219"/>
      <c r="L2047" s="219"/>
      <c r="M2047" s="219"/>
      <c r="N2047" s="219"/>
      <c r="O2047" s="219"/>
      <c r="P2047" s="219"/>
      <c r="Q2047" s="221"/>
    </row>
    <row r="2048" spans="2:17" x14ac:dyDescent="0.2">
      <c r="B2048" s="219"/>
      <c r="C2048" s="219"/>
      <c r="D2048" s="219"/>
      <c r="E2048" s="219"/>
      <c r="F2048" s="219"/>
      <c r="G2048" s="219"/>
      <c r="H2048" s="219"/>
      <c r="I2048" s="219"/>
      <c r="J2048" s="219"/>
      <c r="K2048" s="219"/>
      <c r="L2048" s="219"/>
      <c r="M2048" s="219"/>
      <c r="N2048" s="219"/>
      <c r="O2048" s="219"/>
      <c r="P2048" s="219"/>
      <c r="Q2048" s="221"/>
    </row>
    <row r="2049" spans="2:17" x14ac:dyDescent="0.2">
      <c r="B2049" s="219"/>
      <c r="C2049" s="219"/>
      <c r="D2049" s="219"/>
      <c r="E2049" s="219"/>
      <c r="F2049" s="219"/>
      <c r="G2049" s="219"/>
      <c r="H2049" s="219"/>
      <c r="I2049" s="219"/>
      <c r="J2049" s="219"/>
      <c r="K2049" s="219"/>
      <c r="L2049" s="219"/>
      <c r="M2049" s="219"/>
      <c r="N2049" s="219"/>
      <c r="O2049" s="219"/>
      <c r="P2049" s="219"/>
      <c r="Q2049" s="221"/>
    </row>
    <row r="2050" spans="2:17" x14ac:dyDescent="0.2">
      <c r="B2050" s="219"/>
      <c r="C2050" s="219"/>
      <c r="D2050" s="219"/>
      <c r="E2050" s="219"/>
      <c r="F2050" s="219"/>
      <c r="G2050" s="219"/>
      <c r="H2050" s="219"/>
      <c r="I2050" s="219"/>
      <c r="J2050" s="219"/>
      <c r="K2050" s="219"/>
      <c r="L2050" s="219"/>
      <c r="M2050" s="219"/>
      <c r="N2050" s="219"/>
      <c r="O2050" s="219"/>
      <c r="P2050" s="219"/>
      <c r="Q2050" s="221"/>
    </row>
    <row r="2051" spans="2:17" x14ac:dyDescent="0.2">
      <c r="B2051" s="219"/>
      <c r="C2051" s="219"/>
      <c r="D2051" s="219"/>
      <c r="E2051" s="219"/>
      <c r="F2051" s="219"/>
      <c r="G2051" s="219"/>
      <c r="H2051" s="219"/>
      <c r="I2051" s="219"/>
      <c r="J2051" s="219"/>
      <c r="K2051" s="219"/>
      <c r="L2051" s="219"/>
      <c r="M2051" s="219"/>
      <c r="N2051" s="219"/>
      <c r="O2051" s="219"/>
      <c r="P2051" s="219"/>
      <c r="Q2051" s="221"/>
    </row>
    <row r="2052" spans="2:17" x14ac:dyDescent="0.2">
      <c r="B2052" s="219"/>
      <c r="C2052" s="219"/>
      <c r="D2052" s="219"/>
      <c r="E2052" s="219"/>
      <c r="F2052" s="219"/>
      <c r="G2052" s="219"/>
      <c r="H2052" s="219"/>
      <c r="I2052" s="219"/>
      <c r="J2052" s="219"/>
      <c r="K2052" s="219"/>
      <c r="L2052" s="219"/>
      <c r="M2052" s="219"/>
      <c r="N2052" s="219"/>
      <c r="O2052" s="219"/>
      <c r="P2052" s="219"/>
      <c r="Q2052" s="221"/>
    </row>
    <row r="2053" spans="2:17" x14ac:dyDescent="0.2">
      <c r="B2053" s="219"/>
      <c r="C2053" s="219"/>
      <c r="D2053" s="219"/>
      <c r="E2053" s="219"/>
      <c r="F2053" s="219"/>
      <c r="G2053" s="219"/>
      <c r="H2053" s="219"/>
      <c r="I2053" s="219"/>
      <c r="J2053" s="219"/>
      <c r="K2053" s="219"/>
      <c r="L2053" s="219"/>
      <c r="M2053" s="219"/>
      <c r="N2053" s="219"/>
      <c r="O2053" s="219"/>
      <c r="P2053" s="219"/>
      <c r="Q2053" s="221"/>
    </row>
    <row r="2054" spans="2:17" x14ac:dyDescent="0.2">
      <c r="B2054" s="219"/>
      <c r="C2054" s="219"/>
      <c r="D2054" s="219"/>
      <c r="E2054" s="219"/>
      <c r="F2054" s="219"/>
      <c r="G2054" s="219"/>
      <c r="H2054" s="219"/>
      <c r="I2054" s="219"/>
      <c r="J2054" s="219"/>
      <c r="K2054" s="219"/>
      <c r="L2054" s="219"/>
      <c r="M2054" s="219"/>
      <c r="N2054" s="219"/>
      <c r="O2054" s="219"/>
      <c r="P2054" s="219"/>
      <c r="Q2054" s="221"/>
    </row>
    <row r="2055" spans="2:17" x14ac:dyDescent="0.2">
      <c r="B2055" s="219"/>
      <c r="C2055" s="219"/>
      <c r="D2055" s="219"/>
      <c r="E2055" s="219"/>
      <c r="F2055" s="219"/>
      <c r="G2055" s="219"/>
      <c r="H2055" s="219"/>
      <c r="I2055" s="219"/>
      <c r="J2055" s="219"/>
      <c r="K2055" s="219"/>
      <c r="L2055" s="219"/>
      <c r="M2055" s="219"/>
      <c r="N2055" s="219"/>
      <c r="O2055" s="219"/>
      <c r="P2055" s="219"/>
      <c r="Q2055" s="221"/>
    </row>
    <row r="2056" spans="2:17" x14ac:dyDescent="0.2">
      <c r="B2056" s="219"/>
      <c r="C2056" s="219"/>
      <c r="D2056" s="219"/>
      <c r="E2056" s="219"/>
      <c r="F2056" s="219"/>
      <c r="G2056" s="219"/>
      <c r="H2056" s="219"/>
      <c r="I2056" s="219"/>
      <c r="J2056" s="219"/>
      <c r="K2056" s="219"/>
      <c r="L2056" s="219"/>
      <c r="M2056" s="219"/>
      <c r="N2056" s="219"/>
      <c r="O2056" s="219"/>
      <c r="P2056" s="219"/>
      <c r="Q2056" s="221"/>
    </row>
    <row r="2057" spans="2:17" x14ac:dyDescent="0.2">
      <c r="B2057" s="219"/>
      <c r="C2057" s="219"/>
      <c r="D2057" s="219"/>
      <c r="E2057" s="219"/>
      <c r="F2057" s="219"/>
      <c r="G2057" s="219"/>
      <c r="H2057" s="219"/>
      <c r="I2057" s="219"/>
      <c r="J2057" s="219"/>
      <c r="K2057" s="219"/>
      <c r="L2057" s="219"/>
      <c r="M2057" s="219"/>
      <c r="N2057" s="219"/>
      <c r="O2057" s="219"/>
      <c r="P2057" s="219"/>
      <c r="Q2057" s="221"/>
    </row>
    <row r="2058" spans="2:17" x14ac:dyDescent="0.2">
      <c r="B2058" s="219"/>
      <c r="C2058" s="219"/>
      <c r="D2058" s="219"/>
      <c r="E2058" s="219"/>
      <c r="F2058" s="219"/>
      <c r="G2058" s="219"/>
      <c r="H2058" s="219"/>
      <c r="I2058" s="219"/>
      <c r="J2058" s="219"/>
      <c r="K2058" s="219"/>
      <c r="L2058" s="219"/>
      <c r="M2058" s="219"/>
      <c r="N2058" s="219"/>
      <c r="O2058" s="219"/>
      <c r="P2058" s="219"/>
      <c r="Q2058" s="221"/>
    </row>
    <row r="2059" spans="2:17" x14ac:dyDescent="0.2">
      <c r="B2059" s="219"/>
      <c r="C2059" s="219"/>
      <c r="D2059" s="219"/>
      <c r="E2059" s="219"/>
      <c r="F2059" s="219"/>
      <c r="G2059" s="219"/>
      <c r="H2059" s="219"/>
      <c r="I2059" s="219"/>
      <c r="J2059" s="219"/>
      <c r="K2059" s="219"/>
      <c r="L2059" s="219"/>
      <c r="M2059" s="219"/>
      <c r="N2059" s="219"/>
      <c r="O2059" s="219"/>
      <c r="P2059" s="219"/>
      <c r="Q2059" s="221"/>
    </row>
    <row r="2060" spans="2:17" x14ac:dyDescent="0.2">
      <c r="B2060" s="219"/>
      <c r="C2060" s="219"/>
      <c r="D2060" s="219"/>
      <c r="E2060" s="219"/>
      <c r="F2060" s="219"/>
      <c r="G2060" s="219"/>
      <c r="H2060" s="219"/>
      <c r="I2060" s="219"/>
      <c r="J2060" s="219"/>
      <c r="K2060" s="219"/>
      <c r="L2060" s="219"/>
      <c r="M2060" s="219"/>
      <c r="N2060" s="219"/>
      <c r="O2060" s="219"/>
      <c r="P2060" s="219"/>
      <c r="Q2060" s="221"/>
    </row>
    <row r="2061" spans="2:17" x14ac:dyDescent="0.2">
      <c r="B2061" s="219"/>
      <c r="C2061" s="219"/>
      <c r="D2061" s="219"/>
      <c r="E2061" s="219"/>
      <c r="F2061" s="219"/>
      <c r="G2061" s="219"/>
      <c r="H2061" s="219"/>
      <c r="I2061" s="219"/>
      <c r="J2061" s="219"/>
      <c r="K2061" s="219"/>
      <c r="L2061" s="219"/>
      <c r="M2061" s="219"/>
      <c r="N2061" s="219"/>
      <c r="O2061" s="219"/>
      <c r="P2061" s="219"/>
      <c r="Q2061" s="221"/>
    </row>
    <row r="2062" spans="2:17" x14ac:dyDescent="0.2">
      <c r="B2062" s="219"/>
      <c r="C2062" s="219"/>
      <c r="D2062" s="219"/>
      <c r="E2062" s="219"/>
      <c r="F2062" s="219"/>
      <c r="G2062" s="219"/>
      <c r="H2062" s="219"/>
      <c r="I2062" s="219"/>
      <c r="J2062" s="219"/>
      <c r="K2062" s="219"/>
      <c r="L2062" s="219"/>
      <c r="M2062" s="219"/>
      <c r="N2062" s="219"/>
      <c r="O2062" s="219"/>
      <c r="P2062" s="219"/>
      <c r="Q2062" s="221"/>
    </row>
    <row r="2063" spans="2:17" x14ac:dyDescent="0.2">
      <c r="B2063" s="219"/>
      <c r="C2063" s="219"/>
      <c r="D2063" s="219"/>
      <c r="E2063" s="219"/>
      <c r="F2063" s="219"/>
      <c r="G2063" s="219"/>
      <c r="H2063" s="219"/>
      <c r="I2063" s="219"/>
      <c r="J2063" s="219"/>
      <c r="K2063" s="219"/>
      <c r="L2063" s="219"/>
      <c r="M2063" s="219"/>
      <c r="N2063" s="219"/>
      <c r="O2063" s="219"/>
      <c r="P2063" s="219"/>
      <c r="Q2063" s="221"/>
    </row>
    <row r="2064" spans="2:17" x14ac:dyDescent="0.2">
      <c r="B2064" s="219"/>
      <c r="C2064" s="219"/>
      <c r="D2064" s="219"/>
      <c r="E2064" s="219"/>
      <c r="F2064" s="219"/>
      <c r="G2064" s="219"/>
      <c r="H2064" s="219"/>
      <c r="I2064" s="219"/>
      <c r="J2064" s="219"/>
      <c r="K2064" s="219"/>
      <c r="L2064" s="219"/>
      <c r="M2064" s="219"/>
      <c r="N2064" s="219"/>
      <c r="O2064" s="219"/>
      <c r="P2064" s="219"/>
      <c r="Q2064" s="221"/>
    </row>
    <row r="2065" spans="2:17" x14ac:dyDescent="0.2">
      <c r="B2065" s="219"/>
      <c r="C2065" s="219"/>
      <c r="D2065" s="219"/>
      <c r="E2065" s="219"/>
      <c r="F2065" s="219"/>
      <c r="G2065" s="219"/>
      <c r="H2065" s="219"/>
      <c r="I2065" s="219"/>
      <c r="J2065" s="219"/>
      <c r="K2065" s="219"/>
      <c r="L2065" s="219"/>
      <c r="M2065" s="219"/>
      <c r="N2065" s="219"/>
      <c r="O2065" s="219"/>
      <c r="P2065" s="219"/>
      <c r="Q2065" s="221"/>
    </row>
    <row r="2066" spans="2:17" x14ac:dyDescent="0.2">
      <c r="B2066" s="219"/>
      <c r="C2066" s="219"/>
      <c r="D2066" s="219"/>
      <c r="E2066" s="219"/>
      <c r="F2066" s="219"/>
      <c r="G2066" s="219"/>
      <c r="H2066" s="219"/>
      <c r="I2066" s="219"/>
      <c r="J2066" s="219"/>
      <c r="K2066" s="219"/>
      <c r="L2066" s="219"/>
      <c r="M2066" s="219"/>
      <c r="N2066" s="219"/>
      <c r="O2066" s="219"/>
      <c r="P2066" s="219"/>
      <c r="Q2066" s="221"/>
    </row>
    <row r="2067" spans="2:17" x14ac:dyDescent="0.2">
      <c r="B2067" s="219"/>
      <c r="C2067" s="219"/>
      <c r="D2067" s="219"/>
      <c r="E2067" s="219"/>
      <c r="F2067" s="219"/>
      <c r="G2067" s="219"/>
      <c r="H2067" s="219"/>
      <c r="I2067" s="219"/>
      <c r="J2067" s="219"/>
      <c r="K2067" s="219"/>
      <c r="L2067" s="219"/>
      <c r="M2067" s="219"/>
      <c r="N2067" s="219"/>
      <c r="O2067" s="219"/>
      <c r="P2067" s="219"/>
      <c r="Q2067" s="221"/>
    </row>
    <row r="2068" spans="2:17" x14ac:dyDescent="0.2">
      <c r="B2068" s="219"/>
      <c r="C2068" s="219"/>
      <c r="D2068" s="219"/>
      <c r="E2068" s="219"/>
      <c r="F2068" s="219"/>
      <c r="G2068" s="219"/>
      <c r="H2068" s="219"/>
      <c r="I2068" s="219"/>
      <c r="J2068" s="219"/>
      <c r="K2068" s="219"/>
      <c r="L2068" s="219"/>
      <c r="M2068" s="219"/>
      <c r="N2068" s="219"/>
      <c r="O2068" s="219"/>
      <c r="P2068" s="219"/>
      <c r="Q2068" s="221"/>
    </row>
    <row r="2069" spans="2:17" x14ac:dyDescent="0.2">
      <c r="B2069" s="219"/>
      <c r="C2069" s="219"/>
      <c r="D2069" s="219"/>
      <c r="E2069" s="219"/>
      <c r="F2069" s="219"/>
      <c r="G2069" s="219"/>
      <c r="H2069" s="219"/>
      <c r="I2069" s="219"/>
      <c r="J2069" s="219"/>
      <c r="K2069" s="219"/>
      <c r="L2069" s="219"/>
      <c r="M2069" s="219"/>
      <c r="N2069" s="219"/>
      <c r="O2069" s="219"/>
      <c r="P2069" s="219"/>
      <c r="Q2069" s="221"/>
    </row>
    <row r="2070" spans="2:17" x14ac:dyDescent="0.2">
      <c r="B2070" s="219"/>
      <c r="C2070" s="219"/>
      <c r="D2070" s="219"/>
      <c r="E2070" s="219"/>
      <c r="F2070" s="219"/>
      <c r="G2070" s="219"/>
      <c r="H2070" s="219"/>
      <c r="I2070" s="219"/>
      <c r="J2070" s="219"/>
      <c r="K2070" s="219"/>
      <c r="L2070" s="219"/>
      <c r="M2070" s="219"/>
      <c r="N2070" s="219"/>
      <c r="O2070" s="219"/>
      <c r="P2070" s="219"/>
      <c r="Q2070" s="221"/>
    </row>
    <row r="2071" spans="2:17" x14ac:dyDescent="0.2">
      <c r="B2071" s="219"/>
      <c r="C2071" s="219"/>
      <c r="D2071" s="219"/>
      <c r="E2071" s="219"/>
      <c r="F2071" s="219"/>
      <c r="G2071" s="219"/>
      <c r="H2071" s="219"/>
      <c r="I2071" s="219"/>
      <c r="J2071" s="219"/>
      <c r="K2071" s="219"/>
      <c r="L2071" s="219"/>
      <c r="M2071" s="219"/>
      <c r="N2071" s="219"/>
      <c r="O2071" s="219"/>
      <c r="P2071" s="219"/>
      <c r="Q2071" s="221"/>
    </row>
    <row r="2072" spans="2:17" x14ac:dyDescent="0.2">
      <c r="B2072" s="219"/>
      <c r="C2072" s="219"/>
      <c r="D2072" s="219"/>
      <c r="E2072" s="219"/>
      <c r="F2072" s="219"/>
      <c r="G2072" s="219"/>
      <c r="H2072" s="219"/>
      <c r="I2072" s="219"/>
      <c r="J2072" s="219"/>
      <c r="K2072" s="219"/>
      <c r="L2072" s="219"/>
      <c r="M2072" s="219"/>
      <c r="N2072" s="219"/>
      <c r="O2072" s="219"/>
      <c r="P2072" s="219"/>
      <c r="Q2072" s="221"/>
    </row>
    <row r="2073" spans="2:17" x14ac:dyDescent="0.2">
      <c r="B2073" s="219"/>
      <c r="C2073" s="219"/>
      <c r="D2073" s="219"/>
      <c r="E2073" s="219"/>
      <c r="F2073" s="219"/>
      <c r="G2073" s="219"/>
      <c r="H2073" s="219"/>
      <c r="I2073" s="219"/>
      <c r="J2073" s="219"/>
      <c r="K2073" s="219"/>
      <c r="L2073" s="219"/>
      <c r="M2073" s="219"/>
      <c r="N2073" s="219"/>
      <c r="O2073" s="219"/>
      <c r="P2073" s="219"/>
      <c r="Q2073" s="221"/>
    </row>
    <row r="2074" spans="2:17" x14ac:dyDescent="0.2">
      <c r="B2074" s="219"/>
      <c r="C2074" s="219"/>
      <c r="D2074" s="219"/>
      <c r="E2074" s="219"/>
      <c r="F2074" s="219"/>
      <c r="G2074" s="219"/>
      <c r="H2074" s="219"/>
      <c r="I2074" s="219"/>
      <c r="J2074" s="219"/>
      <c r="K2074" s="219"/>
      <c r="L2074" s="219"/>
      <c r="M2074" s="219"/>
      <c r="N2074" s="219"/>
      <c r="O2074" s="219"/>
      <c r="P2074" s="219"/>
      <c r="Q2074" s="221"/>
    </row>
    <row r="2075" spans="2:17" x14ac:dyDescent="0.2">
      <c r="B2075" s="219"/>
      <c r="C2075" s="219"/>
      <c r="D2075" s="219"/>
      <c r="E2075" s="219"/>
      <c r="F2075" s="219"/>
      <c r="G2075" s="219"/>
      <c r="H2075" s="219"/>
      <c r="I2075" s="219"/>
      <c r="J2075" s="219"/>
      <c r="K2075" s="219"/>
      <c r="L2075" s="219"/>
      <c r="M2075" s="219"/>
      <c r="N2075" s="219"/>
      <c r="O2075" s="219"/>
      <c r="P2075" s="219"/>
      <c r="Q2075" s="221"/>
    </row>
    <row r="2076" spans="2:17" x14ac:dyDescent="0.2">
      <c r="B2076" s="219"/>
      <c r="C2076" s="219"/>
      <c r="D2076" s="219"/>
      <c r="E2076" s="219"/>
      <c r="F2076" s="219"/>
      <c r="G2076" s="219"/>
      <c r="H2076" s="219"/>
      <c r="I2076" s="219"/>
      <c r="J2076" s="219"/>
      <c r="K2076" s="219"/>
      <c r="L2076" s="219"/>
      <c r="M2076" s="219"/>
      <c r="N2076" s="219"/>
      <c r="O2076" s="219"/>
      <c r="P2076" s="219"/>
      <c r="Q2076" s="221"/>
    </row>
    <row r="2077" spans="2:17" x14ac:dyDescent="0.2">
      <c r="B2077" s="219"/>
      <c r="C2077" s="219"/>
      <c r="D2077" s="219"/>
      <c r="E2077" s="219"/>
      <c r="F2077" s="219"/>
      <c r="G2077" s="219"/>
      <c r="H2077" s="219"/>
      <c r="I2077" s="219"/>
      <c r="J2077" s="219"/>
      <c r="K2077" s="219"/>
      <c r="L2077" s="219"/>
      <c r="M2077" s="219"/>
      <c r="N2077" s="219"/>
      <c r="O2077" s="219"/>
      <c r="P2077" s="219"/>
      <c r="Q2077" s="221"/>
    </row>
    <row r="2078" spans="2:17" x14ac:dyDescent="0.2">
      <c r="B2078" s="219"/>
      <c r="C2078" s="219"/>
      <c r="D2078" s="219"/>
      <c r="E2078" s="219"/>
      <c r="F2078" s="219"/>
      <c r="G2078" s="219"/>
      <c r="H2078" s="219"/>
      <c r="I2078" s="219"/>
      <c r="J2078" s="219"/>
      <c r="K2078" s="219"/>
      <c r="L2078" s="219"/>
      <c r="M2078" s="219"/>
      <c r="N2078" s="219"/>
      <c r="O2078" s="219"/>
      <c r="P2078" s="219"/>
      <c r="Q2078" s="221"/>
    </row>
    <row r="2079" spans="2:17" x14ac:dyDescent="0.2">
      <c r="B2079" s="219"/>
      <c r="C2079" s="219"/>
      <c r="D2079" s="219"/>
      <c r="E2079" s="219"/>
      <c r="F2079" s="219"/>
      <c r="G2079" s="219"/>
      <c r="H2079" s="219"/>
      <c r="I2079" s="219"/>
      <c r="J2079" s="219"/>
      <c r="K2079" s="219"/>
      <c r="L2079" s="219"/>
      <c r="M2079" s="219"/>
      <c r="N2079" s="219"/>
      <c r="O2079" s="219"/>
      <c r="P2079" s="219"/>
      <c r="Q2079" s="221"/>
    </row>
    <row r="2080" spans="2:17" x14ac:dyDescent="0.2">
      <c r="B2080" s="219"/>
      <c r="C2080" s="219"/>
      <c r="D2080" s="219"/>
      <c r="E2080" s="219"/>
      <c r="F2080" s="219"/>
      <c r="G2080" s="219"/>
      <c r="H2080" s="219"/>
      <c r="I2080" s="219"/>
      <c r="J2080" s="219"/>
      <c r="K2080" s="219"/>
      <c r="L2080" s="219"/>
      <c r="M2080" s="219"/>
      <c r="N2080" s="219"/>
      <c r="O2080" s="219"/>
      <c r="P2080" s="219"/>
      <c r="Q2080" s="221"/>
    </row>
    <row r="2081" spans="2:17" x14ac:dyDescent="0.2">
      <c r="B2081" s="219"/>
      <c r="C2081" s="219"/>
      <c r="D2081" s="219"/>
      <c r="E2081" s="219"/>
      <c r="F2081" s="219"/>
      <c r="G2081" s="219"/>
      <c r="H2081" s="219"/>
      <c r="I2081" s="219"/>
      <c r="J2081" s="219"/>
      <c r="K2081" s="219"/>
      <c r="L2081" s="219"/>
      <c r="M2081" s="219"/>
      <c r="N2081" s="219"/>
      <c r="O2081" s="219"/>
      <c r="P2081" s="219"/>
      <c r="Q2081" s="221"/>
    </row>
    <row r="2082" spans="2:17" x14ac:dyDescent="0.2">
      <c r="B2082" s="219"/>
      <c r="C2082" s="219"/>
      <c r="D2082" s="219"/>
      <c r="E2082" s="219"/>
      <c r="F2082" s="219"/>
      <c r="G2082" s="219"/>
      <c r="H2082" s="219"/>
      <c r="I2082" s="219"/>
      <c r="J2082" s="219"/>
      <c r="K2082" s="219"/>
      <c r="L2082" s="219"/>
      <c r="M2082" s="219"/>
      <c r="N2082" s="219"/>
      <c r="O2082" s="219"/>
      <c r="P2082" s="219"/>
      <c r="Q2082" s="221"/>
    </row>
    <row r="2083" spans="2:17" x14ac:dyDescent="0.2">
      <c r="B2083" s="219"/>
      <c r="C2083" s="219"/>
      <c r="D2083" s="219"/>
      <c r="E2083" s="219"/>
      <c r="F2083" s="219"/>
      <c r="G2083" s="219"/>
      <c r="H2083" s="219"/>
      <c r="I2083" s="219"/>
      <c r="J2083" s="219"/>
      <c r="K2083" s="219"/>
      <c r="L2083" s="219"/>
      <c r="M2083" s="219"/>
      <c r="N2083" s="219"/>
      <c r="O2083" s="219"/>
      <c r="P2083" s="219"/>
      <c r="Q2083" s="221"/>
    </row>
    <row r="2084" spans="2:17" x14ac:dyDescent="0.2">
      <c r="B2084" s="219"/>
      <c r="C2084" s="219"/>
      <c r="D2084" s="219"/>
      <c r="E2084" s="219"/>
      <c r="F2084" s="219"/>
      <c r="G2084" s="219"/>
      <c r="H2084" s="219"/>
      <c r="I2084" s="219"/>
      <c r="J2084" s="219"/>
      <c r="K2084" s="219"/>
      <c r="L2084" s="219"/>
      <c r="M2084" s="219"/>
      <c r="N2084" s="219"/>
      <c r="O2084" s="219"/>
      <c r="P2084" s="219"/>
      <c r="Q2084" s="221"/>
    </row>
    <row r="2085" spans="2:17" x14ac:dyDescent="0.2">
      <c r="B2085" s="219"/>
      <c r="C2085" s="219"/>
      <c r="D2085" s="219"/>
      <c r="E2085" s="219"/>
      <c r="F2085" s="219"/>
      <c r="G2085" s="219"/>
      <c r="H2085" s="219"/>
      <c r="I2085" s="219"/>
      <c r="J2085" s="219"/>
      <c r="K2085" s="219"/>
      <c r="L2085" s="219"/>
      <c r="M2085" s="219"/>
      <c r="N2085" s="219"/>
      <c r="O2085" s="219"/>
      <c r="P2085" s="219"/>
      <c r="Q2085" s="221"/>
    </row>
    <row r="2086" spans="2:17" x14ac:dyDescent="0.2">
      <c r="B2086" s="219"/>
      <c r="C2086" s="219"/>
      <c r="D2086" s="219"/>
      <c r="E2086" s="219"/>
      <c r="F2086" s="219"/>
      <c r="G2086" s="219"/>
      <c r="H2086" s="219"/>
      <c r="I2086" s="219"/>
      <c r="J2086" s="219"/>
      <c r="K2086" s="219"/>
      <c r="L2086" s="219"/>
      <c r="M2086" s="219"/>
      <c r="N2086" s="219"/>
      <c r="O2086" s="219"/>
      <c r="P2086" s="219"/>
      <c r="Q2086" s="221"/>
    </row>
    <row r="2087" spans="2:17" x14ac:dyDescent="0.2">
      <c r="B2087" s="219"/>
      <c r="C2087" s="219"/>
      <c r="D2087" s="219"/>
      <c r="E2087" s="219"/>
      <c r="F2087" s="219"/>
      <c r="G2087" s="219"/>
      <c r="H2087" s="219"/>
      <c r="I2087" s="219"/>
      <c r="J2087" s="219"/>
      <c r="K2087" s="219"/>
      <c r="L2087" s="219"/>
      <c r="M2087" s="219"/>
      <c r="N2087" s="219"/>
      <c r="O2087" s="219"/>
      <c r="P2087" s="219"/>
      <c r="Q2087" s="221"/>
    </row>
    <row r="2088" spans="2:17" x14ac:dyDescent="0.2">
      <c r="B2088" s="219"/>
      <c r="C2088" s="219"/>
      <c r="D2088" s="219"/>
      <c r="E2088" s="219"/>
      <c r="F2088" s="219"/>
      <c r="G2088" s="219"/>
      <c r="H2088" s="219"/>
      <c r="I2088" s="219"/>
      <c r="J2088" s="219"/>
      <c r="K2088" s="219"/>
      <c r="L2088" s="219"/>
      <c r="M2088" s="219"/>
      <c r="N2088" s="219"/>
      <c r="O2088" s="219"/>
      <c r="P2088" s="219"/>
      <c r="Q2088" s="221"/>
    </row>
    <row r="2089" spans="2:17" x14ac:dyDescent="0.2">
      <c r="B2089" s="219"/>
      <c r="C2089" s="219"/>
      <c r="D2089" s="219"/>
      <c r="E2089" s="219"/>
      <c r="F2089" s="219"/>
      <c r="G2089" s="219"/>
      <c r="H2089" s="219"/>
      <c r="I2089" s="219"/>
      <c r="J2089" s="219"/>
      <c r="K2089" s="219"/>
      <c r="L2089" s="219"/>
      <c r="M2089" s="219"/>
      <c r="N2089" s="219"/>
      <c r="O2089" s="219"/>
      <c r="P2089" s="219"/>
      <c r="Q2089" s="221"/>
    </row>
    <row r="2090" spans="2:17" x14ac:dyDescent="0.2">
      <c r="B2090" s="219"/>
      <c r="C2090" s="219"/>
      <c r="D2090" s="219"/>
      <c r="E2090" s="219"/>
      <c r="F2090" s="219"/>
      <c r="G2090" s="219"/>
      <c r="H2090" s="219"/>
      <c r="I2090" s="219"/>
      <c r="J2090" s="219"/>
      <c r="K2090" s="219"/>
      <c r="L2090" s="219"/>
      <c r="M2090" s="219"/>
      <c r="N2090" s="219"/>
      <c r="O2090" s="219"/>
      <c r="P2090" s="219"/>
      <c r="Q2090" s="221"/>
    </row>
    <row r="2091" spans="2:17" x14ac:dyDescent="0.2">
      <c r="B2091" s="219"/>
      <c r="C2091" s="219"/>
      <c r="D2091" s="219"/>
      <c r="E2091" s="219"/>
      <c r="F2091" s="219"/>
      <c r="G2091" s="219"/>
      <c r="H2091" s="219"/>
      <c r="I2091" s="219"/>
      <c r="J2091" s="219"/>
      <c r="K2091" s="219"/>
      <c r="L2091" s="219"/>
      <c r="M2091" s="219"/>
      <c r="N2091" s="219"/>
      <c r="O2091" s="219"/>
      <c r="P2091" s="219"/>
      <c r="Q2091" s="221"/>
    </row>
    <row r="2092" spans="2:17" x14ac:dyDescent="0.2">
      <c r="B2092" s="219"/>
      <c r="C2092" s="219"/>
      <c r="D2092" s="219"/>
      <c r="E2092" s="219"/>
      <c r="F2092" s="219"/>
      <c r="G2092" s="219"/>
      <c r="H2092" s="219"/>
      <c r="I2092" s="219"/>
      <c r="J2092" s="219"/>
      <c r="K2092" s="219"/>
      <c r="L2092" s="219"/>
      <c r="M2092" s="219"/>
      <c r="N2092" s="219"/>
      <c r="O2092" s="219"/>
      <c r="P2092" s="219"/>
      <c r="Q2092" s="221"/>
    </row>
    <row r="2093" spans="2:17" x14ac:dyDescent="0.2">
      <c r="B2093" s="219"/>
      <c r="C2093" s="219"/>
      <c r="D2093" s="219"/>
      <c r="E2093" s="219"/>
      <c r="F2093" s="219"/>
      <c r="G2093" s="219"/>
      <c r="H2093" s="219"/>
      <c r="I2093" s="219"/>
      <c r="J2093" s="219"/>
      <c r="K2093" s="219"/>
      <c r="L2093" s="219"/>
      <c r="M2093" s="219"/>
      <c r="N2093" s="219"/>
      <c r="O2093" s="219"/>
      <c r="P2093" s="219"/>
      <c r="Q2093" s="221"/>
    </row>
    <row r="2094" spans="2:17" x14ac:dyDescent="0.2">
      <c r="B2094" s="219"/>
      <c r="C2094" s="219"/>
      <c r="D2094" s="219"/>
      <c r="E2094" s="219"/>
      <c r="F2094" s="219"/>
      <c r="G2094" s="219"/>
      <c r="H2094" s="219"/>
      <c r="I2094" s="219"/>
      <c r="J2094" s="219"/>
      <c r="K2094" s="219"/>
      <c r="L2094" s="219"/>
      <c r="M2094" s="219"/>
      <c r="N2094" s="219"/>
      <c r="O2094" s="219"/>
      <c r="P2094" s="219"/>
      <c r="Q2094" s="221"/>
    </row>
    <row r="2095" spans="2:17" x14ac:dyDescent="0.2">
      <c r="B2095" s="219"/>
      <c r="C2095" s="219"/>
      <c r="D2095" s="219"/>
      <c r="E2095" s="219"/>
      <c r="F2095" s="219"/>
      <c r="G2095" s="219"/>
      <c r="H2095" s="219"/>
      <c r="I2095" s="219"/>
      <c r="J2095" s="219"/>
      <c r="K2095" s="219"/>
      <c r="L2095" s="219"/>
      <c r="M2095" s="219"/>
      <c r="N2095" s="219"/>
      <c r="O2095" s="219"/>
      <c r="P2095" s="219"/>
      <c r="Q2095" s="221"/>
    </row>
    <row r="2096" spans="2:17" x14ac:dyDescent="0.2">
      <c r="B2096" s="219"/>
      <c r="C2096" s="219"/>
      <c r="D2096" s="219"/>
      <c r="E2096" s="219"/>
      <c r="F2096" s="219"/>
      <c r="G2096" s="219"/>
      <c r="H2096" s="219"/>
      <c r="I2096" s="219"/>
      <c r="J2096" s="219"/>
      <c r="K2096" s="219"/>
      <c r="L2096" s="219"/>
      <c r="M2096" s="219"/>
      <c r="N2096" s="219"/>
      <c r="O2096" s="219"/>
      <c r="P2096" s="219"/>
      <c r="Q2096" s="221"/>
    </row>
    <row r="2097" spans="2:17" x14ac:dyDescent="0.2">
      <c r="B2097" s="219"/>
      <c r="C2097" s="219"/>
      <c r="D2097" s="219"/>
      <c r="E2097" s="219"/>
      <c r="F2097" s="219"/>
      <c r="G2097" s="219"/>
      <c r="H2097" s="219"/>
      <c r="I2097" s="219"/>
      <c r="J2097" s="219"/>
      <c r="K2097" s="219"/>
      <c r="L2097" s="219"/>
      <c r="M2097" s="219"/>
      <c r="N2097" s="219"/>
      <c r="O2097" s="219"/>
      <c r="P2097" s="219"/>
      <c r="Q2097" s="221"/>
    </row>
    <row r="2098" spans="2:17" x14ac:dyDescent="0.2">
      <c r="B2098" s="219"/>
      <c r="C2098" s="219"/>
      <c r="D2098" s="219"/>
      <c r="E2098" s="219"/>
      <c r="F2098" s="219"/>
      <c r="G2098" s="219"/>
      <c r="H2098" s="219"/>
      <c r="I2098" s="219"/>
      <c r="J2098" s="219"/>
      <c r="K2098" s="219"/>
      <c r="L2098" s="219"/>
      <c r="M2098" s="219"/>
      <c r="N2098" s="219"/>
      <c r="O2098" s="219"/>
      <c r="P2098" s="219"/>
      <c r="Q2098" s="221"/>
    </row>
    <row r="2099" spans="2:17" x14ac:dyDescent="0.2">
      <c r="B2099" s="219"/>
      <c r="C2099" s="219"/>
      <c r="D2099" s="219"/>
      <c r="E2099" s="219"/>
      <c r="F2099" s="219"/>
      <c r="G2099" s="219"/>
      <c r="H2099" s="219"/>
      <c r="I2099" s="219"/>
      <c r="J2099" s="219"/>
      <c r="K2099" s="219"/>
      <c r="L2099" s="219"/>
      <c r="M2099" s="219"/>
      <c r="N2099" s="219"/>
      <c r="O2099" s="219"/>
      <c r="P2099" s="219"/>
      <c r="Q2099" s="221"/>
    </row>
    <row r="2100" spans="2:17" x14ac:dyDescent="0.2">
      <c r="B2100" s="219"/>
      <c r="C2100" s="219"/>
      <c r="D2100" s="219"/>
      <c r="E2100" s="219"/>
      <c r="F2100" s="219"/>
      <c r="G2100" s="219"/>
      <c r="H2100" s="219"/>
      <c r="I2100" s="219"/>
      <c r="J2100" s="219"/>
      <c r="K2100" s="219"/>
      <c r="L2100" s="219"/>
      <c r="M2100" s="219"/>
      <c r="N2100" s="219"/>
      <c r="O2100" s="219"/>
      <c r="P2100" s="219"/>
      <c r="Q2100" s="221"/>
    </row>
    <row r="2101" spans="2:17" x14ac:dyDescent="0.2">
      <c r="B2101" s="219"/>
      <c r="C2101" s="219"/>
      <c r="D2101" s="219"/>
      <c r="E2101" s="219"/>
      <c r="F2101" s="219"/>
      <c r="G2101" s="219"/>
      <c r="H2101" s="219"/>
      <c r="I2101" s="219"/>
      <c r="J2101" s="219"/>
      <c r="K2101" s="219"/>
      <c r="L2101" s="219"/>
      <c r="M2101" s="219"/>
      <c r="N2101" s="219"/>
      <c r="O2101" s="219"/>
      <c r="P2101" s="219"/>
      <c r="Q2101" s="221"/>
    </row>
    <row r="2102" spans="2:17" x14ac:dyDescent="0.2">
      <c r="B2102" s="219"/>
      <c r="C2102" s="219"/>
      <c r="D2102" s="219"/>
      <c r="E2102" s="219"/>
      <c r="F2102" s="219"/>
      <c r="G2102" s="219"/>
      <c r="H2102" s="219"/>
      <c r="I2102" s="219"/>
      <c r="J2102" s="219"/>
      <c r="K2102" s="219"/>
      <c r="L2102" s="219"/>
      <c r="M2102" s="219"/>
      <c r="N2102" s="219"/>
      <c r="O2102" s="219"/>
      <c r="P2102" s="219"/>
      <c r="Q2102" s="221"/>
    </row>
    <row r="2103" spans="2:17" x14ac:dyDescent="0.2">
      <c r="B2103" s="219"/>
      <c r="C2103" s="219"/>
      <c r="D2103" s="219"/>
      <c r="E2103" s="219"/>
      <c r="F2103" s="219"/>
      <c r="G2103" s="219"/>
      <c r="H2103" s="219"/>
      <c r="I2103" s="219"/>
      <c r="J2103" s="219"/>
      <c r="K2103" s="219"/>
      <c r="L2103" s="219"/>
      <c r="M2103" s="219"/>
      <c r="N2103" s="219"/>
      <c r="O2103" s="219"/>
      <c r="P2103" s="219"/>
      <c r="Q2103" s="221"/>
    </row>
    <row r="2104" spans="2:17" x14ac:dyDescent="0.2">
      <c r="B2104" s="219"/>
      <c r="C2104" s="219"/>
      <c r="D2104" s="219"/>
      <c r="E2104" s="219"/>
      <c r="F2104" s="219"/>
      <c r="G2104" s="219"/>
      <c r="H2104" s="219"/>
      <c r="I2104" s="219"/>
      <c r="J2104" s="219"/>
      <c r="K2104" s="219"/>
      <c r="L2104" s="219"/>
      <c r="M2104" s="219"/>
      <c r="N2104" s="219"/>
      <c r="O2104" s="219"/>
      <c r="P2104" s="219"/>
      <c r="Q2104" s="221"/>
    </row>
    <row r="2105" spans="2:17" x14ac:dyDescent="0.2">
      <c r="B2105" s="219"/>
      <c r="C2105" s="219"/>
      <c r="D2105" s="219"/>
      <c r="E2105" s="219"/>
      <c r="F2105" s="219"/>
      <c r="G2105" s="219"/>
      <c r="H2105" s="219"/>
      <c r="I2105" s="219"/>
      <c r="J2105" s="219"/>
      <c r="K2105" s="219"/>
      <c r="L2105" s="219"/>
      <c r="M2105" s="219"/>
      <c r="N2105" s="219"/>
      <c r="O2105" s="219"/>
      <c r="P2105" s="219"/>
      <c r="Q2105" s="221"/>
    </row>
    <row r="2106" spans="2:17" x14ac:dyDescent="0.2">
      <c r="B2106" s="219"/>
      <c r="C2106" s="219"/>
      <c r="D2106" s="219"/>
      <c r="E2106" s="219"/>
      <c r="F2106" s="219"/>
      <c r="G2106" s="219"/>
      <c r="H2106" s="219"/>
      <c r="I2106" s="219"/>
      <c r="J2106" s="219"/>
      <c r="K2106" s="219"/>
      <c r="L2106" s="219"/>
      <c r="M2106" s="219"/>
      <c r="N2106" s="219"/>
      <c r="O2106" s="219"/>
      <c r="P2106" s="219"/>
      <c r="Q2106" s="221"/>
    </row>
    <row r="2107" spans="2:17" x14ac:dyDescent="0.2">
      <c r="B2107" s="219"/>
      <c r="C2107" s="219"/>
      <c r="D2107" s="219"/>
      <c r="E2107" s="219"/>
      <c r="F2107" s="219"/>
      <c r="G2107" s="219"/>
      <c r="H2107" s="219"/>
      <c r="I2107" s="219"/>
      <c r="J2107" s="219"/>
      <c r="K2107" s="219"/>
      <c r="L2107" s="219"/>
      <c r="M2107" s="219"/>
      <c r="N2107" s="219"/>
      <c r="O2107" s="219"/>
      <c r="P2107" s="219"/>
      <c r="Q2107" s="221"/>
    </row>
    <row r="2108" spans="2:17" x14ac:dyDescent="0.2">
      <c r="B2108" s="219"/>
      <c r="C2108" s="219"/>
      <c r="D2108" s="219"/>
      <c r="E2108" s="219"/>
      <c r="F2108" s="219"/>
      <c r="G2108" s="219"/>
      <c r="H2108" s="219"/>
      <c r="I2108" s="219"/>
      <c r="J2108" s="219"/>
      <c r="K2108" s="219"/>
      <c r="L2108" s="219"/>
      <c r="M2108" s="219"/>
      <c r="N2108" s="219"/>
      <c r="O2108" s="219"/>
      <c r="P2108" s="219"/>
      <c r="Q2108" s="221"/>
    </row>
    <row r="2109" spans="2:17" x14ac:dyDescent="0.2">
      <c r="B2109" s="219"/>
      <c r="C2109" s="219"/>
      <c r="D2109" s="219"/>
      <c r="E2109" s="219"/>
      <c r="F2109" s="219"/>
      <c r="G2109" s="219"/>
      <c r="H2109" s="219"/>
      <c r="I2109" s="219"/>
      <c r="J2109" s="219"/>
      <c r="K2109" s="219"/>
      <c r="L2109" s="219"/>
      <c r="M2109" s="219"/>
      <c r="N2109" s="219"/>
      <c r="O2109" s="219"/>
      <c r="P2109" s="219"/>
      <c r="Q2109" s="221"/>
    </row>
    <row r="2110" spans="2:17" x14ac:dyDescent="0.2">
      <c r="B2110" s="219"/>
      <c r="C2110" s="219"/>
      <c r="D2110" s="219"/>
      <c r="E2110" s="219"/>
      <c r="F2110" s="219"/>
      <c r="G2110" s="219"/>
      <c r="H2110" s="219"/>
      <c r="I2110" s="219"/>
      <c r="J2110" s="219"/>
      <c r="K2110" s="219"/>
      <c r="L2110" s="219"/>
      <c r="M2110" s="219"/>
      <c r="N2110" s="219"/>
      <c r="O2110" s="219"/>
      <c r="P2110" s="219"/>
      <c r="Q2110" s="221"/>
    </row>
    <row r="2111" spans="2:17" x14ac:dyDescent="0.2">
      <c r="B2111" s="219"/>
      <c r="C2111" s="219"/>
      <c r="D2111" s="219"/>
      <c r="E2111" s="219"/>
      <c r="F2111" s="219"/>
      <c r="G2111" s="219"/>
      <c r="H2111" s="219"/>
      <c r="I2111" s="219"/>
      <c r="J2111" s="219"/>
      <c r="K2111" s="219"/>
      <c r="L2111" s="219"/>
      <c r="M2111" s="219"/>
      <c r="N2111" s="219"/>
      <c r="O2111" s="219"/>
      <c r="P2111" s="219"/>
      <c r="Q2111" s="221"/>
    </row>
    <row r="2112" spans="2:17" x14ac:dyDescent="0.2">
      <c r="B2112" s="219"/>
      <c r="C2112" s="219"/>
      <c r="D2112" s="219"/>
      <c r="E2112" s="219"/>
      <c r="F2112" s="219"/>
      <c r="G2112" s="219"/>
      <c r="H2112" s="219"/>
      <c r="I2112" s="219"/>
      <c r="J2112" s="219"/>
      <c r="K2112" s="219"/>
      <c r="L2112" s="219"/>
      <c r="M2112" s="219"/>
      <c r="N2112" s="219"/>
      <c r="O2112" s="219"/>
      <c r="P2112" s="219"/>
      <c r="Q2112" s="221"/>
    </row>
    <row r="2113" spans="2:17" x14ac:dyDescent="0.2">
      <c r="B2113" s="219"/>
      <c r="C2113" s="219"/>
      <c r="D2113" s="219"/>
      <c r="E2113" s="219"/>
      <c r="F2113" s="219"/>
      <c r="G2113" s="219"/>
      <c r="H2113" s="219"/>
      <c r="I2113" s="219"/>
      <c r="J2113" s="219"/>
      <c r="K2113" s="219"/>
      <c r="L2113" s="219"/>
      <c r="M2113" s="219"/>
      <c r="N2113" s="219"/>
      <c r="O2113" s="219"/>
      <c r="P2113" s="219"/>
      <c r="Q2113" s="221"/>
    </row>
    <row r="2114" spans="2:17" x14ac:dyDescent="0.2">
      <c r="B2114" s="219"/>
      <c r="C2114" s="219"/>
      <c r="D2114" s="219"/>
      <c r="E2114" s="219"/>
      <c r="F2114" s="219"/>
      <c r="G2114" s="219"/>
      <c r="H2114" s="219"/>
      <c r="I2114" s="219"/>
      <c r="J2114" s="219"/>
      <c r="K2114" s="219"/>
      <c r="L2114" s="219"/>
      <c r="M2114" s="219"/>
      <c r="N2114" s="219"/>
      <c r="O2114" s="219"/>
      <c r="P2114" s="219"/>
      <c r="Q2114" s="221"/>
    </row>
    <row r="2115" spans="2:17" x14ac:dyDescent="0.2">
      <c r="B2115" s="219"/>
      <c r="C2115" s="219"/>
      <c r="D2115" s="219"/>
      <c r="E2115" s="219"/>
      <c r="F2115" s="219"/>
      <c r="G2115" s="219"/>
      <c r="H2115" s="219"/>
      <c r="I2115" s="219"/>
      <c r="J2115" s="219"/>
      <c r="K2115" s="219"/>
      <c r="L2115" s="219"/>
      <c r="M2115" s="219"/>
      <c r="N2115" s="219"/>
      <c r="O2115" s="219"/>
      <c r="P2115" s="219"/>
      <c r="Q2115" s="221"/>
    </row>
    <row r="2116" spans="2:17" x14ac:dyDescent="0.2">
      <c r="B2116" s="219"/>
      <c r="C2116" s="219"/>
      <c r="D2116" s="219"/>
      <c r="E2116" s="219"/>
      <c r="F2116" s="219"/>
      <c r="G2116" s="219"/>
      <c r="H2116" s="219"/>
      <c r="I2116" s="219"/>
      <c r="J2116" s="219"/>
      <c r="K2116" s="219"/>
      <c r="L2116" s="219"/>
      <c r="M2116" s="219"/>
      <c r="N2116" s="219"/>
      <c r="O2116" s="219"/>
      <c r="P2116" s="219"/>
      <c r="Q2116" s="221"/>
    </row>
    <row r="2117" spans="2:17" x14ac:dyDescent="0.2">
      <c r="B2117" s="219"/>
      <c r="C2117" s="219"/>
      <c r="D2117" s="219"/>
      <c r="E2117" s="219"/>
      <c r="F2117" s="219"/>
      <c r="G2117" s="219"/>
      <c r="H2117" s="219"/>
      <c r="I2117" s="219"/>
      <c r="J2117" s="219"/>
      <c r="K2117" s="219"/>
      <c r="L2117" s="219"/>
      <c r="M2117" s="219"/>
      <c r="N2117" s="219"/>
      <c r="O2117" s="219"/>
      <c r="P2117" s="219"/>
      <c r="Q2117" s="221"/>
    </row>
    <row r="2118" spans="2:17" x14ac:dyDescent="0.2">
      <c r="B2118" s="219"/>
      <c r="C2118" s="219"/>
      <c r="D2118" s="219"/>
      <c r="E2118" s="219"/>
      <c r="F2118" s="219"/>
      <c r="G2118" s="219"/>
      <c r="H2118" s="219"/>
      <c r="I2118" s="219"/>
      <c r="J2118" s="219"/>
      <c r="K2118" s="219"/>
      <c r="L2118" s="219"/>
      <c r="M2118" s="219"/>
      <c r="N2118" s="219"/>
      <c r="O2118" s="219"/>
      <c r="P2118" s="219"/>
      <c r="Q2118" s="221"/>
    </row>
    <row r="2119" spans="2:17" x14ac:dyDescent="0.2">
      <c r="B2119" s="219"/>
      <c r="C2119" s="219"/>
      <c r="D2119" s="219"/>
      <c r="E2119" s="219"/>
      <c r="F2119" s="219"/>
      <c r="G2119" s="219"/>
      <c r="H2119" s="219"/>
      <c r="I2119" s="219"/>
      <c r="J2119" s="219"/>
      <c r="K2119" s="219"/>
      <c r="L2119" s="219"/>
      <c r="M2119" s="219"/>
      <c r="N2119" s="219"/>
      <c r="O2119" s="219"/>
      <c r="P2119" s="219"/>
      <c r="Q2119" s="221"/>
    </row>
    <row r="2120" spans="2:17" x14ac:dyDescent="0.2">
      <c r="B2120" s="219"/>
      <c r="C2120" s="219"/>
      <c r="D2120" s="219"/>
      <c r="E2120" s="219"/>
      <c r="F2120" s="219"/>
      <c r="G2120" s="219"/>
      <c r="H2120" s="219"/>
      <c r="I2120" s="219"/>
      <c r="J2120" s="219"/>
      <c r="K2120" s="219"/>
      <c r="L2120" s="219"/>
      <c r="M2120" s="219"/>
      <c r="N2120" s="219"/>
      <c r="O2120" s="219"/>
      <c r="P2120" s="219"/>
      <c r="Q2120" s="221"/>
    </row>
    <row r="2121" spans="2:17" x14ac:dyDescent="0.2">
      <c r="B2121" s="219"/>
      <c r="C2121" s="219"/>
      <c r="D2121" s="219"/>
      <c r="E2121" s="219"/>
      <c r="F2121" s="219"/>
      <c r="G2121" s="219"/>
      <c r="H2121" s="219"/>
      <c r="I2121" s="219"/>
      <c r="J2121" s="219"/>
      <c r="K2121" s="219"/>
      <c r="L2121" s="219"/>
      <c r="M2121" s="219"/>
      <c r="N2121" s="219"/>
      <c r="O2121" s="219"/>
      <c r="P2121" s="219"/>
      <c r="Q2121" s="221"/>
    </row>
    <row r="2122" spans="2:17" x14ac:dyDescent="0.2">
      <c r="B2122" s="219"/>
      <c r="C2122" s="219"/>
      <c r="D2122" s="219"/>
      <c r="E2122" s="219"/>
      <c r="F2122" s="219"/>
      <c r="G2122" s="219"/>
      <c r="H2122" s="219"/>
      <c r="I2122" s="219"/>
      <c r="J2122" s="219"/>
      <c r="K2122" s="219"/>
      <c r="L2122" s="219"/>
      <c r="M2122" s="219"/>
      <c r="N2122" s="219"/>
      <c r="O2122" s="219"/>
      <c r="P2122" s="219"/>
      <c r="Q2122" s="221"/>
    </row>
    <row r="2123" spans="2:17" x14ac:dyDescent="0.2">
      <c r="B2123" s="219"/>
      <c r="C2123" s="219"/>
      <c r="D2123" s="219"/>
      <c r="E2123" s="219"/>
      <c r="F2123" s="219"/>
      <c r="G2123" s="219"/>
      <c r="H2123" s="219"/>
      <c r="I2123" s="219"/>
      <c r="J2123" s="219"/>
      <c r="K2123" s="219"/>
      <c r="L2123" s="219"/>
      <c r="M2123" s="219"/>
      <c r="N2123" s="219"/>
      <c r="O2123" s="219"/>
      <c r="P2123" s="219"/>
      <c r="Q2123" s="221"/>
    </row>
    <row r="2124" spans="2:17" x14ac:dyDescent="0.2">
      <c r="B2124" s="219"/>
      <c r="C2124" s="219"/>
      <c r="D2124" s="219"/>
      <c r="E2124" s="219"/>
      <c r="F2124" s="219"/>
      <c r="G2124" s="219"/>
      <c r="H2124" s="219"/>
      <c r="I2124" s="219"/>
      <c r="J2124" s="219"/>
      <c r="K2124" s="219"/>
      <c r="L2124" s="219"/>
      <c r="M2124" s="219"/>
      <c r="N2124" s="219"/>
      <c r="O2124" s="219"/>
      <c r="P2124" s="219"/>
      <c r="Q2124" s="221"/>
    </row>
    <row r="2125" spans="2:17" x14ac:dyDescent="0.2">
      <c r="B2125" s="219"/>
      <c r="C2125" s="219"/>
      <c r="D2125" s="219"/>
      <c r="E2125" s="219"/>
      <c r="F2125" s="219"/>
      <c r="G2125" s="219"/>
      <c r="H2125" s="219"/>
      <c r="I2125" s="219"/>
      <c r="J2125" s="219"/>
      <c r="K2125" s="219"/>
      <c r="L2125" s="219"/>
      <c r="M2125" s="219"/>
      <c r="N2125" s="219"/>
      <c r="O2125" s="219"/>
      <c r="P2125" s="219"/>
      <c r="Q2125" s="221"/>
    </row>
    <row r="2126" spans="2:17" x14ac:dyDescent="0.2">
      <c r="B2126" s="219"/>
      <c r="C2126" s="219"/>
      <c r="D2126" s="219"/>
      <c r="E2126" s="219"/>
      <c r="F2126" s="219"/>
      <c r="G2126" s="219"/>
      <c r="H2126" s="219"/>
      <c r="I2126" s="219"/>
      <c r="J2126" s="219"/>
      <c r="K2126" s="219"/>
      <c r="L2126" s="219"/>
      <c r="M2126" s="219"/>
      <c r="N2126" s="219"/>
      <c r="O2126" s="219"/>
      <c r="P2126" s="219"/>
      <c r="Q2126" s="221"/>
    </row>
    <row r="2127" spans="2:17" x14ac:dyDescent="0.2">
      <c r="B2127" s="219"/>
      <c r="C2127" s="219"/>
      <c r="D2127" s="219"/>
      <c r="E2127" s="219"/>
      <c r="F2127" s="219"/>
      <c r="G2127" s="219"/>
      <c r="H2127" s="219"/>
      <c r="I2127" s="219"/>
      <c r="J2127" s="219"/>
      <c r="K2127" s="219"/>
      <c r="L2127" s="219"/>
      <c r="M2127" s="219"/>
      <c r="N2127" s="219"/>
      <c r="O2127" s="219"/>
      <c r="P2127" s="219"/>
      <c r="Q2127" s="221"/>
    </row>
    <row r="2128" spans="2:17" x14ac:dyDescent="0.2">
      <c r="B2128" s="219"/>
      <c r="C2128" s="219"/>
      <c r="D2128" s="219"/>
      <c r="E2128" s="219"/>
      <c r="F2128" s="219"/>
      <c r="G2128" s="219"/>
      <c r="H2128" s="219"/>
      <c r="I2128" s="219"/>
      <c r="J2128" s="219"/>
      <c r="K2128" s="219"/>
      <c r="L2128" s="219"/>
      <c r="M2128" s="219"/>
      <c r="N2128" s="219"/>
      <c r="O2128" s="219"/>
      <c r="P2128" s="219"/>
      <c r="Q2128" s="221"/>
    </row>
    <row r="2129" spans="2:17" x14ac:dyDescent="0.2">
      <c r="B2129" s="219"/>
      <c r="C2129" s="219"/>
      <c r="D2129" s="219"/>
      <c r="E2129" s="219"/>
      <c r="F2129" s="219"/>
      <c r="G2129" s="219"/>
      <c r="H2129" s="219"/>
      <c r="I2129" s="219"/>
      <c r="J2129" s="219"/>
      <c r="K2129" s="219"/>
      <c r="L2129" s="219"/>
      <c r="M2129" s="219"/>
      <c r="N2129" s="219"/>
      <c r="O2129" s="219"/>
      <c r="P2129" s="219"/>
      <c r="Q2129" s="221"/>
    </row>
    <row r="2130" spans="2:17" x14ac:dyDescent="0.2">
      <c r="B2130" s="219"/>
      <c r="C2130" s="219"/>
      <c r="D2130" s="219"/>
      <c r="E2130" s="219"/>
      <c r="F2130" s="219"/>
      <c r="G2130" s="219"/>
      <c r="H2130" s="219"/>
      <c r="I2130" s="219"/>
      <c r="J2130" s="219"/>
      <c r="K2130" s="219"/>
      <c r="L2130" s="219"/>
      <c r="M2130" s="219"/>
      <c r="N2130" s="219"/>
      <c r="O2130" s="219"/>
      <c r="P2130" s="219"/>
      <c r="Q2130" s="221"/>
    </row>
    <row r="2131" spans="2:17" x14ac:dyDescent="0.2">
      <c r="B2131" s="219"/>
      <c r="C2131" s="219"/>
      <c r="D2131" s="219"/>
      <c r="E2131" s="219"/>
      <c r="F2131" s="219"/>
      <c r="G2131" s="219"/>
      <c r="H2131" s="219"/>
      <c r="I2131" s="219"/>
      <c r="J2131" s="219"/>
      <c r="K2131" s="219"/>
      <c r="L2131" s="219"/>
      <c r="M2131" s="219"/>
      <c r="N2131" s="219"/>
      <c r="O2131" s="219"/>
      <c r="P2131" s="219"/>
      <c r="Q2131" s="221"/>
    </row>
    <row r="2132" spans="2:17" x14ac:dyDescent="0.2">
      <c r="B2132" s="219"/>
      <c r="C2132" s="219"/>
      <c r="D2132" s="219"/>
      <c r="E2132" s="219"/>
      <c r="F2132" s="219"/>
      <c r="G2132" s="219"/>
      <c r="H2132" s="219"/>
      <c r="I2132" s="219"/>
      <c r="J2132" s="219"/>
      <c r="K2132" s="219"/>
      <c r="L2132" s="219"/>
      <c r="M2132" s="219"/>
      <c r="N2132" s="219"/>
      <c r="O2132" s="219"/>
      <c r="P2132" s="219"/>
      <c r="Q2132" s="221"/>
    </row>
    <row r="2133" spans="2:17" x14ac:dyDescent="0.2">
      <c r="B2133" s="219"/>
      <c r="C2133" s="219"/>
      <c r="D2133" s="219"/>
      <c r="E2133" s="219"/>
      <c r="F2133" s="219"/>
      <c r="G2133" s="219"/>
      <c r="H2133" s="219"/>
      <c r="I2133" s="219"/>
      <c r="J2133" s="219"/>
      <c r="K2133" s="219"/>
      <c r="L2133" s="219"/>
      <c r="M2133" s="219"/>
      <c r="N2133" s="219"/>
      <c r="O2133" s="219"/>
      <c r="P2133" s="219"/>
      <c r="Q2133" s="221"/>
    </row>
    <row r="2134" spans="2:17" x14ac:dyDescent="0.2">
      <c r="B2134" s="219"/>
      <c r="C2134" s="219"/>
      <c r="D2134" s="219"/>
      <c r="E2134" s="219"/>
      <c r="F2134" s="219"/>
      <c r="G2134" s="219"/>
      <c r="H2134" s="219"/>
      <c r="I2134" s="219"/>
      <c r="J2134" s="219"/>
      <c r="K2134" s="219"/>
      <c r="L2134" s="219"/>
      <c r="M2134" s="219"/>
      <c r="N2134" s="219"/>
      <c r="O2134" s="219"/>
      <c r="P2134" s="219"/>
      <c r="Q2134" s="221"/>
    </row>
    <row r="2135" spans="2:17" x14ac:dyDescent="0.2">
      <c r="B2135" s="219"/>
      <c r="C2135" s="219"/>
      <c r="D2135" s="219"/>
      <c r="E2135" s="219"/>
      <c r="F2135" s="219"/>
      <c r="G2135" s="219"/>
      <c r="H2135" s="219"/>
      <c r="I2135" s="219"/>
      <c r="J2135" s="219"/>
      <c r="K2135" s="219"/>
      <c r="L2135" s="219"/>
      <c r="M2135" s="219"/>
      <c r="N2135" s="219"/>
      <c r="O2135" s="219"/>
      <c r="P2135" s="219"/>
      <c r="Q2135" s="221"/>
    </row>
    <row r="2136" spans="2:17" x14ac:dyDescent="0.2">
      <c r="B2136" s="219"/>
      <c r="C2136" s="219"/>
      <c r="D2136" s="219"/>
      <c r="E2136" s="219"/>
      <c r="F2136" s="219"/>
      <c r="G2136" s="219"/>
      <c r="H2136" s="219"/>
      <c r="I2136" s="219"/>
      <c r="J2136" s="219"/>
      <c r="K2136" s="219"/>
      <c r="L2136" s="219"/>
      <c r="M2136" s="219"/>
      <c r="N2136" s="219"/>
      <c r="O2136" s="219"/>
      <c r="P2136" s="219"/>
      <c r="Q2136" s="221"/>
    </row>
    <row r="2137" spans="2:17" x14ac:dyDescent="0.2">
      <c r="B2137" s="219"/>
      <c r="C2137" s="219"/>
      <c r="D2137" s="219"/>
      <c r="E2137" s="219"/>
      <c r="F2137" s="219"/>
      <c r="G2137" s="219"/>
      <c r="H2137" s="219"/>
      <c r="I2137" s="219"/>
      <c r="J2137" s="219"/>
      <c r="K2137" s="219"/>
      <c r="L2137" s="219"/>
      <c r="M2137" s="219"/>
      <c r="N2137" s="219"/>
      <c r="O2137" s="219"/>
      <c r="P2137" s="219"/>
      <c r="Q2137" s="221"/>
    </row>
    <row r="2138" spans="2:17" x14ac:dyDescent="0.2">
      <c r="B2138" s="219"/>
      <c r="C2138" s="219"/>
      <c r="D2138" s="219"/>
      <c r="E2138" s="219"/>
      <c r="F2138" s="219"/>
      <c r="G2138" s="219"/>
      <c r="H2138" s="219"/>
      <c r="I2138" s="219"/>
      <c r="J2138" s="219"/>
      <c r="K2138" s="219"/>
      <c r="L2138" s="219"/>
      <c r="M2138" s="219"/>
      <c r="N2138" s="219"/>
      <c r="O2138" s="219"/>
      <c r="P2138" s="219"/>
      <c r="Q2138" s="221"/>
    </row>
    <row r="2139" spans="2:17" x14ac:dyDescent="0.2">
      <c r="B2139" s="219"/>
      <c r="C2139" s="219"/>
      <c r="D2139" s="219"/>
      <c r="E2139" s="219"/>
      <c r="F2139" s="219"/>
      <c r="G2139" s="219"/>
      <c r="H2139" s="219"/>
      <c r="I2139" s="219"/>
      <c r="J2139" s="219"/>
      <c r="K2139" s="219"/>
      <c r="L2139" s="219"/>
      <c r="M2139" s="219"/>
      <c r="N2139" s="219"/>
      <c r="O2139" s="219"/>
      <c r="P2139" s="219"/>
      <c r="Q2139" s="221"/>
    </row>
    <row r="2140" spans="2:17" x14ac:dyDescent="0.2">
      <c r="B2140" s="219"/>
      <c r="C2140" s="219"/>
      <c r="D2140" s="219"/>
      <c r="E2140" s="219"/>
      <c r="F2140" s="219"/>
      <c r="G2140" s="219"/>
      <c r="H2140" s="219"/>
      <c r="I2140" s="219"/>
      <c r="J2140" s="219"/>
      <c r="K2140" s="219"/>
      <c r="L2140" s="219"/>
      <c r="M2140" s="219"/>
      <c r="N2140" s="219"/>
      <c r="O2140" s="219"/>
      <c r="P2140" s="219"/>
      <c r="Q2140" s="221"/>
    </row>
    <row r="2141" spans="2:17" x14ac:dyDescent="0.2">
      <c r="B2141" s="219"/>
      <c r="C2141" s="219"/>
      <c r="D2141" s="219"/>
      <c r="E2141" s="219"/>
      <c r="F2141" s="219"/>
      <c r="G2141" s="219"/>
      <c r="H2141" s="219"/>
      <c r="I2141" s="219"/>
      <c r="J2141" s="219"/>
      <c r="K2141" s="219"/>
      <c r="L2141" s="219"/>
      <c r="M2141" s="219"/>
      <c r="N2141" s="219"/>
      <c r="O2141" s="219"/>
      <c r="P2141" s="219"/>
      <c r="Q2141" s="221"/>
    </row>
    <row r="2142" spans="2:17" x14ac:dyDescent="0.2">
      <c r="B2142" s="219"/>
      <c r="C2142" s="219"/>
      <c r="D2142" s="219"/>
      <c r="E2142" s="219"/>
      <c r="F2142" s="219"/>
      <c r="G2142" s="219"/>
      <c r="H2142" s="219"/>
      <c r="I2142" s="219"/>
      <c r="J2142" s="219"/>
      <c r="K2142" s="219"/>
      <c r="L2142" s="219"/>
      <c r="M2142" s="219"/>
      <c r="N2142" s="219"/>
      <c r="O2142" s="219"/>
      <c r="P2142" s="219"/>
      <c r="Q2142" s="221"/>
    </row>
    <row r="2143" spans="2:17" x14ac:dyDescent="0.2">
      <c r="B2143" s="219"/>
      <c r="C2143" s="219"/>
      <c r="D2143" s="219"/>
      <c r="E2143" s="219"/>
      <c r="F2143" s="219"/>
      <c r="G2143" s="219"/>
      <c r="H2143" s="219"/>
      <c r="I2143" s="219"/>
      <c r="J2143" s="219"/>
      <c r="K2143" s="219"/>
      <c r="L2143" s="219"/>
      <c r="M2143" s="219"/>
      <c r="N2143" s="219"/>
      <c r="O2143" s="219"/>
      <c r="P2143" s="219"/>
      <c r="Q2143" s="221"/>
    </row>
    <row r="2144" spans="2:17" x14ac:dyDescent="0.2">
      <c r="B2144" s="219"/>
      <c r="C2144" s="219"/>
      <c r="D2144" s="219"/>
      <c r="E2144" s="219"/>
      <c r="F2144" s="219"/>
      <c r="G2144" s="219"/>
      <c r="H2144" s="219"/>
      <c r="I2144" s="219"/>
      <c r="J2144" s="219"/>
      <c r="K2144" s="219"/>
      <c r="L2144" s="219"/>
      <c r="M2144" s="219"/>
      <c r="N2144" s="219"/>
      <c r="O2144" s="219"/>
      <c r="P2144" s="219"/>
      <c r="Q2144" s="221"/>
    </row>
    <row r="2145" spans="2:17" x14ac:dyDescent="0.2">
      <c r="B2145" s="219"/>
      <c r="C2145" s="219"/>
      <c r="D2145" s="219"/>
      <c r="E2145" s="219"/>
      <c r="F2145" s="219"/>
      <c r="G2145" s="219"/>
      <c r="H2145" s="219"/>
      <c r="I2145" s="219"/>
      <c r="J2145" s="219"/>
      <c r="K2145" s="219"/>
      <c r="L2145" s="219"/>
      <c r="M2145" s="219"/>
      <c r="N2145" s="219"/>
      <c r="O2145" s="219"/>
      <c r="P2145" s="219"/>
      <c r="Q2145" s="221"/>
    </row>
    <row r="2146" spans="2:17" x14ac:dyDescent="0.2">
      <c r="B2146" s="219"/>
      <c r="C2146" s="219"/>
      <c r="D2146" s="219"/>
      <c r="E2146" s="219"/>
      <c r="F2146" s="219"/>
      <c r="G2146" s="219"/>
      <c r="H2146" s="219"/>
      <c r="I2146" s="219"/>
      <c r="J2146" s="219"/>
      <c r="K2146" s="219"/>
      <c r="L2146" s="219"/>
      <c r="M2146" s="219"/>
      <c r="N2146" s="219"/>
      <c r="O2146" s="219"/>
      <c r="P2146" s="219"/>
      <c r="Q2146" s="221"/>
    </row>
    <row r="2147" spans="2:17" x14ac:dyDescent="0.2">
      <c r="B2147" s="219"/>
      <c r="C2147" s="219"/>
      <c r="D2147" s="219"/>
      <c r="E2147" s="219"/>
      <c r="F2147" s="219"/>
      <c r="G2147" s="219"/>
      <c r="H2147" s="219"/>
      <c r="I2147" s="219"/>
      <c r="J2147" s="219"/>
      <c r="K2147" s="219"/>
      <c r="L2147" s="219"/>
      <c r="M2147" s="219"/>
      <c r="N2147" s="219"/>
      <c r="O2147" s="219"/>
      <c r="P2147" s="219"/>
      <c r="Q2147" s="221"/>
    </row>
    <row r="2148" spans="2:17" x14ac:dyDescent="0.2">
      <c r="B2148" s="219"/>
      <c r="C2148" s="219"/>
      <c r="D2148" s="219"/>
      <c r="E2148" s="219"/>
      <c r="F2148" s="219"/>
      <c r="G2148" s="219"/>
      <c r="H2148" s="219"/>
      <c r="I2148" s="219"/>
      <c r="J2148" s="219"/>
      <c r="K2148" s="219"/>
      <c r="L2148" s="219"/>
      <c r="M2148" s="219"/>
      <c r="N2148" s="219"/>
      <c r="O2148" s="219"/>
      <c r="P2148" s="219"/>
      <c r="Q2148" s="221"/>
    </row>
    <row r="2149" spans="2:17" x14ac:dyDescent="0.2">
      <c r="B2149" s="219"/>
      <c r="C2149" s="219"/>
      <c r="D2149" s="219"/>
      <c r="E2149" s="219"/>
      <c r="F2149" s="219"/>
      <c r="G2149" s="219"/>
      <c r="H2149" s="219"/>
      <c r="I2149" s="219"/>
      <c r="J2149" s="219"/>
      <c r="K2149" s="219"/>
      <c r="L2149" s="219"/>
      <c r="M2149" s="219"/>
      <c r="N2149" s="219"/>
      <c r="O2149" s="219"/>
      <c r="P2149" s="219"/>
      <c r="Q2149" s="221"/>
    </row>
    <row r="2150" spans="2:17" x14ac:dyDescent="0.2">
      <c r="B2150" s="219"/>
      <c r="C2150" s="219"/>
      <c r="D2150" s="219"/>
      <c r="E2150" s="219"/>
      <c r="F2150" s="219"/>
      <c r="G2150" s="219"/>
      <c r="H2150" s="219"/>
      <c r="I2150" s="219"/>
      <c r="J2150" s="219"/>
      <c r="K2150" s="219"/>
      <c r="L2150" s="219"/>
      <c r="M2150" s="219"/>
      <c r="N2150" s="219"/>
      <c r="O2150" s="219"/>
      <c r="P2150" s="219"/>
      <c r="Q2150" s="221"/>
    </row>
    <row r="2151" spans="2:17" x14ac:dyDescent="0.2">
      <c r="B2151" s="219"/>
      <c r="C2151" s="219"/>
      <c r="D2151" s="219"/>
      <c r="E2151" s="219"/>
      <c r="F2151" s="219"/>
      <c r="G2151" s="219"/>
      <c r="H2151" s="219"/>
      <c r="I2151" s="219"/>
      <c r="J2151" s="219"/>
      <c r="K2151" s="219"/>
      <c r="L2151" s="219"/>
      <c r="M2151" s="219"/>
      <c r="N2151" s="219"/>
      <c r="O2151" s="219"/>
      <c r="P2151" s="219"/>
      <c r="Q2151" s="221"/>
    </row>
    <row r="2152" spans="2:17" x14ac:dyDescent="0.2">
      <c r="B2152" s="219"/>
      <c r="C2152" s="219"/>
      <c r="D2152" s="219"/>
      <c r="E2152" s="219"/>
      <c r="F2152" s="219"/>
      <c r="G2152" s="219"/>
      <c r="H2152" s="219"/>
      <c r="I2152" s="219"/>
      <c r="J2152" s="219"/>
      <c r="K2152" s="219"/>
      <c r="L2152" s="219"/>
      <c r="M2152" s="219"/>
      <c r="N2152" s="219"/>
      <c r="O2152" s="219"/>
      <c r="P2152" s="219"/>
      <c r="Q2152" s="221"/>
    </row>
    <row r="2153" spans="2:17" x14ac:dyDescent="0.2">
      <c r="B2153" s="219"/>
      <c r="C2153" s="219"/>
      <c r="D2153" s="219"/>
      <c r="E2153" s="219"/>
      <c r="F2153" s="219"/>
      <c r="G2153" s="219"/>
      <c r="H2153" s="219"/>
      <c r="I2153" s="219"/>
      <c r="J2153" s="219"/>
      <c r="K2153" s="219"/>
      <c r="L2153" s="219"/>
      <c r="M2153" s="219"/>
      <c r="N2153" s="219"/>
      <c r="O2153" s="219"/>
      <c r="P2153" s="219"/>
      <c r="Q2153" s="221"/>
    </row>
    <row r="2154" spans="2:17" x14ac:dyDescent="0.2">
      <c r="B2154" s="219"/>
      <c r="C2154" s="219"/>
      <c r="D2154" s="219"/>
      <c r="E2154" s="219"/>
      <c r="F2154" s="219"/>
      <c r="G2154" s="219"/>
      <c r="H2154" s="219"/>
      <c r="I2154" s="219"/>
      <c r="J2154" s="219"/>
      <c r="K2154" s="219"/>
      <c r="L2154" s="219"/>
      <c r="M2154" s="219"/>
      <c r="N2154" s="219"/>
      <c r="O2154" s="219"/>
      <c r="P2154" s="219"/>
      <c r="Q2154" s="221"/>
    </row>
    <row r="2155" spans="2:17" x14ac:dyDescent="0.2">
      <c r="B2155" s="219"/>
      <c r="C2155" s="219"/>
      <c r="D2155" s="219"/>
      <c r="E2155" s="219"/>
      <c r="F2155" s="219"/>
      <c r="G2155" s="219"/>
      <c r="H2155" s="219"/>
      <c r="I2155" s="219"/>
      <c r="J2155" s="219"/>
      <c r="K2155" s="219"/>
      <c r="L2155" s="219"/>
      <c r="M2155" s="219"/>
      <c r="N2155" s="219"/>
      <c r="O2155" s="219"/>
      <c r="P2155" s="219"/>
      <c r="Q2155" s="221"/>
    </row>
    <row r="2156" spans="2:17" x14ac:dyDescent="0.2">
      <c r="B2156" s="219"/>
      <c r="C2156" s="219"/>
      <c r="D2156" s="219"/>
      <c r="E2156" s="219"/>
      <c r="F2156" s="219"/>
      <c r="G2156" s="219"/>
      <c r="H2156" s="219"/>
      <c r="I2156" s="219"/>
      <c r="J2156" s="219"/>
      <c r="K2156" s="219"/>
      <c r="L2156" s="219"/>
      <c r="M2156" s="219"/>
      <c r="N2156" s="219"/>
      <c r="O2156" s="219"/>
      <c r="P2156" s="219"/>
      <c r="Q2156" s="221"/>
    </row>
    <row r="2157" spans="2:17" x14ac:dyDescent="0.2">
      <c r="B2157" s="219"/>
      <c r="C2157" s="219"/>
      <c r="D2157" s="219"/>
      <c r="E2157" s="219"/>
      <c r="F2157" s="219"/>
      <c r="G2157" s="219"/>
      <c r="H2157" s="219"/>
      <c r="I2157" s="219"/>
      <c r="J2157" s="219"/>
      <c r="K2157" s="219"/>
      <c r="L2157" s="219"/>
      <c r="M2157" s="219"/>
      <c r="N2157" s="219"/>
      <c r="O2157" s="219"/>
      <c r="P2157" s="219"/>
      <c r="Q2157" s="221"/>
    </row>
    <row r="2158" spans="2:17" x14ac:dyDescent="0.2">
      <c r="B2158" s="219"/>
      <c r="C2158" s="219"/>
      <c r="D2158" s="219"/>
      <c r="E2158" s="219"/>
      <c r="F2158" s="219"/>
      <c r="G2158" s="219"/>
      <c r="H2158" s="219"/>
      <c r="I2158" s="219"/>
      <c r="J2158" s="219"/>
      <c r="K2158" s="219"/>
      <c r="L2158" s="219"/>
      <c r="M2158" s="219"/>
      <c r="N2158" s="219"/>
      <c r="O2158" s="219"/>
      <c r="P2158" s="219"/>
      <c r="Q2158" s="221"/>
    </row>
    <row r="2159" spans="2:17" x14ac:dyDescent="0.2">
      <c r="B2159" s="219"/>
      <c r="C2159" s="219"/>
      <c r="D2159" s="219"/>
      <c r="E2159" s="219"/>
      <c r="F2159" s="219"/>
      <c r="G2159" s="219"/>
      <c r="H2159" s="219"/>
      <c r="I2159" s="219"/>
      <c r="J2159" s="219"/>
      <c r="K2159" s="219"/>
      <c r="L2159" s="219"/>
      <c r="M2159" s="219"/>
      <c r="N2159" s="219"/>
      <c r="O2159" s="219"/>
      <c r="P2159" s="219"/>
      <c r="Q2159" s="221"/>
    </row>
    <row r="2160" spans="2:17" x14ac:dyDescent="0.2">
      <c r="B2160" s="219"/>
      <c r="C2160" s="219"/>
      <c r="D2160" s="219"/>
      <c r="E2160" s="219"/>
      <c r="F2160" s="219"/>
      <c r="G2160" s="219"/>
      <c r="H2160" s="219"/>
      <c r="I2160" s="219"/>
      <c r="J2160" s="219"/>
      <c r="K2160" s="219"/>
      <c r="L2160" s="219"/>
      <c r="M2160" s="219"/>
      <c r="N2160" s="219"/>
      <c r="O2160" s="219"/>
      <c r="P2160" s="219"/>
      <c r="Q2160" s="221"/>
    </row>
    <row r="2161" spans="2:17" x14ac:dyDescent="0.2">
      <c r="B2161" s="219"/>
      <c r="C2161" s="219"/>
      <c r="D2161" s="219"/>
      <c r="E2161" s="219"/>
      <c r="F2161" s="219"/>
      <c r="G2161" s="219"/>
      <c r="H2161" s="219"/>
      <c r="I2161" s="219"/>
      <c r="J2161" s="219"/>
      <c r="K2161" s="219"/>
      <c r="L2161" s="219"/>
      <c r="M2161" s="219"/>
      <c r="N2161" s="219"/>
      <c r="O2161" s="219"/>
      <c r="P2161" s="219"/>
      <c r="Q2161" s="221"/>
    </row>
    <row r="2162" spans="2:17" x14ac:dyDescent="0.2">
      <c r="B2162" s="219"/>
      <c r="C2162" s="219"/>
      <c r="D2162" s="219"/>
      <c r="E2162" s="219"/>
      <c r="F2162" s="219"/>
      <c r="G2162" s="219"/>
      <c r="H2162" s="219"/>
      <c r="I2162" s="219"/>
      <c r="J2162" s="219"/>
      <c r="K2162" s="219"/>
      <c r="L2162" s="219"/>
      <c r="M2162" s="219"/>
      <c r="N2162" s="219"/>
      <c r="O2162" s="219"/>
      <c r="P2162" s="219"/>
      <c r="Q2162" s="221"/>
    </row>
    <row r="2163" spans="2:17" x14ac:dyDescent="0.2">
      <c r="B2163" s="219"/>
      <c r="C2163" s="219"/>
      <c r="D2163" s="219"/>
      <c r="E2163" s="219"/>
      <c r="F2163" s="219"/>
      <c r="G2163" s="219"/>
      <c r="H2163" s="219"/>
      <c r="I2163" s="219"/>
      <c r="J2163" s="219"/>
      <c r="K2163" s="219"/>
      <c r="L2163" s="219"/>
      <c r="M2163" s="219"/>
      <c r="N2163" s="219"/>
      <c r="O2163" s="219"/>
      <c r="P2163" s="219"/>
      <c r="Q2163" s="221"/>
    </row>
    <row r="2164" spans="2:17" x14ac:dyDescent="0.2">
      <c r="B2164" s="219"/>
      <c r="C2164" s="219"/>
      <c r="D2164" s="219"/>
      <c r="E2164" s="219"/>
      <c r="F2164" s="219"/>
      <c r="G2164" s="219"/>
      <c r="H2164" s="219"/>
      <c r="I2164" s="219"/>
      <c r="J2164" s="219"/>
      <c r="K2164" s="219"/>
      <c r="L2164" s="219"/>
      <c r="M2164" s="219"/>
      <c r="N2164" s="219"/>
      <c r="O2164" s="219"/>
      <c r="P2164" s="219"/>
      <c r="Q2164" s="221"/>
    </row>
    <row r="2165" spans="2:17" x14ac:dyDescent="0.2">
      <c r="B2165" s="219"/>
      <c r="C2165" s="219"/>
      <c r="D2165" s="219"/>
      <c r="E2165" s="219"/>
      <c r="F2165" s="219"/>
      <c r="G2165" s="219"/>
      <c r="H2165" s="219"/>
      <c r="I2165" s="219"/>
      <c r="J2165" s="219"/>
      <c r="K2165" s="219"/>
      <c r="L2165" s="219"/>
      <c r="M2165" s="219"/>
      <c r="N2165" s="219"/>
      <c r="O2165" s="219"/>
      <c r="P2165" s="219"/>
      <c r="Q2165" s="221"/>
    </row>
    <row r="2166" spans="2:17" x14ac:dyDescent="0.2">
      <c r="B2166" s="219"/>
      <c r="C2166" s="219"/>
      <c r="D2166" s="219"/>
      <c r="E2166" s="219"/>
      <c r="F2166" s="219"/>
      <c r="G2166" s="219"/>
      <c r="H2166" s="219"/>
      <c r="I2166" s="219"/>
      <c r="J2166" s="219"/>
      <c r="K2166" s="219"/>
      <c r="L2166" s="219"/>
      <c r="M2166" s="219"/>
      <c r="N2166" s="219"/>
      <c r="O2166" s="219"/>
      <c r="P2166" s="219"/>
      <c r="Q2166" s="221"/>
    </row>
    <row r="2167" spans="2:17" x14ac:dyDescent="0.2">
      <c r="B2167" s="219"/>
      <c r="C2167" s="219"/>
      <c r="D2167" s="219"/>
      <c r="E2167" s="219"/>
      <c r="F2167" s="219"/>
      <c r="G2167" s="219"/>
      <c r="H2167" s="219"/>
      <c r="I2167" s="219"/>
      <c r="J2167" s="219"/>
      <c r="K2167" s="219"/>
      <c r="L2167" s="219"/>
      <c r="M2167" s="219"/>
      <c r="N2167" s="219"/>
      <c r="O2167" s="219"/>
      <c r="P2167" s="219"/>
      <c r="Q2167" s="221"/>
    </row>
    <row r="2168" spans="2:17" x14ac:dyDescent="0.2">
      <c r="B2168" s="219"/>
      <c r="C2168" s="219"/>
      <c r="D2168" s="219"/>
      <c r="E2168" s="219"/>
      <c r="F2168" s="219"/>
      <c r="G2168" s="219"/>
      <c r="H2168" s="219"/>
      <c r="I2168" s="219"/>
      <c r="J2168" s="219"/>
      <c r="K2168" s="219"/>
      <c r="L2168" s="219"/>
      <c r="M2168" s="219"/>
      <c r="N2168" s="219"/>
      <c r="O2168" s="219"/>
      <c r="P2168" s="219"/>
      <c r="Q2168" s="221"/>
    </row>
    <row r="2169" spans="2:17" x14ac:dyDescent="0.2">
      <c r="B2169" s="219"/>
      <c r="C2169" s="219"/>
      <c r="D2169" s="219"/>
      <c r="E2169" s="219"/>
      <c r="F2169" s="219"/>
      <c r="G2169" s="219"/>
      <c r="H2169" s="219"/>
      <c r="I2169" s="219"/>
      <c r="J2169" s="219"/>
      <c r="K2169" s="219"/>
      <c r="L2169" s="219"/>
      <c r="M2169" s="219"/>
      <c r="N2169" s="219"/>
      <c r="O2169" s="219"/>
      <c r="P2169" s="219"/>
      <c r="Q2169" s="221"/>
    </row>
    <row r="2170" spans="2:17" x14ac:dyDescent="0.2">
      <c r="B2170" s="219"/>
      <c r="C2170" s="219"/>
      <c r="D2170" s="219"/>
      <c r="E2170" s="219"/>
      <c r="F2170" s="219"/>
      <c r="G2170" s="219"/>
      <c r="H2170" s="219"/>
      <c r="I2170" s="219"/>
      <c r="J2170" s="219"/>
      <c r="K2170" s="219"/>
      <c r="L2170" s="219"/>
      <c r="M2170" s="219"/>
      <c r="N2170" s="219"/>
      <c r="O2170" s="219"/>
      <c r="P2170" s="219"/>
      <c r="Q2170" s="221"/>
    </row>
    <row r="2171" spans="2:17" x14ac:dyDescent="0.2">
      <c r="B2171" s="219"/>
      <c r="C2171" s="219"/>
      <c r="D2171" s="219"/>
      <c r="E2171" s="219"/>
      <c r="F2171" s="219"/>
      <c r="G2171" s="219"/>
      <c r="H2171" s="219"/>
      <c r="I2171" s="219"/>
      <c r="J2171" s="219"/>
      <c r="K2171" s="219"/>
      <c r="L2171" s="219"/>
      <c r="M2171" s="219"/>
      <c r="N2171" s="219"/>
      <c r="O2171" s="219"/>
      <c r="P2171" s="219"/>
      <c r="Q2171" s="221"/>
    </row>
    <row r="2172" spans="2:17" x14ac:dyDescent="0.2">
      <c r="B2172" s="219"/>
      <c r="C2172" s="219"/>
      <c r="D2172" s="219"/>
      <c r="E2172" s="219"/>
      <c r="F2172" s="219"/>
      <c r="G2172" s="219"/>
      <c r="H2172" s="219"/>
      <c r="I2172" s="219"/>
      <c r="J2172" s="219"/>
      <c r="K2172" s="219"/>
      <c r="L2172" s="219"/>
      <c r="M2172" s="219"/>
      <c r="N2172" s="219"/>
      <c r="O2172" s="219"/>
      <c r="P2172" s="219"/>
      <c r="Q2172" s="221"/>
    </row>
    <row r="2173" spans="2:17" x14ac:dyDescent="0.2">
      <c r="B2173" s="219"/>
      <c r="C2173" s="219"/>
      <c r="D2173" s="219"/>
      <c r="E2173" s="219"/>
      <c r="F2173" s="219"/>
      <c r="G2173" s="219"/>
      <c r="H2173" s="219"/>
      <c r="I2173" s="219"/>
      <c r="J2173" s="219"/>
      <c r="K2173" s="219"/>
      <c r="L2173" s="219"/>
      <c r="M2173" s="219"/>
      <c r="N2173" s="219"/>
      <c r="O2173" s="219"/>
      <c r="P2173" s="219"/>
      <c r="Q2173" s="221"/>
    </row>
    <row r="2174" spans="2:17" x14ac:dyDescent="0.2">
      <c r="B2174" s="219"/>
      <c r="C2174" s="219"/>
      <c r="D2174" s="219"/>
      <c r="E2174" s="219"/>
      <c r="F2174" s="219"/>
      <c r="G2174" s="219"/>
      <c r="H2174" s="219"/>
      <c r="I2174" s="219"/>
      <c r="J2174" s="219"/>
      <c r="K2174" s="219"/>
      <c r="L2174" s="219"/>
      <c r="M2174" s="219"/>
      <c r="N2174" s="219"/>
      <c r="O2174" s="219"/>
      <c r="P2174" s="219"/>
      <c r="Q2174" s="221"/>
    </row>
    <row r="2175" spans="2:17" x14ac:dyDescent="0.2">
      <c r="B2175" s="219"/>
      <c r="C2175" s="219"/>
      <c r="D2175" s="219"/>
      <c r="E2175" s="219"/>
      <c r="F2175" s="219"/>
      <c r="G2175" s="219"/>
      <c r="H2175" s="219"/>
      <c r="I2175" s="219"/>
      <c r="J2175" s="219"/>
      <c r="K2175" s="219"/>
      <c r="L2175" s="219"/>
      <c r="M2175" s="219"/>
      <c r="N2175" s="219"/>
      <c r="O2175" s="219"/>
      <c r="P2175" s="219"/>
      <c r="Q2175" s="221"/>
    </row>
    <row r="2176" spans="2:17" x14ac:dyDescent="0.2">
      <c r="B2176" s="219"/>
      <c r="C2176" s="219"/>
      <c r="D2176" s="219"/>
      <c r="E2176" s="219"/>
      <c r="F2176" s="219"/>
      <c r="G2176" s="219"/>
      <c r="H2176" s="219"/>
      <c r="I2176" s="219"/>
      <c r="J2176" s="219"/>
      <c r="K2176" s="219"/>
      <c r="L2176" s="219"/>
      <c r="M2176" s="219"/>
      <c r="N2176" s="219"/>
      <c r="O2176" s="219"/>
      <c r="P2176" s="219"/>
      <c r="Q2176" s="221"/>
    </row>
    <row r="2177" spans="2:17" x14ac:dyDescent="0.2">
      <c r="B2177" s="219"/>
      <c r="C2177" s="219"/>
      <c r="D2177" s="219"/>
      <c r="E2177" s="219"/>
      <c r="F2177" s="219"/>
      <c r="G2177" s="219"/>
      <c r="H2177" s="219"/>
      <c r="I2177" s="219"/>
      <c r="J2177" s="219"/>
      <c r="K2177" s="219"/>
      <c r="L2177" s="219"/>
      <c r="M2177" s="219"/>
      <c r="N2177" s="219"/>
      <c r="O2177" s="219"/>
      <c r="P2177" s="219"/>
      <c r="Q2177" s="221"/>
    </row>
    <row r="2178" spans="2:17" x14ac:dyDescent="0.2">
      <c r="B2178" s="219"/>
      <c r="C2178" s="219"/>
      <c r="D2178" s="219"/>
      <c r="E2178" s="219"/>
      <c r="F2178" s="219"/>
      <c r="G2178" s="219"/>
      <c r="H2178" s="219"/>
      <c r="I2178" s="219"/>
      <c r="J2178" s="219"/>
      <c r="K2178" s="219"/>
      <c r="L2178" s="219"/>
      <c r="M2178" s="219"/>
      <c r="N2178" s="219"/>
      <c r="O2178" s="219"/>
      <c r="P2178" s="219"/>
      <c r="Q2178" s="221"/>
    </row>
    <row r="2179" spans="2:17" x14ac:dyDescent="0.2">
      <c r="B2179" s="219"/>
      <c r="C2179" s="219"/>
      <c r="D2179" s="219"/>
      <c r="E2179" s="219"/>
      <c r="F2179" s="219"/>
      <c r="G2179" s="219"/>
      <c r="H2179" s="219"/>
      <c r="I2179" s="219"/>
      <c r="J2179" s="219"/>
      <c r="K2179" s="219"/>
      <c r="L2179" s="219"/>
      <c r="M2179" s="219"/>
      <c r="N2179" s="219"/>
      <c r="O2179" s="219"/>
      <c r="P2179" s="219"/>
      <c r="Q2179" s="221"/>
    </row>
    <row r="2180" spans="2:17" x14ac:dyDescent="0.2">
      <c r="B2180" s="219"/>
      <c r="C2180" s="219"/>
      <c r="D2180" s="219"/>
      <c r="E2180" s="219"/>
      <c r="F2180" s="219"/>
      <c r="G2180" s="219"/>
      <c r="H2180" s="219"/>
      <c r="I2180" s="219"/>
      <c r="J2180" s="219"/>
      <c r="K2180" s="219"/>
      <c r="L2180" s="219"/>
      <c r="M2180" s="219"/>
      <c r="N2180" s="219"/>
      <c r="O2180" s="219"/>
      <c r="P2180" s="219"/>
      <c r="Q2180" s="221"/>
    </row>
    <row r="2181" spans="2:17" x14ac:dyDescent="0.2">
      <c r="B2181" s="219"/>
      <c r="C2181" s="219"/>
      <c r="D2181" s="219"/>
      <c r="E2181" s="219"/>
      <c r="F2181" s="219"/>
      <c r="G2181" s="219"/>
      <c r="H2181" s="219"/>
      <c r="I2181" s="219"/>
      <c r="J2181" s="219"/>
      <c r="K2181" s="219"/>
      <c r="L2181" s="219"/>
      <c r="M2181" s="219"/>
      <c r="N2181" s="219"/>
      <c r="O2181" s="219"/>
      <c r="P2181" s="219"/>
      <c r="Q2181" s="221"/>
    </row>
    <row r="2182" spans="2:17" x14ac:dyDescent="0.2">
      <c r="B2182" s="219"/>
      <c r="C2182" s="219"/>
      <c r="D2182" s="219"/>
      <c r="E2182" s="219"/>
      <c r="F2182" s="219"/>
      <c r="G2182" s="219"/>
      <c r="H2182" s="219"/>
      <c r="I2182" s="219"/>
      <c r="J2182" s="219"/>
      <c r="K2182" s="219"/>
      <c r="L2182" s="219"/>
      <c r="M2182" s="219"/>
      <c r="N2182" s="219"/>
      <c r="O2182" s="219"/>
      <c r="P2182" s="219"/>
      <c r="Q2182" s="221"/>
    </row>
    <row r="2183" spans="2:17" x14ac:dyDescent="0.2">
      <c r="B2183" s="219"/>
      <c r="C2183" s="219"/>
      <c r="D2183" s="219"/>
      <c r="E2183" s="219"/>
      <c r="F2183" s="219"/>
      <c r="G2183" s="219"/>
      <c r="H2183" s="219"/>
      <c r="I2183" s="219"/>
      <c r="J2183" s="219"/>
      <c r="K2183" s="219"/>
      <c r="L2183" s="219"/>
      <c r="M2183" s="219"/>
      <c r="N2183" s="219"/>
      <c r="O2183" s="219"/>
      <c r="P2183" s="219"/>
      <c r="Q2183" s="221"/>
    </row>
    <row r="2184" spans="2:17" x14ac:dyDescent="0.2">
      <c r="B2184" s="219"/>
      <c r="C2184" s="219"/>
      <c r="D2184" s="219"/>
      <c r="E2184" s="219"/>
      <c r="F2184" s="219"/>
      <c r="G2184" s="219"/>
      <c r="H2184" s="219"/>
      <c r="I2184" s="219"/>
      <c r="J2184" s="219"/>
      <c r="K2184" s="219"/>
      <c r="L2184" s="219"/>
      <c r="M2184" s="219"/>
      <c r="N2184" s="219"/>
      <c r="O2184" s="219"/>
      <c r="P2184" s="219"/>
      <c r="Q2184" s="221"/>
    </row>
    <row r="2185" spans="2:17" x14ac:dyDescent="0.2">
      <c r="B2185" s="219"/>
      <c r="C2185" s="219"/>
      <c r="D2185" s="219"/>
      <c r="E2185" s="219"/>
      <c r="F2185" s="219"/>
      <c r="G2185" s="219"/>
      <c r="H2185" s="219"/>
      <c r="I2185" s="219"/>
      <c r="J2185" s="219"/>
      <c r="K2185" s="219"/>
      <c r="L2185" s="219"/>
      <c r="M2185" s="219"/>
      <c r="N2185" s="219"/>
      <c r="O2185" s="219"/>
      <c r="P2185" s="219"/>
      <c r="Q2185" s="221"/>
    </row>
    <row r="2186" spans="2:17" x14ac:dyDescent="0.2">
      <c r="B2186" s="219"/>
      <c r="C2186" s="219"/>
      <c r="D2186" s="219"/>
      <c r="E2186" s="219"/>
      <c r="F2186" s="219"/>
      <c r="G2186" s="219"/>
      <c r="H2186" s="219"/>
      <c r="I2186" s="219"/>
      <c r="J2186" s="219"/>
      <c r="K2186" s="219"/>
      <c r="L2186" s="219"/>
      <c r="M2186" s="219"/>
      <c r="N2186" s="219"/>
      <c r="O2186" s="219"/>
      <c r="P2186" s="219"/>
      <c r="Q2186" s="221"/>
    </row>
    <row r="2187" spans="2:17" x14ac:dyDescent="0.2">
      <c r="B2187" s="219"/>
      <c r="C2187" s="219"/>
      <c r="D2187" s="219"/>
      <c r="E2187" s="219"/>
      <c r="F2187" s="219"/>
      <c r="G2187" s="219"/>
      <c r="H2187" s="219"/>
      <c r="I2187" s="219"/>
      <c r="J2187" s="219"/>
      <c r="K2187" s="219"/>
      <c r="L2187" s="219"/>
      <c r="M2187" s="219"/>
      <c r="N2187" s="219"/>
      <c r="O2187" s="219"/>
      <c r="P2187" s="219"/>
      <c r="Q2187" s="221"/>
    </row>
    <row r="2188" spans="2:17" x14ac:dyDescent="0.2">
      <c r="B2188" s="219"/>
      <c r="C2188" s="219"/>
      <c r="D2188" s="219"/>
      <c r="E2188" s="219"/>
      <c r="F2188" s="219"/>
      <c r="G2188" s="219"/>
      <c r="H2188" s="219"/>
      <c r="I2188" s="219"/>
      <c r="J2188" s="219"/>
      <c r="K2188" s="219"/>
      <c r="L2188" s="219"/>
      <c r="M2188" s="219"/>
      <c r="N2188" s="219"/>
      <c r="O2188" s="219"/>
      <c r="P2188" s="219"/>
      <c r="Q2188" s="221"/>
    </row>
    <row r="2189" spans="2:17" x14ac:dyDescent="0.2">
      <c r="B2189" s="219"/>
      <c r="C2189" s="219"/>
      <c r="D2189" s="219"/>
      <c r="E2189" s="219"/>
      <c r="F2189" s="219"/>
      <c r="G2189" s="219"/>
      <c r="H2189" s="219"/>
      <c r="I2189" s="219"/>
      <c r="J2189" s="219"/>
      <c r="K2189" s="219"/>
      <c r="L2189" s="219"/>
      <c r="M2189" s="219"/>
      <c r="N2189" s="219"/>
      <c r="O2189" s="219"/>
      <c r="P2189" s="219"/>
      <c r="Q2189" s="221"/>
    </row>
    <row r="2190" spans="2:17" x14ac:dyDescent="0.2">
      <c r="B2190" s="219"/>
      <c r="C2190" s="219"/>
      <c r="D2190" s="219"/>
      <c r="E2190" s="219"/>
      <c r="F2190" s="219"/>
      <c r="G2190" s="219"/>
      <c r="H2190" s="219"/>
      <c r="I2190" s="219"/>
      <c r="J2190" s="219"/>
      <c r="K2190" s="219"/>
      <c r="L2190" s="219"/>
      <c r="M2190" s="219"/>
      <c r="N2190" s="219"/>
      <c r="O2190" s="219"/>
      <c r="P2190" s="219"/>
      <c r="Q2190" s="221"/>
    </row>
    <row r="2191" spans="2:17" x14ac:dyDescent="0.2">
      <c r="B2191" s="219"/>
      <c r="C2191" s="219"/>
      <c r="D2191" s="219"/>
      <c r="E2191" s="219"/>
      <c r="F2191" s="219"/>
      <c r="G2191" s="219"/>
      <c r="H2191" s="219"/>
      <c r="I2191" s="219"/>
      <c r="J2191" s="219"/>
      <c r="K2191" s="219"/>
      <c r="L2191" s="219"/>
      <c r="M2191" s="219"/>
      <c r="N2191" s="219"/>
      <c r="O2191" s="219"/>
      <c r="P2191" s="219"/>
      <c r="Q2191" s="221"/>
    </row>
    <row r="2192" spans="2:17" x14ac:dyDescent="0.2">
      <c r="B2192" s="219"/>
      <c r="C2192" s="219"/>
      <c r="D2192" s="219"/>
      <c r="E2192" s="219"/>
      <c r="F2192" s="219"/>
      <c r="G2192" s="219"/>
      <c r="H2192" s="219"/>
      <c r="I2192" s="219"/>
      <c r="J2192" s="219"/>
      <c r="K2192" s="219"/>
      <c r="L2192" s="219"/>
      <c r="M2192" s="219"/>
      <c r="N2192" s="219"/>
      <c r="O2192" s="219"/>
      <c r="P2192" s="219"/>
      <c r="Q2192" s="221"/>
    </row>
    <row r="2193" spans="2:17" x14ac:dyDescent="0.2">
      <c r="B2193" s="219"/>
      <c r="C2193" s="219"/>
      <c r="D2193" s="219"/>
      <c r="E2193" s="219"/>
      <c r="F2193" s="219"/>
      <c r="G2193" s="219"/>
      <c r="H2193" s="219"/>
      <c r="I2193" s="219"/>
      <c r="J2193" s="219"/>
      <c r="K2193" s="219"/>
      <c r="L2193" s="219"/>
      <c r="M2193" s="219"/>
      <c r="N2193" s="219"/>
      <c r="O2193" s="219"/>
      <c r="P2193" s="219"/>
      <c r="Q2193" s="221"/>
    </row>
    <row r="2194" spans="2:17" x14ac:dyDescent="0.2">
      <c r="B2194" s="219"/>
      <c r="C2194" s="219"/>
      <c r="D2194" s="219"/>
      <c r="E2194" s="219"/>
      <c r="F2194" s="219"/>
      <c r="G2194" s="219"/>
      <c r="H2194" s="219"/>
      <c r="I2194" s="219"/>
      <c r="J2194" s="219"/>
      <c r="K2194" s="219"/>
      <c r="L2194" s="219"/>
      <c r="M2194" s="219"/>
      <c r="N2194" s="219"/>
      <c r="O2194" s="219"/>
      <c r="P2194" s="219"/>
      <c r="Q2194" s="221"/>
    </row>
    <row r="2195" spans="2:17" x14ac:dyDescent="0.2">
      <c r="B2195" s="219"/>
      <c r="C2195" s="219"/>
      <c r="D2195" s="219"/>
      <c r="E2195" s="219"/>
      <c r="F2195" s="219"/>
      <c r="G2195" s="219"/>
      <c r="H2195" s="219"/>
      <c r="I2195" s="219"/>
      <c r="J2195" s="219"/>
      <c r="K2195" s="219"/>
      <c r="L2195" s="219"/>
      <c r="M2195" s="219"/>
      <c r="N2195" s="219"/>
      <c r="O2195" s="219"/>
      <c r="P2195" s="219"/>
      <c r="Q2195" s="221"/>
    </row>
    <row r="2196" spans="2:17" x14ac:dyDescent="0.2">
      <c r="B2196" s="219"/>
      <c r="C2196" s="219"/>
      <c r="D2196" s="219"/>
      <c r="E2196" s="219"/>
      <c r="F2196" s="219"/>
      <c r="G2196" s="219"/>
      <c r="H2196" s="219"/>
      <c r="I2196" s="219"/>
      <c r="J2196" s="219"/>
      <c r="K2196" s="219"/>
      <c r="L2196" s="219"/>
      <c r="M2196" s="219"/>
      <c r="N2196" s="219"/>
      <c r="O2196" s="219"/>
      <c r="P2196" s="219"/>
      <c r="Q2196" s="221"/>
    </row>
    <row r="2197" spans="2:17" x14ac:dyDescent="0.2">
      <c r="B2197" s="219"/>
      <c r="C2197" s="219"/>
      <c r="D2197" s="219"/>
      <c r="E2197" s="219"/>
      <c r="F2197" s="219"/>
      <c r="G2197" s="219"/>
      <c r="H2197" s="219"/>
      <c r="I2197" s="219"/>
      <c r="J2197" s="219"/>
      <c r="K2197" s="219"/>
      <c r="L2197" s="219"/>
      <c r="M2197" s="219"/>
      <c r="N2197" s="219"/>
      <c r="O2197" s="219"/>
      <c r="P2197" s="219"/>
      <c r="Q2197" s="221"/>
    </row>
    <row r="2198" spans="2:17" x14ac:dyDescent="0.2">
      <c r="B2198" s="219"/>
      <c r="C2198" s="219"/>
      <c r="D2198" s="219"/>
      <c r="E2198" s="219"/>
      <c r="F2198" s="219"/>
      <c r="G2198" s="219"/>
      <c r="H2198" s="219"/>
      <c r="I2198" s="219"/>
      <c r="J2198" s="219"/>
      <c r="K2198" s="219"/>
      <c r="L2198" s="219"/>
      <c r="M2198" s="219"/>
      <c r="N2198" s="219"/>
      <c r="O2198" s="219"/>
      <c r="P2198" s="219"/>
      <c r="Q2198" s="221"/>
    </row>
    <row r="2199" spans="2:17" x14ac:dyDescent="0.2">
      <c r="B2199" s="219"/>
      <c r="C2199" s="219"/>
      <c r="D2199" s="219"/>
      <c r="E2199" s="219"/>
      <c r="F2199" s="219"/>
      <c r="G2199" s="219"/>
      <c r="H2199" s="219"/>
      <c r="I2199" s="219"/>
      <c r="J2199" s="219"/>
      <c r="K2199" s="219"/>
      <c r="L2199" s="219"/>
      <c r="M2199" s="219"/>
      <c r="N2199" s="219"/>
      <c r="O2199" s="219"/>
      <c r="P2199" s="219"/>
      <c r="Q2199" s="221"/>
    </row>
    <row r="2200" spans="2:17" x14ac:dyDescent="0.2">
      <c r="B2200" s="219"/>
      <c r="C2200" s="219"/>
      <c r="D2200" s="219"/>
      <c r="E2200" s="219"/>
      <c r="F2200" s="219"/>
      <c r="G2200" s="219"/>
      <c r="H2200" s="219"/>
      <c r="I2200" s="219"/>
      <c r="J2200" s="219"/>
      <c r="K2200" s="219"/>
      <c r="L2200" s="219"/>
      <c r="M2200" s="219"/>
      <c r="N2200" s="219"/>
      <c r="O2200" s="219"/>
      <c r="P2200" s="219"/>
      <c r="Q2200" s="221"/>
    </row>
    <row r="2201" spans="2:17" x14ac:dyDescent="0.2">
      <c r="B2201" s="219"/>
      <c r="C2201" s="219"/>
      <c r="D2201" s="219"/>
      <c r="E2201" s="219"/>
      <c r="F2201" s="219"/>
      <c r="G2201" s="219"/>
      <c r="H2201" s="219"/>
      <c r="I2201" s="219"/>
      <c r="J2201" s="219"/>
      <c r="K2201" s="219"/>
      <c r="L2201" s="219"/>
      <c r="M2201" s="219"/>
      <c r="N2201" s="219"/>
      <c r="O2201" s="219"/>
      <c r="P2201" s="219"/>
      <c r="Q2201" s="221"/>
    </row>
    <row r="2202" spans="2:17" x14ac:dyDescent="0.2">
      <c r="B2202" s="219"/>
      <c r="C2202" s="219"/>
      <c r="D2202" s="219"/>
      <c r="E2202" s="219"/>
      <c r="F2202" s="219"/>
      <c r="G2202" s="219"/>
      <c r="H2202" s="219"/>
      <c r="I2202" s="219"/>
      <c r="J2202" s="219"/>
      <c r="K2202" s="219"/>
      <c r="L2202" s="219"/>
      <c r="M2202" s="219"/>
      <c r="N2202" s="219"/>
      <c r="O2202" s="219"/>
      <c r="P2202" s="219"/>
      <c r="Q2202" s="221"/>
    </row>
    <row r="2203" spans="2:17" x14ac:dyDescent="0.2">
      <c r="B2203" s="219"/>
      <c r="C2203" s="219"/>
      <c r="D2203" s="219"/>
      <c r="E2203" s="219"/>
      <c r="F2203" s="219"/>
      <c r="G2203" s="219"/>
      <c r="H2203" s="219"/>
      <c r="I2203" s="219"/>
      <c r="J2203" s="219"/>
      <c r="K2203" s="219"/>
      <c r="L2203" s="219"/>
      <c r="M2203" s="219"/>
      <c r="N2203" s="219"/>
      <c r="O2203" s="219"/>
      <c r="P2203" s="219"/>
      <c r="Q2203" s="221"/>
    </row>
    <row r="2204" spans="2:17" x14ac:dyDescent="0.2">
      <c r="B2204" s="219"/>
      <c r="C2204" s="219"/>
      <c r="D2204" s="219"/>
      <c r="E2204" s="219"/>
      <c r="F2204" s="219"/>
      <c r="G2204" s="219"/>
      <c r="H2204" s="219"/>
      <c r="I2204" s="219"/>
      <c r="J2204" s="219"/>
      <c r="K2204" s="219"/>
      <c r="L2204" s="219"/>
      <c r="M2204" s="219"/>
      <c r="N2204" s="219"/>
      <c r="O2204" s="219"/>
      <c r="P2204" s="219"/>
      <c r="Q2204" s="221"/>
    </row>
    <row r="2205" spans="2:17" x14ac:dyDescent="0.2">
      <c r="B2205" s="219"/>
      <c r="C2205" s="219"/>
      <c r="D2205" s="219"/>
      <c r="E2205" s="219"/>
      <c r="F2205" s="219"/>
      <c r="G2205" s="219"/>
      <c r="H2205" s="219"/>
      <c r="I2205" s="219"/>
      <c r="J2205" s="219"/>
      <c r="K2205" s="219"/>
      <c r="L2205" s="219"/>
      <c r="M2205" s="219"/>
      <c r="N2205" s="219"/>
      <c r="O2205" s="219"/>
      <c r="P2205" s="219"/>
      <c r="Q2205" s="221"/>
    </row>
    <row r="2206" spans="2:17" x14ac:dyDescent="0.2">
      <c r="B2206" s="219"/>
      <c r="C2206" s="219"/>
      <c r="D2206" s="219"/>
      <c r="E2206" s="219"/>
      <c r="F2206" s="219"/>
      <c r="G2206" s="219"/>
      <c r="H2206" s="219"/>
      <c r="I2206" s="219"/>
      <c r="J2206" s="219"/>
      <c r="K2206" s="219"/>
      <c r="L2206" s="219"/>
      <c r="M2206" s="219"/>
      <c r="N2206" s="219"/>
      <c r="O2206" s="219"/>
      <c r="P2206" s="219"/>
      <c r="Q2206" s="221"/>
    </row>
    <row r="2207" spans="2:17" x14ac:dyDescent="0.2">
      <c r="B2207" s="219"/>
      <c r="C2207" s="219"/>
      <c r="D2207" s="219"/>
      <c r="E2207" s="219"/>
      <c r="F2207" s="219"/>
      <c r="G2207" s="219"/>
      <c r="H2207" s="219"/>
      <c r="I2207" s="219"/>
      <c r="J2207" s="219"/>
      <c r="K2207" s="219"/>
      <c r="L2207" s="219"/>
      <c r="M2207" s="219"/>
      <c r="N2207" s="219"/>
      <c r="O2207" s="219"/>
      <c r="P2207" s="219"/>
      <c r="Q2207" s="221"/>
    </row>
    <row r="2208" spans="2:17" x14ac:dyDescent="0.2">
      <c r="B2208" s="219"/>
      <c r="C2208" s="219"/>
      <c r="D2208" s="219"/>
      <c r="E2208" s="219"/>
      <c r="F2208" s="219"/>
      <c r="G2208" s="219"/>
      <c r="H2208" s="219"/>
      <c r="I2208" s="219"/>
      <c r="J2208" s="219"/>
      <c r="K2208" s="219"/>
      <c r="L2208" s="219"/>
      <c r="M2208" s="219"/>
      <c r="N2208" s="219"/>
      <c r="O2208" s="219"/>
      <c r="P2208" s="219"/>
      <c r="Q2208" s="221"/>
    </row>
    <row r="2209" spans="2:17" x14ac:dyDescent="0.2">
      <c r="B2209" s="219"/>
      <c r="C2209" s="219"/>
      <c r="D2209" s="219"/>
      <c r="E2209" s="219"/>
      <c r="F2209" s="219"/>
      <c r="G2209" s="219"/>
      <c r="H2209" s="219"/>
      <c r="I2209" s="219"/>
      <c r="J2209" s="219"/>
      <c r="K2209" s="219"/>
      <c r="L2209" s="219"/>
      <c r="M2209" s="219"/>
      <c r="N2209" s="219"/>
      <c r="O2209" s="219"/>
      <c r="P2209" s="219"/>
      <c r="Q2209" s="221"/>
    </row>
    <row r="2210" spans="2:17" x14ac:dyDescent="0.2">
      <c r="B2210" s="219"/>
      <c r="C2210" s="219"/>
      <c r="D2210" s="219"/>
      <c r="E2210" s="219"/>
      <c r="F2210" s="219"/>
      <c r="G2210" s="219"/>
      <c r="H2210" s="219"/>
      <c r="I2210" s="219"/>
      <c r="J2210" s="219"/>
      <c r="K2210" s="219"/>
      <c r="L2210" s="219"/>
      <c r="M2210" s="219"/>
      <c r="N2210" s="219"/>
      <c r="O2210" s="219"/>
      <c r="P2210" s="219"/>
      <c r="Q2210" s="221"/>
    </row>
    <row r="2211" spans="2:17" x14ac:dyDescent="0.2">
      <c r="B2211" s="219"/>
      <c r="C2211" s="219"/>
      <c r="D2211" s="219"/>
      <c r="E2211" s="219"/>
      <c r="F2211" s="219"/>
      <c r="G2211" s="219"/>
      <c r="H2211" s="219"/>
      <c r="I2211" s="219"/>
      <c r="J2211" s="219"/>
      <c r="K2211" s="219"/>
      <c r="L2211" s="219"/>
      <c r="M2211" s="219"/>
      <c r="N2211" s="219"/>
      <c r="O2211" s="219"/>
      <c r="P2211" s="219"/>
      <c r="Q2211" s="221"/>
    </row>
    <row r="2212" spans="2:17" x14ac:dyDescent="0.2">
      <c r="B2212" s="219"/>
      <c r="C2212" s="219"/>
      <c r="D2212" s="219"/>
      <c r="E2212" s="219"/>
      <c r="F2212" s="219"/>
      <c r="G2212" s="219"/>
      <c r="H2212" s="219"/>
      <c r="I2212" s="219"/>
      <c r="J2212" s="219"/>
      <c r="K2212" s="219"/>
      <c r="L2212" s="219"/>
      <c r="M2212" s="219"/>
      <c r="N2212" s="219"/>
      <c r="O2212" s="219"/>
      <c r="P2212" s="219"/>
      <c r="Q2212" s="221"/>
    </row>
    <row r="2213" spans="2:17" x14ac:dyDescent="0.2">
      <c r="B2213" s="219"/>
      <c r="C2213" s="219"/>
      <c r="D2213" s="219"/>
      <c r="E2213" s="219"/>
      <c r="F2213" s="219"/>
      <c r="G2213" s="219"/>
      <c r="H2213" s="219"/>
      <c r="I2213" s="219"/>
      <c r="J2213" s="219"/>
      <c r="K2213" s="219"/>
      <c r="L2213" s="219"/>
      <c r="M2213" s="219"/>
      <c r="N2213" s="219"/>
      <c r="O2213" s="219"/>
      <c r="P2213" s="219"/>
      <c r="Q2213" s="221"/>
    </row>
    <row r="2214" spans="2:17" x14ac:dyDescent="0.2">
      <c r="B2214" s="219"/>
      <c r="C2214" s="219"/>
      <c r="D2214" s="219"/>
      <c r="E2214" s="219"/>
      <c r="F2214" s="219"/>
      <c r="G2214" s="219"/>
      <c r="H2214" s="219"/>
      <c r="I2214" s="219"/>
      <c r="J2214" s="219"/>
      <c r="K2214" s="219"/>
      <c r="L2214" s="219"/>
      <c r="M2214" s="219"/>
      <c r="N2214" s="219"/>
      <c r="O2214" s="219"/>
      <c r="P2214" s="219"/>
      <c r="Q2214" s="221"/>
    </row>
    <row r="2215" spans="2:17" x14ac:dyDescent="0.2">
      <c r="B2215" s="219"/>
      <c r="C2215" s="219"/>
      <c r="D2215" s="219"/>
      <c r="E2215" s="219"/>
      <c r="F2215" s="219"/>
      <c r="G2215" s="219"/>
      <c r="H2215" s="219"/>
      <c r="I2215" s="219"/>
      <c r="J2215" s="219"/>
      <c r="K2215" s="219"/>
      <c r="L2215" s="219"/>
      <c r="M2215" s="219"/>
      <c r="N2215" s="219"/>
      <c r="O2215" s="219"/>
      <c r="P2215" s="219"/>
      <c r="Q2215" s="221"/>
    </row>
    <row r="2216" spans="2:17" x14ac:dyDescent="0.2">
      <c r="B2216" s="219"/>
      <c r="C2216" s="219"/>
      <c r="D2216" s="219"/>
      <c r="E2216" s="219"/>
      <c r="F2216" s="219"/>
      <c r="G2216" s="219"/>
      <c r="H2216" s="219"/>
      <c r="I2216" s="219"/>
      <c r="J2216" s="219"/>
      <c r="K2216" s="219"/>
      <c r="L2216" s="219"/>
      <c r="M2216" s="219"/>
      <c r="N2216" s="219"/>
      <c r="O2216" s="219"/>
      <c r="P2216" s="219"/>
      <c r="Q2216" s="221"/>
    </row>
    <row r="2217" spans="2:17" x14ac:dyDescent="0.2">
      <c r="B2217" s="219"/>
      <c r="C2217" s="219"/>
      <c r="D2217" s="219"/>
      <c r="E2217" s="219"/>
      <c r="F2217" s="219"/>
      <c r="G2217" s="219"/>
      <c r="H2217" s="219"/>
      <c r="I2217" s="219"/>
      <c r="J2217" s="219"/>
      <c r="K2217" s="219"/>
      <c r="L2217" s="219"/>
      <c r="M2217" s="219"/>
      <c r="N2217" s="219"/>
      <c r="O2217" s="219"/>
      <c r="P2217" s="219"/>
      <c r="Q2217" s="221"/>
    </row>
    <row r="2218" spans="2:17" x14ac:dyDescent="0.2">
      <c r="B2218" s="219"/>
      <c r="C2218" s="219"/>
      <c r="D2218" s="219"/>
      <c r="E2218" s="219"/>
      <c r="F2218" s="219"/>
      <c r="G2218" s="219"/>
      <c r="H2218" s="219"/>
      <c r="I2218" s="219"/>
      <c r="J2218" s="219"/>
      <c r="K2218" s="219"/>
      <c r="L2218" s="219"/>
      <c r="M2218" s="219"/>
      <c r="N2218" s="219"/>
      <c r="O2218" s="219"/>
      <c r="P2218" s="219"/>
      <c r="Q2218" s="221"/>
    </row>
    <row r="2219" spans="2:17" x14ac:dyDescent="0.2">
      <c r="B2219" s="219"/>
      <c r="C2219" s="219"/>
      <c r="D2219" s="219"/>
      <c r="E2219" s="219"/>
      <c r="F2219" s="219"/>
      <c r="G2219" s="219"/>
      <c r="H2219" s="219"/>
      <c r="I2219" s="219"/>
      <c r="J2219" s="219"/>
      <c r="K2219" s="219"/>
      <c r="L2219" s="219"/>
      <c r="M2219" s="219"/>
      <c r="N2219" s="219"/>
      <c r="O2219" s="219"/>
      <c r="P2219" s="219"/>
      <c r="Q2219" s="221"/>
    </row>
    <row r="2220" spans="2:17" x14ac:dyDescent="0.2">
      <c r="B2220" s="219"/>
      <c r="C2220" s="219"/>
      <c r="D2220" s="219"/>
      <c r="E2220" s="219"/>
      <c r="F2220" s="219"/>
      <c r="G2220" s="219"/>
      <c r="H2220" s="219"/>
      <c r="I2220" s="219"/>
      <c r="J2220" s="219"/>
      <c r="K2220" s="219"/>
      <c r="L2220" s="219"/>
      <c r="M2220" s="219"/>
      <c r="N2220" s="219"/>
      <c r="O2220" s="219"/>
      <c r="P2220" s="219"/>
      <c r="Q2220" s="221"/>
    </row>
    <row r="2221" spans="2:17" x14ac:dyDescent="0.2">
      <c r="B2221" s="219"/>
      <c r="C2221" s="219"/>
      <c r="D2221" s="219"/>
      <c r="E2221" s="219"/>
      <c r="F2221" s="219"/>
      <c r="G2221" s="219"/>
      <c r="H2221" s="219"/>
      <c r="I2221" s="219"/>
      <c r="J2221" s="219"/>
      <c r="K2221" s="219"/>
      <c r="L2221" s="219"/>
      <c r="M2221" s="219"/>
      <c r="N2221" s="219"/>
      <c r="O2221" s="219"/>
      <c r="P2221" s="219"/>
      <c r="Q2221" s="221"/>
    </row>
    <row r="2222" spans="2:17" x14ac:dyDescent="0.2">
      <c r="B2222" s="219"/>
      <c r="C2222" s="219"/>
      <c r="D2222" s="219"/>
      <c r="E2222" s="219"/>
      <c r="F2222" s="219"/>
      <c r="G2222" s="219"/>
      <c r="H2222" s="219"/>
      <c r="I2222" s="219"/>
      <c r="J2222" s="219"/>
      <c r="K2222" s="219"/>
      <c r="L2222" s="219"/>
      <c r="M2222" s="219"/>
      <c r="N2222" s="219"/>
      <c r="O2222" s="219"/>
      <c r="P2222" s="219"/>
      <c r="Q2222" s="221"/>
    </row>
    <row r="2223" spans="2:17" x14ac:dyDescent="0.2">
      <c r="B2223" s="219"/>
      <c r="C2223" s="219"/>
      <c r="D2223" s="219"/>
      <c r="E2223" s="219"/>
      <c r="F2223" s="219"/>
      <c r="G2223" s="219"/>
      <c r="H2223" s="219"/>
      <c r="I2223" s="219"/>
      <c r="J2223" s="219"/>
      <c r="K2223" s="219"/>
      <c r="L2223" s="219"/>
      <c r="M2223" s="219"/>
      <c r="N2223" s="219"/>
      <c r="O2223" s="219"/>
      <c r="P2223" s="219"/>
      <c r="Q2223" s="221"/>
    </row>
    <row r="2224" spans="2:17" x14ac:dyDescent="0.2">
      <c r="B2224" s="219"/>
      <c r="C2224" s="219"/>
      <c r="D2224" s="219"/>
      <c r="E2224" s="219"/>
      <c r="F2224" s="219"/>
      <c r="G2224" s="219"/>
      <c r="H2224" s="219"/>
      <c r="I2224" s="219"/>
      <c r="J2224" s="219"/>
      <c r="K2224" s="219"/>
      <c r="L2224" s="219"/>
      <c r="M2224" s="219"/>
      <c r="N2224" s="219"/>
      <c r="O2224" s="219"/>
      <c r="P2224" s="219"/>
      <c r="Q2224" s="221"/>
    </row>
    <row r="2225" spans="2:17" x14ac:dyDescent="0.2">
      <c r="B2225" s="219"/>
      <c r="C2225" s="219"/>
      <c r="D2225" s="219"/>
      <c r="E2225" s="219"/>
      <c r="F2225" s="219"/>
      <c r="G2225" s="219"/>
      <c r="H2225" s="219"/>
      <c r="I2225" s="219"/>
      <c r="J2225" s="219"/>
      <c r="K2225" s="219"/>
      <c r="L2225" s="219"/>
      <c r="M2225" s="219"/>
      <c r="N2225" s="219"/>
      <c r="O2225" s="219"/>
      <c r="P2225" s="219"/>
      <c r="Q2225" s="221"/>
    </row>
    <row r="2226" spans="2:17" x14ac:dyDescent="0.2">
      <c r="B2226" s="219"/>
      <c r="C2226" s="219"/>
      <c r="D2226" s="219"/>
      <c r="E2226" s="219"/>
      <c r="F2226" s="219"/>
      <c r="G2226" s="219"/>
      <c r="H2226" s="219"/>
      <c r="I2226" s="219"/>
      <c r="J2226" s="219"/>
      <c r="K2226" s="219"/>
      <c r="L2226" s="219"/>
      <c r="M2226" s="219"/>
      <c r="N2226" s="219"/>
      <c r="O2226" s="219"/>
      <c r="P2226" s="219"/>
      <c r="Q2226" s="221"/>
    </row>
    <row r="2227" spans="2:17" x14ac:dyDescent="0.2">
      <c r="B2227" s="219"/>
      <c r="C2227" s="219"/>
      <c r="D2227" s="219"/>
      <c r="E2227" s="219"/>
      <c r="F2227" s="219"/>
      <c r="G2227" s="219"/>
      <c r="H2227" s="219"/>
      <c r="I2227" s="219"/>
      <c r="J2227" s="219"/>
      <c r="K2227" s="219"/>
      <c r="L2227" s="219"/>
      <c r="M2227" s="219"/>
      <c r="N2227" s="219"/>
      <c r="O2227" s="219"/>
      <c r="P2227" s="219"/>
      <c r="Q2227" s="221"/>
    </row>
    <row r="2228" spans="2:17" x14ac:dyDescent="0.2">
      <c r="B2228" s="219"/>
      <c r="C2228" s="219"/>
      <c r="D2228" s="219"/>
      <c r="E2228" s="219"/>
      <c r="F2228" s="219"/>
      <c r="G2228" s="219"/>
      <c r="H2228" s="219"/>
      <c r="I2228" s="219"/>
      <c r="J2228" s="219"/>
      <c r="K2228" s="219"/>
      <c r="L2228" s="219"/>
      <c r="M2228" s="219"/>
      <c r="N2228" s="219"/>
      <c r="O2228" s="219"/>
      <c r="P2228" s="219"/>
      <c r="Q2228" s="221"/>
    </row>
    <row r="2229" spans="2:17" x14ac:dyDescent="0.2">
      <c r="B2229" s="219"/>
      <c r="C2229" s="219"/>
      <c r="D2229" s="219"/>
      <c r="E2229" s="219"/>
      <c r="F2229" s="219"/>
      <c r="G2229" s="219"/>
      <c r="H2229" s="219"/>
      <c r="I2229" s="219"/>
      <c r="J2229" s="219"/>
      <c r="K2229" s="219"/>
      <c r="L2229" s="219"/>
      <c r="M2229" s="219"/>
      <c r="N2229" s="219"/>
      <c r="O2229" s="219"/>
      <c r="P2229" s="219"/>
      <c r="Q2229" s="221"/>
    </row>
    <row r="2230" spans="2:17" x14ac:dyDescent="0.2">
      <c r="B2230" s="219"/>
      <c r="C2230" s="219"/>
      <c r="D2230" s="219"/>
      <c r="E2230" s="219"/>
      <c r="F2230" s="219"/>
      <c r="G2230" s="219"/>
      <c r="H2230" s="219"/>
      <c r="I2230" s="219"/>
      <c r="J2230" s="219"/>
      <c r="K2230" s="219"/>
      <c r="L2230" s="219"/>
      <c r="M2230" s="219"/>
      <c r="N2230" s="219"/>
      <c r="O2230" s="219"/>
      <c r="P2230" s="219"/>
      <c r="Q2230" s="221"/>
    </row>
    <row r="2231" spans="2:17" x14ac:dyDescent="0.2">
      <c r="B2231" s="219"/>
      <c r="C2231" s="219"/>
      <c r="D2231" s="219"/>
      <c r="E2231" s="219"/>
      <c r="F2231" s="219"/>
      <c r="G2231" s="219"/>
      <c r="H2231" s="219"/>
      <c r="I2231" s="219"/>
      <c r="J2231" s="219"/>
      <c r="K2231" s="219"/>
      <c r="L2231" s="219"/>
      <c r="M2231" s="219"/>
      <c r="N2231" s="219"/>
      <c r="O2231" s="219"/>
      <c r="P2231" s="219"/>
      <c r="Q2231" s="221"/>
    </row>
    <row r="2232" spans="2:17" x14ac:dyDescent="0.2">
      <c r="B2232" s="219"/>
      <c r="C2232" s="219"/>
      <c r="D2232" s="219"/>
      <c r="E2232" s="219"/>
      <c r="F2232" s="219"/>
      <c r="G2232" s="219"/>
      <c r="H2232" s="219"/>
      <c r="I2232" s="219"/>
      <c r="J2232" s="219"/>
      <c r="K2232" s="219"/>
      <c r="L2232" s="219"/>
      <c r="M2232" s="219"/>
      <c r="N2232" s="219"/>
      <c r="O2232" s="219"/>
      <c r="P2232" s="219"/>
      <c r="Q2232" s="221"/>
    </row>
    <row r="2233" spans="2:17" x14ac:dyDescent="0.2">
      <c r="B2233" s="219"/>
      <c r="C2233" s="219"/>
      <c r="D2233" s="219"/>
      <c r="E2233" s="219"/>
      <c r="F2233" s="219"/>
      <c r="G2233" s="219"/>
      <c r="H2233" s="219"/>
      <c r="I2233" s="219"/>
      <c r="J2233" s="219"/>
      <c r="K2233" s="219"/>
      <c r="L2233" s="219"/>
      <c r="M2233" s="219"/>
      <c r="N2233" s="219"/>
      <c r="O2233" s="219"/>
      <c r="P2233" s="219"/>
      <c r="Q2233" s="221"/>
    </row>
    <row r="2234" spans="2:17" x14ac:dyDescent="0.2">
      <c r="B2234" s="219"/>
      <c r="C2234" s="219"/>
      <c r="D2234" s="219"/>
      <c r="E2234" s="219"/>
      <c r="F2234" s="219"/>
      <c r="G2234" s="219"/>
      <c r="H2234" s="219"/>
      <c r="I2234" s="219"/>
      <c r="J2234" s="219"/>
      <c r="K2234" s="219"/>
      <c r="L2234" s="219"/>
      <c r="M2234" s="219"/>
      <c r="N2234" s="219"/>
      <c r="O2234" s="219"/>
      <c r="P2234" s="219"/>
      <c r="Q2234" s="221"/>
    </row>
    <row r="2235" spans="2:17" x14ac:dyDescent="0.2">
      <c r="B2235" s="219"/>
      <c r="C2235" s="219"/>
      <c r="D2235" s="219"/>
      <c r="E2235" s="219"/>
      <c r="F2235" s="219"/>
      <c r="G2235" s="219"/>
      <c r="H2235" s="219"/>
      <c r="I2235" s="219"/>
      <c r="J2235" s="219"/>
      <c r="K2235" s="219"/>
      <c r="L2235" s="219"/>
      <c r="M2235" s="219"/>
      <c r="N2235" s="219"/>
      <c r="O2235" s="219"/>
      <c r="P2235" s="219"/>
      <c r="Q2235" s="221"/>
    </row>
    <row r="2236" spans="2:17" x14ac:dyDescent="0.2">
      <c r="B2236" s="219"/>
      <c r="C2236" s="219"/>
      <c r="D2236" s="219"/>
      <c r="E2236" s="219"/>
      <c r="F2236" s="219"/>
      <c r="G2236" s="219"/>
      <c r="H2236" s="219"/>
      <c r="I2236" s="219"/>
      <c r="J2236" s="219"/>
      <c r="K2236" s="219"/>
      <c r="L2236" s="219"/>
      <c r="M2236" s="219"/>
      <c r="N2236" s="219"/>
      <c r="O2236" s="219"/>
      <c r="P2236" s="219"/>
      <c r="Q2236" s="221"/>
    </row>
    <row r="2237" spans="2:17" x14ac:dyDescent="0.2">
      <c r="B2237" s="219"/>
      <c r="C2237" s="219"/>
      <c r="D2237" s="219"/>
      <c r="E2237" s="219"/>
      <c r="F2237" s="219"/>
      <c r="G2237" s="219"/>
      <c r="H2237" s="219"/>
      <c r="I2237" s="219"/>
      <c r="J2237" s="219"/>
      <c r="K2237" s="219"/>
      <c r="L2237" s="219"/>
      <c r="M2237" s="219"/>
      <c r="N2237" s="219"/>
      <c r="O2237" s="219"/>
      <c r="P2237" s="219"/>
      <c r="Q2237" s="221"/>
    </row>
    <row r="2238" spans="2:17" x14ac:dyDescent="0.2">
      <c r="B2238" s="219"/>
      <c r="C2238" s="219"/>
      <c r="D2238" s="219"/>
      <c r="E2238" s="219"/>
      <c r="F2238" s="219"/>
      <c r="G2238" s="219"/>
      <c r="H2238" s="219"/>
      <c r="I2238" s="219"/>
      <c r="J2238" s="219"/>
      <c r="K2238" s="219"/>
      <c r="L2238" s="219"/>
      <c r="M2238" s="219"/>
      <c r="N2238" s="219"/>
      <c r="O2238" s="219"/>
      <c r="P2238" s="219"/>
      <c r="Q2238" s="221"/>
    </row>
    <row r="2239" spans="2:17" x14ac:dyDescent="0.2">
      <c r="B2239" s="219"/>
      <c r="C2239" s="219"/>
      <c r="D2239" s="219"/>
      <c r="E2239" s="219"/>
      <c r="F2239" s="219"/>
      <c r="G2239" s="219"/>
      <c r="H2239" s="219"/>
      <c r="I2239" s="219"/>
      <c r="J2239" s="219"/>
      <c r="K2239" s="219"/>
      <c r="L2239" s="219"/>
      <c r="M2239" s="219"/>
      <c r="N2239" s="219"/>
      <c r="O2239" s="219"/>
      <c r="P2239" s="219"/>
      <c r="Q2239" s="221"/>
    </row>
    <row r="2240" spans="2:17" x14ac:dyDescent="0.2">
      <c r="B2240" s="219"/>
      <c r="C2240" s="219"/>
      <c r="D2240" s="219"/>
      <c r="E2240" s="219"/>
      <c r="F2240" s="219"/>
      <c r="G2240" s="219"/>
      <c r="H2240" s="219"/>
      <c r="I2240" s="219"/>
      <c r="J2240" s="219"/>
      <c r="K2240" s="219"/>
      <c r="L2240" s="219"/>
      <c r="M2240" s="219"/>
      <c r="N2240" s="219"/>
      <c r="O2240" s="219"/>
      <c r="P2240" s="219"/>
      <c r="Q2240" s="221"/>
    </row>
    <row r="2241" spans="2:17" x14ac:dyDescent="0.2">
      <c r="B2241" s="219"/>
      <c r="C2241" s="219"/>
      <c r="D2241" s="219"/>
      <c r="E2241" s="219"/>
      <c r="F2241" s="219"/>
      <c r="G2241" s="219"/>
      <c r="H2241" s="219"/>
      <c r="I2241" s="219"/>
      <c r="J2241" s="219"/>
      <c r="K2241" s="219"/>
      <c r="L2241" s="219"/>
      <c r="M2241" s="219"/>
      <c r="N2241" s="219"/>
      <c r="O2241" s="219"/>
      <c r="P2241" s="219"/>
      <c r="Q2241" s="221"/>
    </row>
    <row r="2242" spans="2:17" x14ac:dyDescent="0.2">
      <c r="B2242" s="219"/>
      <c r="C2242" s="219"/>
      <c r="D2242" s="219"/>
      <c r="E2242" s="219"/>
      <c r="F2242" s="219"/>
      <c r="G2242" s="219"/>
      <c r="H2242" s="219"/>
      <c r="I2242" s="219"/>
      <c r="J2242" s="219"/>
      <c r="K2242" s="219"/>
      <c r="L2242" s="219"/>
      <c r="M2242" s="219"/>
      <c r="N2242" s="219"/>
      <c r="O2242" s="219"/>
      <c r="P2242" s="219"/>
      <c r="Q2242" s="221"/>
    </row>
    <row r="2243" spans="2:17" x14ac:dyDescent="0.2">
      <c r="B2243" s="219"/>
      <c r="C2243" s="219"/>
      <c r="D2243" s="219"/>
      <c r="E2243" s="219"/>
      <c r="F2243" s="219"/>
      <c r="G2243" s="219"/>
      <c r="H2243" s="219"/>
      <c r="I2243" s="219"/>
      <c r="J2243" s="219"/>
      <c r="K2243" s="219"/>
      <c r="L2243" s="219"/>
      <c r="M2243" s="219"/>
      <c r="N2243" s="219"/>
      <c r="O2243" s="219"/>
      <c r="P2243" s="219"/>
      <c r="Q2243" s="221"/>
    </row>
    <row r="2244" spans="2:17" x14ac:dyDescent="0.2">
      <c r="B2244" s="219"/>
      <c r="C2244" s="219"/>
      <c r="D2244" s="219"/>
      <c r="E2244" s="219"/>
      <c r="F2244" s="219"/>
      <c r="G2244" s="219"/>
      <c r="H2244" s="219"/>
      <c r="I2244" s="219"/>
      <c r="J2244" s="219"/>
      <c r="K2244" s="219"/>
      <c r="L2244" s="219"/>
      <c r="M2244" s="219"/>
      <c r="N2244" s="219"/>
      <c r="O2244" s="219"/>
      <c r="P2244" s="219"/>
      <c r="Q2244" s="221"/>
    </row>
    <row r="2245" spans="2:17" x14ac:dyDescent="0.2">
      <c r="B2245" s="219"/>
      <c r="C2245" s="219"/>
      <c r="D2245" s="219"/>
      <c r="E2245" s="219"/>
      <c r="F2245" s="219"/>
      <c r="G2245" s="219"/>
      <c r="H2245" s="219"/>
      <c r="I2245" s="219"/>
      <c r="J2245" s="219"/>
      <c r="K2245" s="219"/>
      <c r="L2245" s="219"/>
      <c r="M2245" s="219"/>
      <c r="N2245" s="219"/>
      <c r="O2245" s="219"/>
      <c r="P2245" s="219"/>
      <c r="Q2245" s="221"/>
    </row>
    <row r="2246" spans="2:17" x14ac:dyDescent="0.2">
      <c r="B2246" s="219"/>
      <c r="C2246" s="219"/>
      <c r="D2246" s="219"/>
      <c r="E2246" s="219"/>
      <c r="F2246" s="219"/>
      <c r="G2246" s="219"/>
      <c r="H2246" s="219"/>
      <c r="I2246" s="219"/>
      <c r="J2246" s="219"/>
      <c r="K2246" s="219"/>
      <c r="L2246" s="219"/>
      <c r="M2246" s="219"/>
      <c r="N2246" s="219"/>
      <c r="O2246" s="219"/>
      <c r="P2246" s="219"/>
      <c r="Q2246" s="221"/>
    </row>
    <row r="2247" spans="2:17" x14ac:dyDescent="0.2">
      <c r="B2247" s="219"/>
      <c r="C2247" s="219"/>
      <c r="D2247" s="219"/>
      <c r="E2247" s="219"/>
      <c r="F2247" s="219"/>
      <c r="G2247" s="219"/>
      <c r="H2247" s="219"/>
      <c r="I2247" s="219"/>
      <c r="J2247" s="219"/>
      <c r="K2247" s="219"/>
      <c r="L2247" s="219"/>
      <c r="M2247" s="219"/>
      <c r="N2247" s="219"/>
      <c r="O2247" s="219"/>
      <c r="P2247" s="219"/>
      <c r="Q2247" s="221"/>
    </row>
    <row r="2248" spans="2:17" x14ac:dyDescent="0.2">
      <c r="B2248" s="219"/>
      <c r="C2248" s="219"/>
      <c r="D2248" s="219"/>
      <c r="E2248" s="219"/>
      <c r="F2248" s="219"/>
      <c r="G2248" s="219"/>
      <c r="H2248" s="219"/>
      <c r="I2248" s="219"/>
      <c r="J2248" s="219"/>
      <c r="K2248" s="219"/>
      <c r="L2248" s="219"/>
      <c r="M2248" s="219"/>
      <c r="N2248" s="219"/>
      <c r="O2248" s="219"/>
      <c r="P2248" s="219"/>
      <c r="Q2248" s="221"/>
    </row>
    <row r="2249" spans="2:17" x14ac:dyDescent="0.2">
      <c r="B2249" s="219"/>
      <c r="C2249" s="219"/>
      <c r="D2249" s="219"/>
      <c r="E2249" s="219"/>
      <c r="F2249" s="219"/>
      <c r="G2249" s="219"/>
      <c r="H2249" s="219"/>
      <c r="I2249" s="219"/>
      <c r="J2249" s="219"/>
      <c r="K2249" s="219"/>
      <c r="L2249" s="219"/>
      <c r="M2249" s="219"/>
      <c r="N2249" s="219"/>
      <c r="O2249" s="219"/>
      <c r="P2249" s="219"/>
      <c r="Q2249" s="221"/>
    </row>
    <row r="2250" spans="2:17" x14ac:dyDescent="0.2">
      <c r="B2250" s="219"/>
      <c r="C2250" s="219"/>
      <c r="D2250" s="219"/>
      <c r="E2250" s="219"/>
      <c r="F2250" s="219"/>
      <c r="G2250" s="219"/>
      <c r="H2250" s="219"/>
      <c r="I2250" s="219"/>
      <c r="J2250" s="219"/>
      <c r="K2250" s="219"/>
      <c r="L2250" s="219"/>
      <c r="M2250" s="219"/>
      <c r="N2250" s="219"/>
      <c r="O2250" s="219"/>
      <c r="P2250" s="219"/>
      <c r="Q2250" s="221"/>
    </row>
    <row r="2251" spans="2:17" x14ac:dyDescent="0.2">
      <c r="B2251" s="219"/>
      <c r="C2251" s="219"/>
      <c r="D2251" s="219"/>
      <c r="E2251" s="219"/>
      <c r="F2251" s="219"/>
      <c r="G2251" s="219"/>
      <c r="H2251" s="219"/>
      <c r="I2251" s="219"/>
      <c r="J2251" s="219"/>
      <c r="K2251" s="219"/>
      <c r="L2251" s="219"/>
      <c r="M2251" s="219"/>
      <c r="N2251" s="219"/>
      <c r="O2251" s="219"/>
      <c r="P2251" s="219"/>
      <c r="Q2251" s="221"/>
    </row>
    <row r="2252" spans="2:17" x14ac:dyDescent="0.2">
      <c r="B2252" s="219"/>
      <c r="C2252" s="219"/>
      <c r="D2252" s="219"/>
      <c r="E2252" s="219"/>
      <c r="F2252" s="219"/>
      <c r="G2252" s="219"/>
      <c r="H2252" s="219"/>
      <c r="I2252" s="219"/>
      <c r="J2252" s="219"/>
      <c r="K2252" s="219"/>
      <c r="L2252" s="219"/>
      <c r="M2252" s="219"/>
      <c r="N2252" s="219"/>
      <c r="O2252" s="219"/>
      <c r="P2252" s="219"/>
      <c r="Q2252" s="221"/>
    </row>
    <row r="2253" spans="2:17" x14ac:dyDescent="0.2">
      <c r="B2253" s="219"/>
      <c r="C2253" s="219"/>
      <c r="D2253" s="219"/>
      <c r="E2253" s="219"/>
      <c r="F2253" s="219"/>
      <c r="G2253" s="219"/>
      <c r="H2253" s="219"/>
      <c r="I2253" s="219"/>
      <c r="J2253" s="219"/>
      <c r="K2253" s="219"/>
      <c r="L2253" s="219"/>
      <c r="M2253" s="219"/>
      <c r="N2253" s="219"/>
      <c r="O2253" s="219"/>
      <c r="P2253" s="219"/>
      <c r="Q2253" s="221"/>
    </row>
    <row r="2254" spans="2:17" x14ac:dyDescent="0.2">
      <c r="B2254" s="219"/>
      <c r="C2254" s="219"/>
      <c r="D2254" s="219"/>
      <c r="E2254" s="219"/>
      <c r="F2254" s="219"/>
      <c r="G2254" s="219"/>
      <c r="H2254" s="219"/>
      <c r="I2254" s="219"/>
      <c r="J2254" s="219"/>
      <c r="K2254" s="219"/>
      <c r="L2254" s="219"/>
      <c r="M2254" s="219"/>
      <c r="N2254" s="219"/>
      <c r="O2254" s="219"/>
      <c r="P2254" s="219"/>
      <c r="Q2254" s="221"/>
    </row>
    <row r="2255" spans="2:17" x14ac:dyDescent="0.2">
      <c r="B2255" s="219"/>
      <c r="C2255" s="219"/>
      <c r="D2255" s="219"/>
      <c r="E2255" s="219"/>
      <c r="F2255" s="219"/>
      <c r="G2255" s="219"/>
      <c r="H2255" s="219"/>
      <c r="I2255" s="219"/>
      <c r="J2255" s="219"/>
      <c r="K2255" s="219"/>
      <c r="L2255" s="219"/>
      <c r="M2255" s="219"/>
      <c r="N2255" s="219"/>
      <c r="O2255" s="219"/>
      <c r="P2255" s="219"/>
      <c r="Q2255" s="221"/>
    </row>
    <row r="2256" spans="2:17" x14ac:dyDescent="0.2">
      <c r="B2256" s="219"/>
      <c r="C2256" s="219"/>
      <c r="D2256" s="219"/>
      <c r="E2256" s="219"/>
      <c r="F2256" s="219"/>
      <c r="G2256" s="219"/>
      <c r="H2256" s="219"/>
      <c r="I2256" s="219"/>
      <c r="J2256" s="219"/>
      <c r="K2256" s="219"/>
      <c r="L2256" s="219"/>
      <c r="M2256" s="219"/>
      <c r="N2256" s="219"/>
      <c r="O2256" s="219"/>
      <c r="P2256" s="219"/>
      <c r="Q2256" s="221"/>
    </row>
    <row r="2257" spans="2:17" x14ac:dyDescent="0.2">
      <c r="B2257" s="219"/>
      <c r="C2257" s="219"/>
      <c r="D2257" s="219"/>
      <c r="E2257" s="219"/>
      <c r="F2257" s="219"/>
      <c r="G2257" s="219"/>
      <c r="H2257" s="219"/>
      <c r="I2257" s="219"/>
      <c r="J2257" s="219"/>
      <c r="K2257" s="219"/>
      <c r="L2257" s="219"/>
      <c r="M2257" s="219"/>
      <c r="N2257" s="219"/>
      <c r="O2257" s="219"/>
      <c r="P2257" s="219"/>
      <c r="Q2257" s="221"/>
    </row>
    <row r="2258" spans="2:17" x14ac:dyDescent="0.2">
      <c r="B2258" s="219"/>
      <c r="C2258" s="219"/>
      <c r="D2258" s="219"/>
      <c r="E2258" s="219"/>
      <c r="F2258" s="219"/>
      <c r="G2258" s="219"/>
      <c r="H2258" s="219"/>
      <c r="I2258" s="219"/>
      <c r="J2258" s="219"/>
      <c r="K2258" s="219"/>
      <c r="L2258" s="219"/>
      <c r="M2258" s="219"/>
      <c r="N2258" s="219"/>
      <c r="O2258" s="219"/>
      <c r="P2258" s="219"/>
      <c r="Q2258" s="221"/>
    </row>
    <row r="2259" spans="2:17" x14ac:dyDescent="0.2">
      <c r="B2259" s="219"/>
      <c r="C2259" s="219"/>
      <c r="D2259" s="219"/>
      <c r="E2259" s="219"/>
      <c r="F2259" s="219"/>
      <c r="G2259" s="219"/>
      <c r="H2259" s="219"/>
      <c r="I2259" s="219"/>
      <c r="J2259" s="219"/>
      <c r="K2259" s="219"/>
      <c r="L2259" s="219"/>
      <c r="M2259" s="219"/>
      <c r="N2259" s="219"/>
      <c r="O2259" s="219"/>
      <c r="P2259" s="219"/>
      <c r="Q2259" s="221"/>
    </row>
    <row r="2260" spans="2:17" x14ac:dyDescent="0.2">
      <c r="B2260" s="219"/>
      <c r="C2260" s="219"/>
      <c r="D2260" s="219"/>
      <c r="E2260" s="219"/>
      <c r="F2260" s="219"/>
      <c r="G2260" s="219"/>
      <c r="H2260" s="219"/>
      <c r="I2260" s="219"/>
      <c r="J2260" s="219"/>
      <c r="K2260" s="219"/>
      <c r="L2260" s="219"/>
      <c r="M2260" s="219"/>
      <c r="N2260" s="219"/>
      <c r="O2260" s="219"/>
      <c r="P2260" s="219"/>
      <c r="Q2260" s="221"/>
    </row>
    <row r="2261" spans="2:17" x14ac:dyDescent="0.2">
      <c r="B2261" s="219"/>
      <c r="C2261" s="219"/>
      <c r="D2261" s="219"/>
      <c r="E2261" s="219"/>
      <c r="F2261" s="219"/>
      <c r="G2261" s="219"/>
      <c r="H2261" s="219"/>
      <c r="I2261" s="219"/>
      <c r="J2261" s="219"/>
      <c r="K2261" s="219"/>
      <c r="L2261" s="219"/>
      <c r="M2261" s="219"/>
      <c r="N2261" s="219"/>
      <c r="O2261" s="219"/>
      <c r="P2261" s="219"/>
      <c r="Q2261" s="221"/>
    </row>
    <row r="2262" spans="2:17" x14ac:dyDescent="0.2">
      <c r="B2262" s="219"/>
      <c r="C2262" s="219"/>
      <c r="D2262" s="219"/>
      <c r="E2262" s="219"/>
      <c r="F2262" s="219"/>
      <c r="G2262" s="219"/>
      <c r="H2262" s="219"/>
      <c r="I2262" s="219"/>
      <c r="J2262" s="219"/>
      <c r="K2262" s="219"/>
      <c r="L2262" s="219"/>
      <c r="M2262" s="219"/>
      <c r="N2262" s="219"/>
      <c r="O2262" s="219"/>
      <c r="P2262" s="219"/>
      <c r="Q2262" s="221"/>
    </row>
    <row r="2263" spans="2:17" x14ac:dyDescent="0.2">
      <c r="B2263" s="219"/>
      <c r="C2263" s="219"/>
      <c r="D2263" s="219"/>
      <c r="E2263" s="219"/>
      <c r="F2263" s="219"/>
      <c r="G2263" s="219"/>
      <c r="H2263" s="219"/>
      <c r="I2263" s="219"/>
      <c r="J2263" s="219"/>
      <c r="K2263" s="219"/>
      <c r="L2263" s="219"/>
      <c r="M2263" s="219"/>
      <c r="N2263" s="219"/>
      <c r="O2263" s="219"/>
      <c r="P2263" s="219"/>
      <c r="Q2263" s="221"/>
    </row>
    <row r="2264" spans="2:17" x14ac:dyDescent="0.2">
      <c r="B2264" s="219"/>
      <c r="C2264" s="219"/>
      <c r="D2264" s="219"/>
      <c r="E2264" s="219"/>
      <c r="F2264" s="219"/>
      <c r="G2264" s="219"/>
      <c r="H2264" s="219"/>
      <c r="I2264" s="219"/>
      <c r="J2264" s="219"/>
      <c r="K2264" s="219"/>
      <c r="L2264" s="219"/>
      <c r="M2264" s="219"/>
      <c r="N2264" s="219"/>
      <c r="O2264" s="219"/>
      <c r="P2264" s="219"/>
      <c r="Q2264" s="221"/>
    </row>
    <row r="2265" spans="2:17" x14ac:dyDescent="0.2">
      <c r="B2265" s="219"/>
      <c r="C2265" s="219"/>
      <c r="D2265" s="219"/>
      <c r="E2265" s="219"/>
      <c r="F2265" s="219"/>
      <c r="G2265" s="219"/>
      <c r="H2265" s="219"/>
      <c r="I2265" s="219"/>
      <c r="J2265" s="219"/>
      <c r="K2265" s="219"/>
      <c r="L2265" s="219"/>
      <c r="M2265" s="219"/>
      <c r="N2265" s="219"/>
      <c r="O2265" s="219"/>
      <c r="P2265" s="219"/>
      <c r="Q2265" s="221"/>
    </row>
    <row r="2266" spans="2:17" x14ac:dyDescent="0.2">
      <c r="B2266" s="219"/>
      <c r="C2266" s="219"/>
      <c r="D2266" s="219"/>
      <c r="E2266" s="219"/>
      <c r="F2266" s="219"/>
      <c r="G2266" s="219"/>
      <c r="H2266" s="219"/>
      <c r="I2266" s="219"/>
      <c r="J2266" s="219"/>
      <c r="K2266" s="219"/>
      <c r="L2266" s="219"/>
      <c r="M2266" s="219"/>
      <c r="N2266" s="219"/>
      <c r="O2266" s="219"/>
      <c r="P2266" s="219"/>
      <c r="Q2266" s="221"/>
    </row>
    <row r="2267" spans="2:17" x14ac:dyDescent="0.2">
      <c r="B2267" s="219"/>
      <c r="C2267" s="219"/>
      <c r="D2267" s="219"/>
      <c r="E2267" s="219"/>
      <c r="F2267" s="219"/>
      <c r="G2267" s="219"/>
      <c r="H2267" s="219"/>
      <c r="I2267" s="219"/>
      <c r="J2267" s="219"/>
      <c r="K2267" s="219"/>
      <c r="L2267" s="219"/>
      <c r="M2267" s="219"/>
      <c r="N2267" s="219"/>
      <c r="O2267" s="219"/>
      <c r="P2267" s="219"/>
      <c r="Q2267" s="221"/>
    </row>
    <row r="2268" spans="2:17" x14ac:dyDescent="0.2">
      <c r="B2268" s="219"/>
      <c r="C2268" s="219"/>
      <c r="D2268" s="219"/>
      <c r="E2268" s="219"/>
      <c r="F2268" s="219"/>
      <c r="G2268" s="219"/>
      <c r="H2268" s="219"/>
      <c r="I2268" s="219"/>
      <c r="J2268" s="219"/>
      <c r="K2268" s="219"/>
      <c r="L2268" s="219"/>
      <c r="M2268" s="219"/>
      <c r="N2268" s="219"/>
      <c r="O2268" s="219"/>
      <c r="P2268" s="219"/>
      <c r="Q2268" s="221"/>
    </row>
    <row r="2269" spans="2:17" x14ac:dyDescent="0.2">
      <c r="B2269" s="219"/>
      <c r="C2269" s="219"/>
      <c r="D2269" s="219"/>
      <c r="E2269" s="219"/>
      <c r="F2269" s="219"/>
      <c r="G2269" s="219"/>
      <c r="H2269" s="219"/>
      <c r="I2269" s="219"/>
      <c r="J2269" s="219"/>
      <c r="K2269" s="219"/>
      <c r="L2269" s="219"/>
      <c r="M2269" s="219"/>
      <c r="N2269" s="219"/>
      <c r="O2269" s="219"/>
      <c r="P2269" s="219"/>
      <c r="Q2269" s="221"/>
    </row>
    <row r="2270" spans="2:17" x14ac:dyDescent="0.2">
      <c r="B2270" s="219"/>
      <c r="C2270" s="219"/>
      <c r="D2270" s="219"/>
      <c r="E2270" s="219"/>
      <c r="F2270" s="219"/>
      <c r="G2270" s="219"/>
      <c r="H2270" s="219"/>
      <c r="I2270" s="219"/>
      <c r="J2270" s="219"/>
      <c r="K2270" s="219"/>
      <c r="L2270" s="219"/>
      <c r="M2270" s="219"/>
      <c r="N2270" s="219"/>
      <c r="O2270" s="219"/>
      <c r="P2270" s="219"/>
      <c r="Q2270" s="221"/>
    </row>
    <row r="2271" spans="2:17" x14ac:dyDescent="0.2">
      <c r="B2271" s="219"/>
      <c r="C2271" s="219"/>
      <c r="D2271" s="219"/>
      <c r="E2271" s="219"/>
      <c r="F2271" s="219"/>
      <c r="G2271" s="219"/>
      <c r="H2271" s="219"/>
      <c r="I2271" s="219"/>
      <c r="J2271" s="219"/>
      <c r="K2271" s="219"/>
      <c r="L2271" s="219"/>
      <c r="M2271" s="219"/>
      <c r="N2271" s="219"/>
      <c r="O2271" s="219"/>
      <c r="P2271" s="219"/>
      <c r="Q2271" s="221"/>
    </row>
    <row r="2272" spans="2:17" x14ac:dyDescent="0.2">
      <c r="B2272" s="219"/>
      <c r="C2272" s="219"/>
      <c r="D2272" s="219"/>
      <c r="E2272" s="219"/>
      <c r="F2272" s="219"/>
      <c r="G2272" s="219"/>
      <c r="H2272" s="219"/>
      <c r="I2272" s="219"/>
      <c r="J2272" s="219"/>
      <c r="K2272" s="219"/>
      <c r="L2272" s="219"/>
      <c r="M2272" s="219"/>
      <c r="N2272" s="219"/>
      <c r="O2272" s="219"/>
      <c r="P2272" s="219"/>
      <c r="Q2272" s="221"/>
    </row>
    <row r="2273" spans="2:17" x14ac:dyDescent="0.2">
      <c r="B2273" s="219"/>
      <c r="C2273" s="219"/>
      <c r="D2273" s="219"/>
      <c r="E2273" s="219"/>
      <c r="F2273" s="219"/>
      <c r="G2273" s="219"/>
      <c r="H2273" s="219"/>
      <c r="I2273" s="219"/>
      <c r="J2273" s="219"/>
      <c r="K2273" s="219"/>
      <c r="L2273" s="219"/>
      <c r="M2273" s="219"/>
      <c r="N2273" s="219"/>
      <c r="O2273" s="219"/>
      <c r="P2273" s="219"/>
      <c r="Q2273" s="221"/>
    </row>
    <row r="2274" spans="2:17" x14ac:dyDescent="0.2">
      <c r="B2274" s="219"/>
      <c r="C2274" s="219"/>
      <c r="D2274" s="219"/>
      <c r="E2274" s="219"/>
      <c r="F2274" s="219"/>
      <c r="G2274" s="219"/>
      <c r="H2274" s="219"/>
      <c r="I2274" s="219"/>
      <c r="J2274" s="219"/>
      <c r="K2274" s="219"/>
      <c r="L2274" s="219"/>
      <c r="M2274" s="219"/>
      <c r="N2274" s="219"/>
      <c r="O2274" s="219"/>
      <c r="P2274" s="219"/>
      <c r="Q2274" s="221"/>
    </row>
    <row r="2275" spans="2:17" x14ac:dyDescent="0.2">
      <c r="B2275" s="219"/>
      <c r="C2275" s="219"/>
      <c r="D2275" s="219"/>
      <c r="E2275" s="219"/>
      <c r="F2275" s="219"/>
      <c r="G2275" s="219"/>
      <c r="H2275" s="219"/>
      <c r="I2275" s="219"/>
      <c r="J2275" s="219"/>
      <c r="K2275" s="219"/>
      <c r="L2275" s="219"/>
      <c r="M2275" s="219"/>
      <c r="N2275" s="219"/>
      <c r="O2275" s="219"/>
      <c r="P2275" s="219"/>
      <c r="Q2275" s="221"/>
    </row>
    <row r="2276" spans="2:17" x14ac:dyDescent="0.2">
      <c r="B2276" s="219"/>
      <c r="C2276" s="219"/>
      <c r="D2276" s="219"/>
      <c r="E2276" s="219"/>
      <c r="F2276" s="219"/>
      <c r="G2276" s="219"/>
      <c r="H2276" s="219"/>
      <c r="I2276" s="219"/>
      <c r="J2276" s="219"/>
      <c r="K2276" s="219"/>
      <c r="L2276" s="219"/>
      <c r="M2276" s="219"/>
      <c r="N2276" s="219"/>
      <c r="O2276" s="219"/>
      <c r="P2276" s="219"/>
      <c r="Q2276" s="221"/>
    </row>
    <row r="2277" spans="2:17" x14ac:dyDescent="0.2">
      <c r="B2277" s="219"/>
      <c r="C2277" s="219"/>
      <c r="D2277" s="219"/>
      <c r="E2277" s="219"/>
      <c r="F2277" s="219"/>
      <c r="G2277" s="219"/>
      <c r="H2277" s="219"/>
      <c r="I2277" s="219"/>
      <c r="J2277" s="219"/>
      <c r="K2277" s="219"/>
      <c r="L2277" s="219"/>
      <c r="M2277" s="219"/>
      <c r="N2277" s="219"/>
      <c r="O2277" s="219"/>
      <c r="P2277" s="219"/>
      <c r="Q2277" s="221"/>
    </row>
    <row r="2278" spans="2:17" x14ac:dyDescent="0.2">
      <c r="B2278" s="219"/>
      <c r="C2278" s="219"/>
      <c r="D2278" s="219"/>
      <c r="E2278" s="219"/>
      <c r="F2278" s="219"/>
      <c r="G2278" s="219"/>
      <c r="H2278" s="219"/>
      <c r="I2278" s="219"/>
      <c r="J2278" s="219"/>
      <c r="K2278" s="219"/>
      <c r="L2278" s="219"/>
      <c r="M2278" s="219"/>
      <c r="N2278" s="219"/>
      <c r="O2278" s="219"/>
      <c r="P2278" s="219"/>
      <c r="Q2278" s="221"/>
    </row>
    <row r="2279" spans="2:17" x14ac:dyDescent="0.2">
      <c r="B2279" s="219"/>
      <c r="C2279" s="219"/>
      <c r="D2279" s="219"/>
      <c r="E2279" s="219"/>
      <c r="F2279" s="219"/>
      <c r="G2279" s="219"/>
      <c r="H2279" s="219"/>
      <c r="I2279" s="219"/>
      <c r="J2279" s="219"/>
      <c r="K2279" s="219"/>
      <c r="L2279" s="219"/>
      <c r="M2279" s="219"/>
      <c r="N2279" s="219"/>
      <c r="O2279" s="219"/>
      <c r="P2279" s="219"/>
      <c r="Q2279" s="221"/>
    </row>
    <row r="2280" spans="2:17" x14ac:dyDescent="0.2">
      <c r="B2280" s="219"/>
      <c r="C2280" s="219"/>
      <c r="D2280" s="219"/>
      <c r="E2280" s="219"/>
      <c r="F2280" s="219"/>
      <c r="G2280" s="219"/>
      <c r="H2280" s="219"/>
      <c r="I2280" s="219"/>
      <c r="J2280" s="219"/>
      <c r="K2280" s="219"/>
      <c r="L2280" s="219"/>
      <c r="M2280" s="219"/>
      <c r="N2280" s="219"/>
      <c r="O2280" s="219"/>
      <c r="P2280" s="219"/>
      <c r="Q2280" s="221"/>
    </row>
    <row r="2281" spans="2:17" x14ac:dyDescent="0.2">
      <c r="B2281" s="219"/>
      <c r="C2281" s="219"/>
      <c r="D2281" s="219"/>
      <c r="E2281" s="219"/>
      <c r="F2281" s="219"/>
      <c r="G2281" s="219"/>
      <c r="H2281" s="219"/>
      <c r="I2281" s="219"/>
      <c r="J2281" s="219"/>
      <c r="K2281" s="219"/>
      <c r="L2281" s="219"/>
      <c r="M2281" s="219"/>
      <c r="N2281" s="219"/>
      <c r="O2281" s="219"/>
      <c r="P2281" s="219"/>
      <c r="Q2281" s="221"/>
    </row>
    <row r="2282" spans="2:17" x14ac:dyDescent="0.2">
      <c r="B2282" s="219"/>
      <c r="C2282" s="219"/>
      <c r="D2282" s="219"/>
      <c r="E2282" s="219"/>
      <c r="F2282" s="219"/>
      <c r="G2282" s="219"/>
      <c r="H2282" s="219"/>
      <c r="I2282" s="219"/>
      <c r="J2282" s="219"/>
      <c r="K2282" s="219"/>
      <c r="L2282" s="219"/>
      <c r="M2282" s="219"/>
      <c r="N2282" s="219"/>
      <c r="O2282" s="219"/>
      <c r="P2282" s="219"/>
      <c r="Q2282" s="221"/>
    </row>
    <row r="2283" spans="2:17" x14ac:dyDescent="0.2">
      <c r="B2283" s="219"/>
      <c r="C2283" s="219"/>
      <c r="D2283" s="219"/>
      <c r="E2283" s="219"/>
      <c r="F2283" s="219"/>
      <c r="G2283" s="219"/>
      <c r="H2283" s="219"/>
      <c r="I2283" s="219"/>
      <c r="J2283" s="219"/>
      <c r="K2283" s="219"/>
      <c r="L2283" s="219"/>
      <c r="M2283" s="219"/>
      <c r="N2283" s="219"/>
      <c r="O2283" s="219"/>
      <c r="P2283" s="219"/>
      <c r="Q2283" s="221"/>
    </row>
    <row r="2284" spans="2:17" x14ac:dyDescent="0.2">
      <c r="B2284" s="219"/>
      <c r="C2284" s="219"/>
      <c r="D2284" s="219"/>
      <c r="E2284" s="219"/>
      <c r="F2284" s="219"/>
      <c r="G2284" s="219"/>
      <c r="H2284" s="219"/>
      <c r="I2284" s="219"/>
      <c r="J2284" s="219"/>
      <c r="K2284" s="219"/>
      <c r="L2284" s="219"/>
      <c r="M2284" s="219"/>
      <c r="N2284" s="219"/>
      <c r="O2284" s="219"/>
      <c r="P2284" s="219"/>
      <c r="Q2284" s="221"/>
    </row>
    <row r="2285" spans="2:17" x14ac:dyDescent="0.2">
      <c r="B2285" s="219"/>
      <c r="C2285" s="219"/>
      <c r="D2285" s="219"/>
      <c r="E2285" s="219"/>
      <c r="F2285" s="219"/>
      <c r="G2285" s="219"/>
      <c r="H2285" s="219"/>
      <c r="I2285" s="219"/>
      <c r="J2285" s="219"/>
      <c r="K2285" s="219"/>
      <c r="L2285" s="219"/>
      <c r="M2285" s="219"/>
      <c r="N2285" s="219"/>
      <c r="O2285" s="219"/>
      <c r="P2285" s="219"/>
      <c r="Q2285" s="221"/>
    </row>
    <row r="2286" spans="2:17" x14ac:dyDescent="0.2">
      <c r="B2286" s="219"/>
      <c r="C2286" s="219"/>
      <c r="D2286" s="219"/>
      <c r="E2286" s="219"/>
      <c r="F2286" s="219"/>
      <c r="G2286" s="219"/>
      <c r="H2286" s="219"/>
      <c r="I2286" s="219"/>
      <c r="J2286" s="219"/>
      <c r="K2286" s="219"/>
      <c r="L2286" s="219"/>
      <c r="M2286" s="219"/>
      <c r="N2286" s="219"/>
      <c r="O2286" s="219"/>
      <c r="P2286" s="219"/>
      <c r="Q2286" s="221"/>
    </row>
    <row r="2287" spans="2:17" x14ac:dyDescent="0.2">
      <c r="B2287" s="219"/>
      <c r="C2287" s="219"/>
      <c r="D2287" s="219"/>
      <c r="E2287" s="219"/>
      <c r="F2287" s="219"/>
      <c r="G2287" s="219"/>
      <c r="H2287" s="219"/>
      <c r="I2287" s="219"/>
      <c r="J2287" s="219"/>
      <c r="K2287" s="219"/>
      <c r="L2287" s="219"/>
      <c r="M2287" s="219"/>
      <c r="N2287" s="219"/>
      <c r="O2287" s="219"/>
      <c r="P2287" s="219"/>
      <c r="Q2287" s="221"/>
    </row>
    <row r="2288" spans="2:17" x14ac:dyDescent="0.2">
      <c r="B2288" s="219"/>
      <c r="C2288" s="219"/>
      <c r="D2288" s="219"/>
      <c r="E2288" s="219"/>
      <c r="F2288" s="219"/>
      <c r="G2288" s="219"/>
      <c r="H2288" s="219"/>
      <c r="I2288" s="219"/>
      <c r="J2288" s="219"/>
      <c r="K2288" s="219"/>
      <c r="L2288" s="219"/>
      <c r="M2288" s="219"/>
      <c r="N2288" s="219"/>
      <c r="O2288" s="219"/>
      <c r="P2288" s="219"/>
      <c r="Q2288" s="221"/>
    </row>
    <row r="2289" spans="2:17" x14ac:dyDescent="0.2">
      <c r="B2289" s="219"/>
      <c r="C2289" s="219"/>
      <c r="D2289" s="219"/>
      <c r="E2289" s="219"/>
      <c r="F2289" s="219"/>
      <c r="G2289" s="219"/>
      <c r="H2289" s="219"/>
      <c r="I2289" s="219"/>
      <c r="J2289" s="219"/>
      <c r="K2289" s="219"/>
      <c r="L2289" s="219"/>
      <c r="M2289" s="219"/>
      <c r="N2289" s="219"/>
      <c r="O2289" s="219"/>
      <c r="P2289" s="219"/>
      <c r="Q2289" s="221"/>
    </row>
    <row r="2290" spans="2:17" x14ac:dyDescent="0.2">
      <c r="B2290" s="219"/>
      <c r="C2290" s="219"/>
      <c r="D2290" s="219"/>
      <c r="E2290" s="219"/>
      <c r="F2290" s="219"/>
      <c r="G2290" s="219"/>
      <c r="H2290" s="219"/>
      <c r="I2290" s="219"/>
      <c r="J2290" s="219"/>
      <c r="K2290" s="219"/>
      <c r="L2290" s="219"/>
      <c r="M2290" s="219"/>
      <c r="N2290" s="219"/>
      <c r="O2290" s="219"/>
      <c r="P2290" s="219"/>
      <c r="Q2290" s="221"/>
    </row>
    <row r="2291" spans="2:17" x14ac:dyDescent="0.2">
      <c r="B2291" s="219"/>
      <c r="C2291" s="219"/>
      <c r="D2291" s="219"/>
      <c r="E2291" s="219"/>
      <c r="F2291" s="219"/>
      <c r="G2291" s="219"/>
      <c r="H2291" s="219"/>
      <c r="I2291" s="219"/>
      <c r="J2291" s="219"/>
      <c r="K2291" s="219"/>
      <c r="L2291" s="219"/>
      <c r="M2291" s="219"/>
      <c r="N2291" s="219"/>
      <c r="O2291" s="219"/>
      <c r="P2291" s="219"/>
      <c r="Q2291" s="221"/>
    </row>
    <row r="2292" spans="2:17" x14ac:dyDescent="0.2">
      <c r="B2292" s="219"/>
      <c r="C2292" s="219"/>
      <c r="D2292" s="219"/>
      <c r="E2292" s="219"/>
      <c r="F2292" s="219"/>
      <c r="G2292" s="219"/>
      <c r="H2292" s="219"/>
      <c r="I2292" s="219"/>
      <c r="J2292" s="219"/>
      <c r="K2292" s="219"/>
      <c r="L2292" s="219"/>
      <c r="M2292" s="219"/>
      <c r="N2292" s="219"/>
      <c r="O2292" s="219"/>
      <c r="P2292" s="219"/>
      <c r="Q2292" s="221"/>
    </row>
    <row r="2293" spans="2:17" x14ac:dyDescent="0.2">
      <c r="B2293" s="219"/>
      <c r="C2293" s="219"/>
      <c r="D2293" s="219"/>
      <c r="E2293" s="219"/>
      <c r="F2293" s="219"/>
      <c r="G2293" s="219"/>
      <c r="H2293" s="219"/>
      <c r="I2293" s="219"/>
      <c r="J2293" s="219"/>
      <c r="K2293" s="219"/>
      <c r="L2293" s="219"/>
      <c r="M2293" s="219"/>
      <c r="N2293" s="219"/>
      <c r="O2293" s="219"/>
      <c r="P2293" s="219"/>
      <c r="Q2293" s="221"/>
    </row>
    <row r="2294" spans="2:17" x14ac:dyDescent="0.2">
      <c r="B2294" s="219"/>
      <c r="C2294" s="219"/>
      <c r="D2294" s="219"/>
      <c r="E2294" s="219"/>
      <c r="F2294" s="219"/>
      <c r="G2294" s="219"/>
      <c r="H2294" s="219"/>
      <c r="I2294" s="219"/>
      <c r="J2294" s="219"/>
      <c r="K2294" s="219"/>
      <c r="L2294" s="219"/>
      <c r="M2294" s="219"/>
      <c r="N2294" s="219"/>
      <c r="O2294" s="219"/>
      <c r="P2294" s="219"/>
      <c r="Q2294" s="221"/>
    </row>
    <row r="2295" spans="2:17" x14ac:dyDescent="0.2">
      <c r="B2295" s="219"/>
      <c r="C2295" s="219"/>
      <c r="D2295" s="219"/>
      <c r="E2295" s="219"/>
      <c r="F2295" s="219"/>
      <c r="G2295" s="219"/>
      <c r="H2295" s="219"/>
      <c r="I2295" s="219"/>
      <c r="J2295" s="219"/>
      <c r="K2295" s="219"/>
      <c r="L2295" s="219"/>
      <c r="M2295" s="219"/>
      <c r="N2295" s="219"/>
      <c r="O2295" s="219"/>
      <c r="P2295" s="219"/>
      <c r="Q2295" s="221"/>
    </row>
    <row r="2296" spans="2:17" x14ac:dyDescent="0.2">
      <c r="B2296" s="219"/>
      <c r="C2296" s="219"/>
      <c r="D2296" s="219"/>
      <c r="E2296" s="219"/>
      <c r="F2296" s="219"/>
      <c r="G2296" s="219"/>
      <c r="H2296" s="219"/>
      <c r="I2296" s="219"/>
      <c r="J2296" s="219"/>
      <c r="K2296" s="219"/>
      <c r="L2296" s="219"/>
      <c r="M2296" s="219"/>
      <c r="N2296" s="219"/>
      <c r="O2296" s="219"/>
      <c r="P2296" s="219"/>
      <c r="Q2296" s="221"/>
    </row>
    <row r="2297" spans="2:17" x14ac:dyDescent="0.2">
      <c r="B2297" s="219"/>
      <c r="C2297" s="219"/>
      <c r="D2297" s="219"/>
      <c r="E2297" s="219"/>
      <c r="F2297" s="219"/>
      <c r="G2297" s="219"/>
      <c r="H2297" s="219"/>
      <c r="I2297" s="219"/>
      <c r="J2297" s="219"/>
      <c r="K2297" s="219"/>
      <c r="L2297" s="219"/>
      <c r="M2297" s="219"/>
      <c r="N2297" s="219"/>
      <c r="O2297" s="219"/>
      <c r="P2297" s="219"/>
      <c r="Q2297" s="221"/>
    </row>
    <row r="2298" spans="2:17" x14ac:dyDescent="0.2">
      <c r="B2298" s="219"/>
      <c r="C2298" s="219"/>
      <c r="D2298" s="219"/>
      <c r="E2298" s="219"/>
      <c r="F2298" s="219"/>
      <c r="G2298" s="219"/>
      <c r="H2298" s="219"/>
      <c r="I2298" s="219"/>
      <c r="J2298" s="219"/>
      <c r="K2298" s="219"/>
      <c r="L2298" s="219"/>
      <c r="M2298" s="219"/>
      <c r="N2298" s="219"/>
      <c r="O2298" s="219"/>
      <c r="P2298" s="219"/>
      <c r="Q2298" s="221"/>
    </row>
    <row r="2299" spans="2:17" x14ac:dyDescent="0.2">
      <c r="B2299" s="219"/>
      <c r="C2299" s="219"/>
      <c r="D2299" s="219"/>
      <c r="E2299" s="219"/>
      <c r="F2299" s="219"/>
      <c r="G2299" s="219"/>
      <c r="H2299" s="219"/>
      <c r="I2299" s="219"/>
      <c r="J2299" s="219"/>
      <c r="K2299" s="219"/>
      <c r="L2299" s="219"/>
      <c r="M2299" s="219"/>
      <c r="N2299" s="219"/>
      <c r="O2299" s="219"/>
      <c r="P2299" s="219"/>
      <c r="Q2299" s="221"/>
    </row>
    <row r="2300" spans="2:17" x14ac:dyDescent="0.2">
      <c r="B2300" s="219"/>
      <c r="C2300" s="219"/>
      <c r="D2300" s="219"/>
      <c r="E2300" s="219"/>
      <c r="F2300" s="219"/>
      <c r="G2300" s="219"/>
      <c r="H2300" s="219"/>
      <c r="I2300" s="219"/>
      <c r="J2300" s="219"/>
      <c r="K2300" s="219"/>
      <c r="L2300" s="219"/>
      <c r="M2300" s="219"/>
      <c r="N2300" s="219"/>
      <c r="O2300" s="219"/>
      <c r="P2300" s="219"/>
      <c r="Q2300" s="221"/>
    </row>
    <row r="2301" spans="2:17" x14ac:dyDescent="0.2">
      <c r="B2301" s="219"/>
      <c r="C2301" s="219"/>
      <c r="D2301" s="219"/>
      <c r="E2301" s="219"/>
      <c r="F2301" s="219"/>
      <c r="G2301" s="219"/>
      <c r="H2301" s="219"/>
      <c r="I2301" s="219"/>
      <c r="J2301" s="219"/>
      <c r="K2301" s="219"/>
      <c r="L2301" s="219"/>
      <c r="M2301" s="219"/>
      <c r="N2301" s="219"/>
      <c r="O2301" s="219"/>
      <c r="P2301" s="219"/>
      <c r="Q2301" s="221"/>
    </row>
    <row r="2302" spans="2:17" x14ac:dyDescent="0.2">
      <c r="B2302" s="219"/>
      <c r="C2302" s="219"/>
      <c r="D2302" s="219"/>
      <c r="E2302" s="219"/>
      <c r="F2302" s="219"/>
      <c r="G2302" s="219"/>
      <c r="H2302" s="219"/>
      <c r="I2302" s="219"/>
      <c r="J2302" s="219"/>
      <c r="K2302" s="219"/>
      <c r="L2302" s="219"/>
      <c r="M2302" s="219"/>
      <c r="N2302" s="219"/>
      <c r="O2302" s="219"/>
      <c r="P2302" s="219"/>
      <c r="Q2302" s="221"/>
    </row>
    <row r="2303" spans="2:17" x14ac:dyDescent="0.2">
      <c r="B2303" s="219"/>
      <c r="C2303" s="219"/>
      <c r="D2303" s="219"/>
      <c r="E2303" s="219"/>
      <c r="F2303" s="219"/>
      <c r="G2303" s="219"/>
      <c r="H2303" s="219"/>
      <c r="I2303" s="219"/>
      <c r="J2303" s="219"/>
      <c r="K2303" s="219"/>
      <c r="L2303" s="219"/>
      <c r="M2303" s="219"/>
      <c r="N2303" s="219"/>
      <c r="O2303" s="219"/>
      <c r="P2303" s="219"/>
      <c r="Q2303" s="221"/>
    </row>
    <row r="2304" spans="2:17" x14ac:dyDescent="0.2">
      <c r="B2304" s="219"/>
      <c r="C2304" s="219"/>
      <c r="D2304" s="219"/>
      <c r="E2304" s="219"/>
      <c r="F2304" s="219"/>
      <c r="G2304" s="219"/>
      <c r="H2304" s="219"/>
      <c r="I2304" s="219"/>
      <c r="J2304" s="219"/>
      <c r="K2304" s="219"/>
      <c r="L2304" s="219"/>
      <c r="M2304" s="219"/>
      <c r="N2304" s="219"/>
      <c r="O2304" s="219"/>
      <c r="P2304" s="219"/>
      <c r="Q2304" s="221"/>
    </row>
    <row r="2305" spans="2:17" x14ac:dyDescent="0.2">
      <c r="B2305" s="219"/>
      <c r="C2305" s="219"/>
      <c r="D2305" s="219"/>
      <c r="E2305" s="219"/>
      <c r="F2305" s="219"/>
      <c r="G2305" s="219"/>
      <c r="H2305" s="219"/>
      <c r="I2305" s="219"/>
      <c r="J2305" s="219"/>
      <c r="K2305" s="219"/>
      <c r="L2305" s="219"/>
      <c r="M2305" s="219"/>
      <c r="N2305" s="219"/>
      <c r="O2305" s="219"/>
      <c r="P2305" s="219"/>
      <c r="Q2305" s="221"/>
    </row>
    <row r="2306" spans="2:17" x14ac:dyDescent="0.2">
      <c r="B2306" s="219"/>
      <c r="C2306" s="219"/>
      <c r="D2306" s="219"/>
      <c r="E2306" s="219"/>
      <c r="F2306" s="219"/>
      <c r="G2306" s="219"/>
      <c r="H2306" s="219"/>
      <c r="I2306" s="219"/>
      <c r="J2306" s="219"/>
      <c r="K2306" s="219"/>
      <c r="L2306" s="219"/>
      <c r="M2306" s="219"/>
      <c r="N2306" s="219"/>
      <c r="O2306" s="219"/>
      <c r="P2306" s="219"/>
      <c r="Q2306" s="221"/>
    </row>
    <row r="2307" spans="2:17" x14ac:dyDescent="0.2">
      <c r="B2307" s="219"/>
      <c r="C2307" s="219"/>
      <c r="D2307" s="219"/>
      <c r="E2307" s="219"/>
      <c r="F2307" s="219"/>
      <c r="G2307" s="219"/>
      <c r="H2307" s="219"/>
      <c r="I2307" s="219"/>
      <c r="J2307" s="219"/>
      <c r="K2307" s="219"/>
      <c r="L2307" s="219"/>
      <c r="M2307" s="219"/>
      <c r="N2307" s="219"/>
      <c r="O2307" s="219"/>
      <c r="P2307" s="219"/>
      <c r="Q2307" s="221"/>
    </row>
    <row r="2308" spans="2:17" x14ac:dyDescent="0.2">
      <c r="B2308" s="219"/>
      <c r="C2308" s="219"/>
      <c r="D2308" s="219"/>
      <c r="E2308" s="219"/>
      <c r="F2308" s="219"/>
      <c r="G2308" s="219"/>
      <c r="H2308" s="219"/>
      <c r="I2308" s="219"/>
      <c r="J2308" s="219"/>
      <c r="K2308" s="219"/>
      <c r="L2308" s="219"/>
      <c r="M2308" s="219"/>
      <c r="N2308" s="219"/>
      <c r="O2308" s="219"/>
      <c r="P2308" s="219"/>
      <c r="Q2308" s="221"/>
    </row>
    <row r="2309" spans="2:17" x14ac:dyDescent="0.2">
      <c r="B2309" s="219"/>
      <c r="C2309" s="219"/>
      <c r="D2309" s="219"/>
      <c r="E2309" s="219"/>
      <c r="F2309" s="219"/>
      <c r="G2309" s="219"/>
      <c r="H2309" s="219"/>
      <c r="I2309" s="219"/>
      <c r="J2309" s="219"/>
      <c r="K2309" s="219"/>
      <c r="L2309" s="219"/>
      <c r="M2309" s="219"/>
      <c r="N2309" s="219"/>
      <c r="O2309" s="219"/>
      <c r="P2309" s="219"/>
      <c r="Q2309" s="221"/>
    </row>
    <row r="2310" spans="2:17" x14ac:dyDescent="0.2">
      <c r="B2310" s="219"/>
      <c r="C2310" s="219"/>
      <c r="D2310" s="219"/>
      <c r="E2310" s="219"/>
      <c r="F2310" s="219"/>
      <c r="G2310" s="219"/>
      <c r="H2310" s="219"/>
      <c r="I2310" s="219"/>
      <c r="J2310" s="219"/>
      <c r="K2310" s="219"/>
      <c r="L2310" s="219"/>
      <c r="M2310" s="219"/>
      <c r="N2310" s="219"/>
      <c r="O2310" s="219"/>
      <c r="P2310" s="219"/>
      <c r="Q2310" s="221"/>
    </row>
    <row r="2311" spans="2:17" x14ac:dyDescent="0.2">
      <c r="B2311" s="219"/>
      <c r="C2311" s="219"/>
      <c r="D2311" s="219"/>
      <c r="E2311" s="219"/>
      <c r="F2311" s="219"/>
      <c r="G2311" s="219"/>
      <c r="H2311" s="219"/>
      <c r="I2311" s="219"/>
      <c r="J2311" s="219"/>
      <c r="K2311" s="219"/>
      <c r="L2311" s="219"/>
      <c r="M2311" s="219"/>
      <c r="N2311" s="219"/>
      <c r="O2311" s="219"/>
      <c r="P2311" s="219"/>
      <c r="Q2311" s="221"/>
    </row>
    <row r="2312" spans="2:17" x14ac:dyDescent="0.2">
      <c r="B2312" s="219"/>
      <c r="C2312" s="219"/>
      <c r="D2312" s="219"/>
      <c r="E2312" s="219"/>
      <c r="F2312" s="219"/>
      <c r="G2312" s="219"/>
      <c r="H2312" s="219"/>
      <c r="I2312" s="219"/>
      <c r="J2312" s="219"/>
      <c r="K2312" s="219"/>
      <c r="L2312" s="219"/>
      <c r="M2312" s="219"/>
      <c r="N2312" s="219"/>
      <c r="O2312" s="219"/>
      <c r="P2312" s="219"/>
      <c r="Q2312" s="221"/>
    </row>
    <row r="2313" spans="2:17" x14ac:dyDescent="0.2">
      <c r="B2313" s="219"/>
      <c r="C2313" s="219"/>
      <c r="D2313" s="219"/>
      <c r="E2313" s="219"/>
      <c r="F2313" s="219"/>
      <c r="G2313" s="219"/>
      <c r="H2313" s="219"/>
      <c r="I2313" s="219"/>
      <c r="J2313" s="219"/>
      <c r="K2313" s="219"/>
      <c r="L2313" s="219"/>
      <c r="M2313" s="219"/>
      <c r="N2313" s="219"/>
      <c r="O2313" s="219"/>
      <c r="P2313" s="219"/>
      <c r="Q2313" s="221"/>
    </row>
    <row r="2314" spans="2:17" x14ac:dyDescent="0.2">
      <c r="B2314" s="219"/>
      <c r="C2314" s="219"/>
      <c r="D2314" s="219"/>
      <c r="E2314" s="219"/>
      <c r="F2314" s="219"/>
      <c r="G2314" s="219"/>
      <c r="H2314" s="219"/>
      <c r="I2314" s="219"/>
      <c r="J2314" s="219"/>
      <c r="K2314" s="219"/>
      <c r="L2314" s="219"/>
      <c r="M2314" s="219"/>
      <c r="N2314" s="219"/>
      <c r="O2314" s="219"/>
      <c r="P2314" s="219"/>
      <c r="Q2314" s="221"/>
    </row>
    <row r="2315" spans="2:17" x14ac:dyDescent="0.2">
      <c r="B2315" s="219"/>
      <c r="C2315" s="219"/>
      <c r="D2315" s="219"/>
      <c r="E2315" s="219"/>
      <c r="F2315" s="219"/>
      <c r="G2315" s="219"/>
      <c r="H2315" s="219"/>
      <c r="I2315" s="219"/>
      <c r="J2315" s="219"/>
      <c r="K2315" s="219"/>
      <c r="L2315" s="219"/>
      <c r="M2315" s="219"/>
      <c r="N2315" s="219"/>
      <c r="O2315" s="219"/>
      <c r="P2315" s="219"/>
      <c r="Q2315" s="221"/>
    </row>
    <row r="2316" spans="2:17" x14ac:dyDescent="0.2">
      <c r="B2316" s="219"/>
      <c r="C2316" s="219"/>
      <c r="D2316" s="219"/>
      <c r="E2316" s="219"/>
      <c r="F2316" s="219"/>
      <c r="G2316" s="219"/>
      <c r="H2316" s="219"/>
      <c r="I2316" s="219"/>
      <c r="J2316" s="219"/>
      <c r="K2316" s="219"/>
      <c r="L2316" s="219"/>
      <c r="M2316" s="219"/>
      <c r="N2316" s="219"/>
      <c r="O2316" s="219"/>
      <c r="P2316" s="219"/>
      <c r="Q2316" s="221"/>
    </row>
    <row r="2317" spans="2:17" x14ac:dyDescent="0.2">
      <c r="B2317" s="219"/>
      <c r="C2317" s="219"/>
      <c r="D2317" s="219"/>
      <c r="E2317" s="219"/>
      <c r="F2317" s="219"/>
      <c r="G2317" s="219"/>
      <c r="H2317" s="219"/>
      <c r="I2317" s="219"/>
      <c r="J2317" s="219"/>
      <c r="K2317" s="219"/>
      <c r="L2317" s="219"/>
      <c r="M2317" s="219"/>
      <c r="N2317" s="219"/>
      <c r="O2317" s="219"/>
      <c r="P2317" s="219"/>
      <c r="Q2317" s="221"/>
    </row>
    <row r="2318" spans="2:17" x14ac:dyDescent="0.2">
      <c r="B2318" s="219"/>
      <c r="C2318" s="219"/>
      <c r="D2318" s="219"/>
      <c r="E2318" s="219"/>
      <c r="F2318" s="219"/>
      <c r="G2318" s="219"/>
      <c r="H2318" s="219"/>
      <c r="I2318" s="219"/>
      <c r="J2318" s="219"/>
      <c r="K2318" s="219"/>
      <c r="L2318" s="219"/>
      <c r="M2318" s="219"/>
      <c r="N2318" s="219"/>
      <c r="O2318" s="219"/>
      <c r="P2318" s="219"/>
      <c r="Q2318" s="221"/>
    </row>
    <row r="2319" spans="2:17" x14ac:dyDescent="0.2">
      <c r="B2319" s="219"/>
      <c r="C2319" s="219"/>
      <c r="D2319" s="219"/>
      <c r="E2319" s="219"/>
      <c r="F2319" s="219"/>
      <c r="G2319" s="219"/>
      <c r="H2319" s="219"/>
      <c r="I2319" s="219"/>
      <c r="J2319" s="219"/>
      <c r="K2319" s="219"/>
      <c r="L2319" s="219"/>
      <c r="M2319" s="219"/>
      <c r="N2319" s="219"/>
      <c r="O2319" s="219"/>
      <c r="P2319" s="219"/>
      <c r="Q2319" s="221"/>
    </row>
    <row r="2320" spans="2:17" x14ac:dyDescent="0.2">
      <c r="B2320" s="219"/>
      <c r="C2320" s="219"/>
      <c r="D2320" s="219"/>
      <c r="E2320" s="219"/>
      <c r="F2320" s="219"/>
      <c r="G2320" s="219"/>
      <c r="H2320" s="219"/>
      <c r="I2320" s="219"/>
      <c r="J2320" s="219"/>
      <c r="K2320" s="219"/>
      <c r="L2320" s="219"/>
      <c r="M2320" s="219"/>
      <c r="N2320" s="219"/>
      <c r="O2320" s="219"/>
      <c r="P2320" s="219"/>
      <c r="Q2320" s="221"/>
    </row>
    <row r="2321" spans="2:17" x14ac:dyDescent="0.2">
      <c r="B2321" s="219"/>
      <c r="C2321" s="219"/>
      <c r="D2321" s="219"/>
      <c r="E2321" s="219"/>
      <c r="F2321" s="219"/>
      <c r="G2321" s="219"/>
      <c r="H2321" s="219"/>
      <c r="I2321" s="219"/>
      <c r="J2321" s="219"/>
      <c r="K2321" s="219"/>
      <c r="L2321" s="219"/>
      <c r="M2321" s="219"/>
      <c r="N2321" s="219"/>
      <c r="O2321" s="219"/>
      <c r="P2321" s="219"/>
      <c r="Q2321" s="221"/>
    </row>
    <row r="2322" spans="2:17" x14ac:dyDescent="0.2">
      <c r="B2322" s="219"/>
      <c r="C2322" s="219"/>
      <c r="D2322" s="219"/>
      <c r="E2322" s="219"/>
      <c r="F2322" s="219"/>
      <c r="G2322" s="219"/>
      <c r="H2322" s="219"/>
      <c r="I2322" s="219"/>
      <c r="J2322" s="219"/>
      <c r="K2322" s="219"/>
      <c r="L2322" s="219"/>
      <c r="M2322" s="219"/>
      <c r="N2322" s="219"/>
      <c r="O2322" s="219"/>
      <c r="P2322" s="219"/>
      <c r="Q2322" s="221"/>
    </row>
    <row r="2323" spans="2:17" x14ac:dyDescent="0.2">
      <c r="B2323" s="219"/>
      <c r="C2323" s="219"/>
      <c r="D2323" s="219"/>
      <c r="E2323" s="219"/>
      <c r="F2323" s="219"/>
      <c r="G2323" s="219"/>
      <c r="H2323" s="219"/>
      <c r="I2323" s="219"/>
      <c r="J2323" s="219"/>
      <c r="K2323" s="219"/>
      <c r="L2323" s="219"/>
      <c r="M2323" s="219"/>
      <c r="N2323" s="219"/>
      <c r="O2323" s="219"/>
      <c r="P2323" s="219"/>
      <c r="Q2323" s="221"/>
    </row>
    <row r="2324" spans="2:17" x14ac:dyDescent="0.2">
      <c r="B2324" s="219"/>
      <c r="C2324" s="219"/>
      <c r="D2324" s="219"/>
      <c r="E2324" s="219"/>
      <c r="F2324" s="219"/>
      <c r="G2324" s="219"/>
      <c r="H2324" s="219"/>
      <c r="I2324" s="219"/>
      <c r="J2324" s="219"/>
      <c r="K2324" s="219"/>
      <c r="L2324" s="219"/>
      <c r="M2324" s="219"/>
      <c r="N2324" s="219"/>
      <c r="O2324" s="219"/>
      <c r="P2324" s="219"/>
      <c r="Q2324" s="221"/>
    </row>
    <row r="2325" spans="2:17" x14ac:dyDescent="0.2">
      <c r="B2325" s="219"/>
      <c r="C2325" s="219"/>
      <c r="D2325" s="219"/>
      <c r="E2325" s="219"/>
      <c r="F2325" s="219"/>
      <c r="G2325" s="219"/>
      <c r="H2325" s="219"/>
      <c r="I2325" s="219"/>
      <c r="J2325" s="219"/>
      <c r="K2325" s="219"/>
      <c r="L2325" s="219"/>
      <c r="M2325" s="219"/>
      <c r="N2325" s="219"/>
      <c r="O2325" s="219"/>
      <c r="P2325" s="219"/>
      <c r="Q2325" s="221"/>
    </row>
    <row r="2326" spans="2:17" x14ac:dyDescent="0.2">
      <c r="B2326" s="219"/>
      <c r="C2326" s="219"/>
      <c r="D2326" s="219"/>
      <c r="E2326" s="219"/>
      <c r="F2326" s="219"/>
      <c r="G2326" s="219"/>
      <c r="H2326" s="219"/>
      <c r="I2326" s="219"/>
      <c r="J2326" s="219"/>
      <c r="K2326" s="219"/>
      <c r="L2326" s="219"/>
      <c r="M2326" s="219"/>
      <c r="N2326" s="219"/>
      <c r="O2326" s="219"/>
      <c r="P2326" s="219"/>
      <c r="Q2326" s="221"/>
    </row>
    <row r="2327" spans="2:17" x14ac:dyDescent="0.2">
      <c r="B2327" s="219"/>
      <c r="C2327" s="219"/>
      <c r="D2327" s="219"/>
      <c r="E2327" s="219"/>
      <c r="F2327" s="219"/>
      <c r="G2327" s="219"/>
      <c r="H2327" s="219"/>
      <c r="I2327" s="219"/>
      <c r="J2327" s="219"/>
      <c r="K2327" s="219"/>
      <c r="L2327" s="219"/>
      <c r="M2327" s="219"/>
      <c r="N2327" s="219"/>
      <c r="O2327" s="219"/>
      <c r="P2327" s="219"/>
      <c r="Q2327" s="221"/>
    </row>
    <row r="2328" spans="2:17" x14ac:dyDescent="0.2">
      <c r="B2328" s="219"/>
      <c r="C2328" s="219"/>
      <c r="D2328" s="219"/>
      <c r="E2328" s="219"/>
      <c r="F2328" s="219"/>
      <c r="G2328" s="219"/>
      <c r="H2328" s="219"/>
      <c r="I2328" s="219"/>
      <c r="J2328" s="219"/>
      <c r="K2328" s="219"/>
      <c r="L2328" s="219"/>
      <c r="M2328" s="219"/>
      <c r="N2328" s="219"/>
      <c r="O2328" s="219"/>
      <c r="P2328" s="219"/>
      <c r="Q2328" s="221"/>
    </row>
    <row r="2329" spans="2:17" x14ac:dyDescent="0.2">
      <c r="B2329" s="219"/>
      <c r="C2329" s="219"/>
      <c r="D2329" s="219"/>
      <c r="E2329" s="219"/>
      <c r="F2329" s="219"/>
      <c r="G2329" s="219"/>
      <c r="H2329" s="219"/>
      <c r="I2329" s="219"/>
      <c r="J2329" s="219"/>
      <c r="K2329" s="219"/>
      <c r="L2329" s="219"/>
      <c r="M2329" s="219"/>
      <c r="N2329" s="219"/>
      <c r="O2329" s="219"/>
      <c r="P2329" s="219"/>
      <c r="Q2329" s="221"/>
    </row>
    <row r="2330" spans="2:17" x14ac:dyDescent="0.2">
      <c r="B2330" s="219"/>
      <c r="C2330" s="219"/>
      <c r="D2330" s="219"/>
      <c r="E2330" s="219"/>
      <c r="F2330" s="219"/>
      <c r="G2330" s="219"/>
      <c r="H2330" s="219"/>
      <c r="I2330" s="219"/>
      <c r="J2330" s="219"/>
      <c r="K2330" s="219"/>
      <c r="L2330" s="219"/>
      <c r="M2330" s="219"/>
      <c r="N2330" s="219"/>
      <c r="O2330" s="219"/>
      <c r="P2330" s="219"/>
      <c r="Q2330" s="221"/>
    </row>
    <row r="2331" spans="2:17" x14ac:dyDescent="0.2">
      <c r="B2331" s="219"/>
      <c r="C2331" s="219"/>
      <c r="D2331" s="219"/>
      <c r="E2331" s="219"/>
      <c r="F2331" s="219"/>
      <c r="G2331" s="219"/>
      <c r="H2331" s="219"/>
      <c r="I2331" s="219"/>
      <c r="J2331" s="219"/>
      <c r="K2331" s="219"/>
      <c r="L2331" s="219"/>
      <c r="M2331" s="219"/>
      <c r="N2331" s="219"/>
      <c r="O2331" s="219"/>
      <c r="P2331" s="219"/>
      <c r="Q2331" s="221"/>
    </row>
    <row r="2332" spans="2:17" x14ac:dyDescent="0.2">
      <c r="B2332" s="219"/>
      <c r="C2332" s="219"/>
      <c r="D2332" s="219"/>
      <c r="E2332" s="219"/>
      <c r="F2332" s="219"/>
      <c r="G2332" s="219"/>
      <c r="H2332" s="219"/>
      <c r="I2332" s="219"/>
      <c r="J2332" s="219"/>
      <c r="K2332" s="219"/>
      <c r="L2332" s="219"/>
      <c r="M2332" s="219"/>
      <c r="N2332" s="219"/>
      <c r="O2332" s="219"/>
      <c r="P2332" s="219"/>
      <c r="Q2332" s="221"/>
    </row>
    <row r="2333" spans="2:17" x14ac:dyDescent="0.2">
      <c r="B2333" s="219"/>
      <c r="C2333" s="219"/>
      <c r="D2333" s="219"/>
      <c r="E2333" s="219"/>
      <c r="F2333" s="219"/>
      <c r="G2333" s="219"/>
      <c r="H2333" s="219"/>
      <c r="I2333" s="219"/>
      <c r="J2333" s="219"/>
      <c r="K2333" s="219"/>
      <c r="L2333" s="219"/>
      <c r="M2333" s="219"/>
      <c r="N2333" s="219"/>
      <c r="O2333" s="219"/>
      <c r="P2333" s="219"/>
      <c r="Q2333" s="221"/>
    </row>
  </sheetData>
  <sheetProtection algorithmName="SHA-512" hashValue="MioCQqcXW3O+izN97aeI+mEQOjx7TECcWIalzv5HCregJ68S5zEbtBKVXp1wXCvdua9hcOnHCx6l+p2ZZW3+GA==" saltValue="Z4Z8YtBsRYvCNmuTYGZnog==" spinCount="100000" sheet="1" objects="1" scenarios="1"/>
  <phoneticPr fontId="0" type="noConversion"/>
  <conditionalFormatting sqref="X39:X43">
    <cfRule type="cellIs" dxfId="547" priority="99" stopIfTrue="1" operator="greaterThan">
      <formula>0</formula>
    </cfRule>
  </conditionalFormatting>
  <conditionalFormatting sqref="X47:X51">
    <cfRule type="cellIs" dxfId="546" priority="97" stopIfTrue="1" operator="greaterThan">
      <formula>0</formula>
    </cfRule>
  </conditionalFormatting>
  <conditionalFormatting sqref="X6:X10">
    <cfRule type="cellIs" dxfId="545" priority="95" stopIfTrue="1" operator="greaterThan">
      <formula>0</formula>
    </cfRule>
  </conditionalFormatting>
  <conditionalFormatting sqref="Y6:AI10">
    <cfRule type="cellIs" dxfId="544" priority="94" stopIfTrue="1" operator="greaterThan">
      <formula>0</formula>
    </cfRule>
  </conditionalFormatting>
  <conditionalFormatting sqref="Y39:AA43">
    <cfRule type="cellIs" dxfId="543" priority="98" stopIfTrue="1" operator="greaterThan">
      <formula>0</formula>
    </cfRule>
  </conditionalFormatting>
  <conditionalFormatting sqref="Y47:AA51">
    <cfRule type="cellIs" dxfId="542" priority="96" stopIfTrue="1" operator="greaterThan">
      <formula>0</formula>
    </cfRule>
  </conditionalFormatting>
  <conditionalFormatting sqref="X14:X18">
    <cfRule type="cellIs" dxfId="541" priority="93" stopIfTrue="1" operator="greaterThan">
      <formula>0</formula>
    </cfRule>
  </conditionalFormatting>
  <conditionalFormatting sqref="Y14:AI18">
    <cfRule type="cellIs" dxfId="540" priority="92" stopIfTrue="1" operator="greaterThan">
      <formula>0</formula>
    </cfRule>
  </conditionalFormatting>
  <conditionalFormatting sqref="E14:P14 E22:P22">
    <cfRule type="cellIs" dxfId="539" priority="62" stopIfTrue="1" operator="greaterThan">
      <formula>0</formula>
    </cfRule>
  </conditionalFormatting>
  <conditionalFormatting sqref="H47:I48 H56:I56">
    <cfRule type="cellIs" dxfId="538" priority="54" stopIfTrue="1" operator="greaterThan">
      <formula>0</formula>
    </cfRule>
  </conditionalFormatting>
  <conditionalFormatting sqref="H41:I44">
    <cfRule type="cellIs" dxfId="537" priority="52" stopIfTrue="1" operator="greaterThan">
      <formula>0</formula>
    </cfRule>
  </conditionalFormatting>
  <conditionalFormatting sqref="H49:I52">
    <cfRule type="cellIs" dxfId="536" priority="51" stopIfTrue="1" operator="greaterThan">
      <formula>0</formula>
    </cfRule>
  </conditionalFormatting>
  <conditionalFormatting sqref="H57:I58">
    <cfRule type="cellIs" dxfId="535" priority="50" stopIfTrue="1" operator="greaterThan">
      <formula>0</formula>
    </cfRule>
  </conditionalFormatting>
  <conditionalFormatting sqref="H62:I63">
    <cfRule type="cellIs" dxfId="534" priority="49" stopIfTrue="1" operator="greaterThan">
      <formula>0</formula>
    </cfRule>
  </conditionalFormatting>
  <conditionalFormatting sqref="G47:G48 G56">
    <cfRule type="cellIs" dxfId="533" priority="48" stopIfTrue="1" operator="greaterThan">
      <formula>0</formula>
    </cfRule>
  </conditionalFormatting>
  <conditionalFormatting sqref="G41:G44">
    <cfRule type="cellIs" dxfId="532" priority="46" stopIfTrue="1" operator="greaterThan">
      <formula>0</formula>
    </cfRule>
  </conditionalFormatting>
  <conditionalFormatting sqref="G49:G52">
    <cfRule type="cellIs" dxfId="531" priority="45" stopIfTrue="1" operator="greaterThan">
      <formula>0</formula>
    </cfRule>
  </conditionalFormatting>
  <conditionalFormatting sqref="G57:G58">
    <cfRule type="cellIs" dxfId="530" priority="44" stopIfTrue="1" operator="greaterThan">
      <formula>0</formula>
    </cfRule>
  </conditionalFormatting>
  <conditionalFormatting sqref="G62:G63">
    <cfRule type="cellIs" dxfId="529" priority="43" stopIfTrue="1" operator="greaterThan">
      <formula>0</formula>
    </cfRule>
  </conditionalFormatting>
  <conditionalFormatting sqref="F47:F48 F56">
    <cfRule type="cellIs" dxfId="528" priority="42" stopIfTrue="1" operator="greaterThan">
      <formula>0</formula>
    </cfRule>
  </conditionalFormatting>
  <conditionalFormatting sqref="F41:F44">
    <cfRule type="cellIs" dxfId="527" priority="40" stopIfTrue="1" operator="greaterThan">
      <formula>0</formula>
    </cfRule>
  </conditionalFormatting>
  <conditionalFormatting sqref="F49:F52">
    <cfRule type="cellIs" dxfId="526" priority="39" stopIfTrue="1" operator="greaterThan">
      <formula>0</formula>
    </cfRule>
  </conditionalFormatting>
  <conditionalFormatting sqref="F57:F58">
    <cfRule type="cellIs" dxfId="525" priority="38" stopIfTrue="1" operator="greaterThan">
      <formula>0</formula>
    </cfRule>
  </conditionalFormatting>
  <conditionalFormatting sqref="F62:F63">
    <cfRule type="cellIs" dxfId="524" priority="37" stopIfTrue="1" operator="greaterThan">
      <formula>0</formula>
    </cfRule>
  </conditionalFormatting>
  <conditionalFormatting sqref="E7:P7">
    <cfRule type="cellIs" dxfId="523" priority="36" stopIfTrue="1" operator="greaterThan">
      <formula>0</formula>
    </cfRule>
  </conditionalFormatting>
  <conditionalFormatting sqref="E8:P10">
    <cfRule type="cellIs" dxfId="522" priority="35" stopIfTrue="1" operator="greaterThan">
      <formula>0</formula>
    </cfRule>
  </conditionalFormatting>
  <conditionalFormatting sqref="E15:P18">
    <cfRule type="cellIs" dxfId="521" priority="34" stopIfTrue="1" operator="greaterThan">
      <formula>0</formula>
    </cfRule>
  </conditionalFormatting>
  <conditionalFormatting sqref="E28:P29">
    <cfRule type="cellIs" dxfId="520" priority="33" stopIfTrue="1" operator="greaterThan">
      <formula>0</formula>
    </cfRule>
  </conditionalFormatting>
  <conditionalFormatting sqref="E23:P24">
    <cfRule type="cellIs" dxfId="519" priority="32" stopIfTrue="1" operator="greaterThan">
      <formula>0</formula>
    </cfRule>
  </conditionalFormatting>
  <conditionalFormatting sqref="H55:I55">
    <cfRule type="cellIs" dxfId="518" priority="31" stopIfTrue="1" operator="greaterThan">
      <formula>0</formula>
    </cfRule>
  </conditionalFormatting>
  <conditionalFormatting sqref="G55">
    <cfRule type="cellIs" dxfId="517" priority="30" stopIfTrue="1" operator="greaterThan">
      <formula>0</formula>
    </cfRule>
  </conditionalFormatting>
  <conditionalFormatting sqref="F55">
    <cfRule type="cellIs" dxfId="516" priority="29" stopIfTrue="1" operator="greaterThan">
      <formula>0</formula>
    </cfRule>
  </conditionalFormatting>
  <conditionalFormatting sqref="H65:I65">
    <cfRule type="cellIs" dxfId="515" priority="25" stopIfTrue="1" operator="greaterThan">
      <formula>0</formula>
    </cfRule>
  </conditionalFormatting>
  <conditionalFormatting sqref="G65">
    <cfRule type="cellIs" dxfId="514" priority="24" stopIfTrue="1" operator="greaterThan">
      <formula>0</formula>
    </cfRule>
  </conditionalFormatting>
  <conditionalFormatting sqref="F65">
    <cfRule type="cellIs" dxfId="513" priority="23" stopIfTrue="1" operator="greaterThan">
      <formula>0</formula>
    </cfRule>
  </conditionalFormatting>
  <conditionalFormatting sqref="G42:I42">
    <cfRule type="cellIs" dxfId="512" priority="22" stopIfTrue="1" operator="greaterThan">
      <formula>0</formula>
    </cfRule>
  </conditionalFormatting>
  <conditionalFormatting sqref="G42:I42">
    <cfRule type="cellIs" dxfId="511" priority="21" stopIfTrue="1" operator="greaterThan">
      <formula>0</formula>
    </cfRule>
  </conditionalFormatting>
  <conditionalFormatting sqref="G42:I42">
    <cfRule type="cellIs" dxfId="510" priority="20" stopIfTrue="1" operator="greaterThan">
      <formula>0</formula>
    </cfRule>
  </conditionalFormatting>
  <conditionalFormatting sqref="G42:I42">
    <cfRule type="cellIs" dxfId="509" priority="19" stopIfTrue="1" operator="greaterThan">
      <formula>0</formula>
    </cfRule>
  </conditionalFormatting>
  <conditionalFormatting sqref="S62:S63">
    <cfRule type="notContainsBlanks" dxfId="508" priority="18" stopIfTrue="1">
      <formula>LEN(TRIM(S62))&gt;0</formula>
    </cfRule>
  </conditionalFormatting>
  <conditionalFormatting sqref="S57:S58">
    <cfRule type="notContainsBlanks" dxfId="507" priority="17" stopIfTrue="1">
      <formula>LEN(TRIM(S57))&gt;0</formula>
    </cfRule>
  </conditionalFormatting>
  <conditionalFormatting sqref="S49:S50">
    <cfRule type="notContainsBlanks" dxfId="506" priority="16" stopIfTrue="1">
      <formula>LEN(TRIM(S49))&gt;0</formula>
    </cfRule>
  </conditionalFormatting>
  <conditionalFormatting sqref="S51:S52">
    <cfRule type="notContainsBlanks" dxfId="505" priority="15" stopIfTrue="1">
      <formula>LEN(TRIM(S51))&gt;0</formula>
    </cfRule>
  </conditionalFormatting>
  <conditionalFormatting sqref="S41:S42">
    <cfRule type="notContainsBlanks" dxfId="504" priority="14" stopIfTrue="1">
      <formula>LEN(TRIM(S41))&gt;0</formula>
    </cfRule>
  </conditionalFormatting>
  <conditionalFormatting sqref="S43">
    <cfRule type="notContainsBlanks" dxfId="503" priority="13" stopIfTrue="1">
      <formula>LEN(TRIM(S43))&gt;0</formula>
    </cfRule>
  </conditionalFormatting>
  <conditionalFormatting sqref="S44:S45">
    <cfRule type="notContainsBlanks" dxfId="502" priority="12" stopIfTrue="1">
      <formula>LEN(TRIM(S44))&gt;0</formula>
    </cfRule>
  </conditionalFormatting>
  <conditionalFormatting sqref="S28:S29">
    <cfRule type="notContainsBlanks" dxfId="501" priority="11" stopIfTrue="1">
      <formula>LEN(TRIM(S28))&gt;0</formula>
    </cfRule>
  </conditionalFormatting>
  <conditionalFormatting sqref="S23:S24">
    <cfRule type="notContainsBlanks" dxfId="500" priority="10" stopIfTrue="1">
      <formula>LEN(TRIM(S23))&gt;0</formula>
    </cfRule>
  </conditionalFormatting>
  <conditionalFormatting sqref="S15:S16">
    <cfRule type="notContainsBlanks" dxfId="499" priority="9" stopIfTrue="1">
      <formula>LEN(TRIM(S15))&gt;0</formula>
    </cfRule>
  </conditionalFormatting>
  <conditionalFormatting sqref="S17">
    <cfRule type="notContainsBlanks" dxfId="498" priority="8" stopIfTrue="1">
      <formula>LEN(TRIM(S17))&gt;0</formula>
    </cfRule>
  </conditionalFormatting>
  <conditionalFormatting sqref="S18:S19">
    <cfRule type="notContainsBlanks" dxfId="497" priority="7" stopIfTrue="1">
      <formula>LEN(TRIM(S18))&gt;0</formula>
    </cfRule>
  </conditionalFormatting>
  <conditionalFormatting sqref="S7:S8">
    <cfRule type="notContainsBlanks" dxfId="496" priority="6" stopIfTrue="1">
      <formula>LEN(TRIM(S7))&gt;0</formula>
    </cfRule>
  </conditionalFormatting>
  <conditionalFormatting sqref="S9">
    <cfRule type="notContainsBlanks" dxfId="495" priority="5" stopIfTrue="1">
      <formula>LEN(TRIM(S9))&gt;0</formula>
    </cfRule>
  </conditionalFormatting>
  <conditionalFormatting sqref="S10:S11">
    <cfRule type="notContainsBlanks" dxfId="494" priority="4" stopIfTrue="1">
      <formula>LEN(TRIM(S10))&gt;0</formula>
    </cfRule>
  </conditionalFormatting>
  <conditionalFormatting sqref="H60:I60">
    <cfRule type="cellIs" dxfId="493" priority="3" stopIfTrue="1" operator="greaterThan">
      <formula>0</formula>
    </cfRule>
  </conditionalFormatting>
  <conditionalFormatting sqref="G60">
    <cfRule type="cellIs" dxfId="492" priority="2" stopIfTrue="1" operator="greaterThan">
      <formula>0</formula>
    </cfRule>
  </conditionalFormatting>
  <conditionalFormatting sqref="F60">
    <cfRule type="cellIs" dxfId="491" priority="1" stopIfTrue="1" operator="greaterThan">
      <formula>0</formula>
    </cfRule>
  </conditionalFormatting>
  <dataValidations count="3">
    <dataValidation type="decimal" operator="greaterThanOrEqual" allowBlank="1" showInputMessage="1" showErrorMessage="1" sqref="F49:F52 F41:F44 F63 G41:H41">
      <formula1>0</formula1>
    </dataValidation>
    <dataValidation type="list" allowBlank="1" showInputMessage="1" showErrorMessage="1" sqref="D27 D22 D6 D14">
      <formula1>$E$2:$G$2</formula1>
    </dataValidation>
    <dataValidation operator="greaterThanOrEqual" allowBlank="1" showInputMessage="1" showErrorMessage="1" sqref="F45"/>
  </dataValidations>
  <printOptions horizontalCentered="1" verticalCentered="1"/>
  <pageMargins left="0.62992125984251968" right="0.62992125984251968" top="0.11811023622047245" bottom="0.35433070866141736" header="0.19685039370078741" footer="0.19685039370078741"/>
  <pageSetup paperSize="9" scale="53" orientation="landscape" r:id="rId1"/>
  <headerFooter>
    <oddFooter>&amp;L&amp;"Verdana,Standard"&amp;9&amp;A&amp;C&amp;"Verdana,Standard"&amp;9&amp;F&amp;R&amp;"Verdana,Standard"&amp;9© 2017 www.Kindermanns.de
Jürgen Erlewein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>
    <pageSetUpPr fitToPage="1"/>
  </sheetPr>
  <dimension ref="A1:EZ575"/>
  <sheetViews>
    <sheetView showGridLines="0" topLeftCell="A2" zoomScale="80" zoomScaleNormal="80" workbookViewId="0">
      <selection activeCell="S6" sqref="S6:S9"/>
    </sheetView>
  </sheetViews>
  <sheetFormatPr baseColWidth="10" defaultColWidth="11.42578125" defaultRowHeight="14.25" x14ac:dyDescent="0.2"/>
  <cols>
    <col min="1" max="1" width="1.5703125" style="219" customWidth="1"/>
    <col min="2" max="2" width="7.7109375" style="222" customWidth="1"/>
    <col min="3" max="3" width="16.28515625" style="222" customWidth="1"/>
    <col min="4" max="4" width="15.7109375" style="222" customWidth="1"/>
    <col min="5" max="5" width="16.85546875" style="457" customWidth="1"/>
    <col min="6" max="6" width="16.85546875" style="222" customWidth="1"/>
    <col min="7" max="7" width="16.85546875" style="457" customWidth="1"/>
    <col min="8" max="8" width="16.85546875" style="222" customWidth="1"/>
    <col min="9" max="9" width="16.85546875" style="457" customWidth="1"/>
    <col min="10" max="10" width="16.85546875" style="222" customWidth="1"/>
    <col min="11" max="11" width="16.85546875" style="457" customWidth="1"/>
    <col min="12" max="12" width="16.85546875" style="222" customWidth="1"/>
    <col min="13" max="13" width="16.85546875" style="457" customWidth="1"/>
    <col min="14" max="16" width="16.85546875" style="222" customWidth="1"/>
    <col min="17" max="17" width="4.7109375" style="222" customWidth="1"/>
    <col min="18" max="18" width="4.7109375" style="219" customWidth="1"/>
    <col min="19" max="19" width="51.85546875" style="456" customWidth="1"/>
    <col min="20" max="20" width="6" style="456" customWidth="1"/>
    <col min="21" max="22" width="5.42578125" style="456" customWidth="1"/>
    <col min="23" max="28" width="11.140625" style="456" customWidth="1"/>
    <col min="29" max="29" width="12.140625" style="219" customWidth="1"/>
    <col min="30" max="30" width="9.140625" style="219" customWidth="1"/>
    <col min="31" max="31" width="19" style="219" customWidth="1"/>
    <col min="32" max="35" width="9.140625" style="219" customWidth="1"/>
    <col min="36" max="36" width="11" style="219" customWidth="1"/>
    <col min="37" max="40" width="11" style="219" hidden="1" customWidth="1"/>
    <col min="41" max="44" width="11" style="222" hidden="1" customWidth="1"/>
    <col min="45" max="45" width="11" style="530" hidden="1" customWidth="1"/>
    <col min="46" max="98" width="11" style="222" hidden="1" customWidth="1"/>
    <col min="99" max="99" width="11" style="223" hidden="1" customWidth="1"/>
    <col min="100" max="101" width="79.5703125" style="223" hidden="1" customWidth="1"/>
    <col min="102" max="102" width="79.5703125" style="222" hidden="1" customWidth="1"/>
    <col min="103" max="111" width="12.7109375" style="222" hidden="1" customWidth="1"/>
    <col min="112" max="115" width="12.7109375" style="223" hidden="1" customWidth="1"/>
    <col min="116" max="122" width="79.5703125" style="223" hidden="1" customWidth="1"/>
    <col min="123" max="156" width="79.5703125" style="222" hidden="1" customWidth="1"/>
    <col min="157" max="16384" width="11.42578125" style="222"/>
  </cols>
  <sheetData>
    <row r="1" spans="1:122" ht="66" customHeight="1" x14ac:dyDescent="0.2">
      <c r="R1" s="220" t="s">
        <v>744</v>
      </c>
    </row>
    <row r="2" spans="1:122" s="219" customFormat="1" ht="21.95" customHeight="1" x14ac:dyDescent="0.2">
      <c r="A2" s="218"/>
      <c r="C2" s="220" t="str">
        <f>'Deckblatt Gruender|Data Founder'!$D$8</f>
        <v>Deutsch</v>
      </c>
      <c r="E2" s="456"/>
      <c r="G2" s="456"/>
      <c r="I2" s="456"/>
      <c r="K2" s="456"/>
      <c r="M2" s="456"/>
      <c r="R2" s="220">
        <v>2</v>
      </c>
      <c r="T2" s="224" t="s">
        <v>229</v>
      </c>
      <c r="U2" s="464"/>
      <c r="V2" s="456"/>
      <c r="W2" s="456"/>
      <c r="X2" s="456"/>
      <c r="Y2" s="465"/>
      <c r="Z2" s="465"/>
      <c r="AA2" s="465"/>
      <c r="AB2" s="465"/>
      <c r="AS2" s="353"/>
      <c r="CQ2" s="222"/>
      <c r="CR2" s="222"/>
      <c r="CS2" s="222"/>
      <c r="CT2" s="222"/>
      <c r="CU2" s="223"/>
      <c r="CV2" s="223" t="s">
        <v>261</v>
      </c>
      <c r="CW2" s="223" t="s">
        <v>299</v>
      </c>
      <c r="CX2" s="39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 ca="1">"Jahr "&amp;'1 Pers.Ausgaben|Pers Expenses'!C4</f>
        <v>Jahr 2017</v>
      </c>
      <c r="DL2" s="223"/>
      <c r="DM2" s="223"/>
      <c r="DN2" s="223"/>
      <c r="DO2" s="223"/>
      <c r="DP2" s="223"/>
      <c r="DQ2" s="223"/>
      <c r="DR2" s="223"/>
    </row>
    <row r="3" spans="1:122" s="225" customFormat="1" ht="24.75" x14ac:dyDescent="0.3">
      <c r="B3" s="460" t="str">
        <f ca="1">IF($C$2="English",CW3,CV3)</f>
        <v>3a  Geplante Anschaffungen (ohne MwSt) und deren Abschreibungen 2017 - 2021 in EURO</v>
      </c>
      <c r="C3" s="466"/>
      <c r="E3" s="467"/>
      <c r="G3" s="467"/>
      <c r="I3" s="467"/>
      <c r="K3" s="467"/>
      <c r="M3" s="467"/>
      <c r="O3" s="421" t="s">
        <v>759</v>
      </c>
      <c r="R3" s="220">
        <v>3</v>
      </c>
      <c r="T3" s="36" t="s">
        <v>310</v>
      </c>
      <c r="U3" s="467"/>
      <c r="V3" s="468"/>
      <c r="W3" s="469"/>
      <c r="X3" s="467"/>
      <c r="Y3" s="469"/>
      <c r="Z3" s="469"/>
      <c r="AA3" s="469"/>
      <c r="AB3" s="469"/>
      <c r="AS3" s="353"/>
      <c r="CQ3" s="259"/>
      <c r="CR3" s="259"/>
      <c r="CS3" s="259"/>
      <c r="CT3" s="259"/>
      <c r="CU3" s="259"/>
      <c r="CV3" s="470" t="str">
        <f ca="1">"3a  Geplante Anschaffungen (" &amp; IF($C$4&lt;&gt;1,"ohne MwSt)","mit MwSt)") &amp;" und deren Abschreibungen "&amp; '1 Pers.Ausgaben|Pers Expenses'!$C$4 &amp;" - "&amp;  '1 Pers.Ausgaben|Pers Expenses'!$C$4+4 &amp; " in EURO"</f>
        <v>3a  Geplante Anschaffungen (ohne MwSt) und deren Abschreibungen 2017 - 2021 in EURO</v>
      </c>
      <c r="CW3" s="470" t="str">
        <f ca="1">"3a  Planned Capital Expenditures (" &amp; IF($C$4&lt;&gt;1,"w/o VAT)","incl. VAT)") &amp;" and depreciation "&amp; '1 Pers.Ausgaben|Pers Expenses'!$C$4 &amp;" - "&amp;  '1 Pers.Ausgaben|Pers Expenses'!$C$4+4 &amp; " in EURO"</f>
        <v>3a  Planned Capital Expenditures (w/o VAT) and depreciation 2017 - 2021 in EURO</v>
      </c>
      <c r="CX3" s="39"/>
      <c r="CY3" s="39" t="s">
        <v>73</v>
      </c>
      <c r="CZ3" s="39" t="s">
        <v>74</v>
      </c>
      <c r="DA3" s="39" t="s">
        <v>306</v>
      </c>
      <c r="DB3" s="39" t="s">
        <v>76</v>
      </c>
      <c r="DC3" s="39" t="s">
        <v>303</v>
      </c>
      <c r="DD3" s="39" t="s">
        <v>304</v>
      </c>
      <c r="DE3" s="39" t="s">
        <v>305</v>
      </c>
      <c r="DF3" s="39" t="s">
        <v>79</v>
      </c>
      <c r="DG3" s="39" t="s">
        <v>307</v>
      </c>
      <c r="DH3" s="39" t="s">
        <v>308</v>
      </c>
      <c r="DI3" s="39" t="s">
        <v>82</v>
      </c>
      <c r="DJ3" s="39" t="s">
        <v>309</v>
      </c>
      <c r="DK3" s="39" t="str">
        <f ca="1">"Year "&amp;'1 Pers.Ausgaben|Pers Expenses'!C4</f>
        <v>Year 2017</v>
      </c>
      <c r="DL3" s="471"/>
      <c r="DM3" s="471"/>
      <c r="DN3" s="471"/>
      <c r="DO3" s="471"/>
      <c r="DP3" s="471"/>
      <c r="DQ3" s="471"/>
      <c r="DR3" s="471"/>
    </row>
    <row r="4" spans="1:122" s="225" customFormat="1" ht="15" thickBot="1" x14ac:dyDescent="0.25">
      <c r="C4" s="220">
        <f>'Deckblatt Gruender|Data Founder'!M1</f>
        <v>0</v>
      </c>
      <c r="D4" s="250"/>
      <c r="E4" s="467"/>
      <c r="G4" s="467"/>
      <c r="I4" s="467"/>
      <c r="K4" s="467"/>
      <c r="M4" s="467"/>
      <c r="O4" s="221"/>
      <c r="R4" s="220">
        <v>4</v>
      </c>
      <c r="T4" s="36"/>
      <c r="U4" s="467"/>
      <c r="V4" s="468"/>
      <c r="W4" s="469"/>
      <c r="X4" s="467"/>
      <c r="Y4" s="469"/>
      <c r="Z4" s="469"/>
      <c r="AA4" s="469"/>
      <c r="AB4" s="469"/>
      <c r="AS4" s="353"/>
      <c r="CQ4" s="259"/>
      <c r="CR4" s="259"/>
      <c r="CS4" s="259"/>
      <c r="CT4" s="259"/>
      <c r="CU4" s="471"/>
      <c r="CV4" s="233" t="s">
        <v>547</v>
      </c>
      <c r="CW4" s="233" t="s">
        <v>416</v>
      </c>
      <c r="CX4" s="259"/>
      <c r="CY4" s="259"/>
      <c r="CZ4" s="259"/>
      <c r="DA4" s="259"/>
      <c r="DB4" s="259"/>
      <c r="DC4" s="259"/>
      <c r="DD4" s="259"/>
      <c r="DE4" s="259"/>
      <c r="DF4" s="259"/>
      <c r="DG4" s="259"/>
      <c r="DH4" s="471"/>
      <c r="DI4" s="471"/>
      <c r="DJ4" s="471"/>
      <c r="DK4" s="471"/>
      <c r="DL4" s="471"/>
      <c r="DM4" s="471"/>
      <c r="DN4" s="471"/>
      <c r="DO4" s="471"/>
      <c r="DP4" s="471"/>
      <c r="DQ4" s="471"/>
      <c r="DR4" s="471"/>
    </row>
    <row r="5" spans="1:122" s="475" customFormat="1" ht="36.950000000000003" customHeight="1" thickBot="1" x14ac:dyDescent="0.25">
      <c r="A5" s="256"/>
      <c r="B5" s="472" t="s">
        <v>302</v>
      </c>
      <c r="C5" s="1605" t="str">
        <f>IF($C$2="English",CW5,CV5)</f>
        <v>Anschaffungen</v>
      </c>
      <c r="D5" s="1606"/>
      <c r="E5" s="473" t="str">
        <f ca="1">IF($C$2="English","Value      ","Betrag    ")&amp;'1 Pers.Ausgaben|Pers Expenses'!$C$4</f>
        <v>Betrag    2017</v>
      </c>
      <c r="F5" s="474" t="str">
        <f>IF($C$2="English",CW4,CV4)</f>
        <v>Investmonat</v>
      </c>
      <c r="G5" s="473" t="str">
        <f ca="1">IF($C$2="English","Value      ","Betrag    ")&amp;'1 Pers.Ausgaben|Pers Expenses'!$C$4+1</f>
        <v>Betrag    2018</v>
      </c>
      <c r="H5" s="474" t="str">
        <f>F5</f>
        <v>Investmonat</v>
      </c>
      <c r="I5" s="473" t="str">
        <f ca="1">IF($C$2="English","Value      ","Betrag    ")&amp;'1 Pers.Ausgaben|Pers Expenses'!$C$4+2</f>
        <v>Betrag    2019</v>
      </c>
      <c r="J5" s="474" t="str">
        <f>F5</f>
        <v>Investmonat</v>
      </c>
      <c r="K5" s="473" t="str">
        <f ca="1">IF($C$2="English","Value      ","Betrag    ")&amp;'1 Pers.Ausgaben|Pers Expenses'!$C$4+3</f>
        <v>Betrag    2020</v>
      </c>
      <c r="L5" s="474" t="str">
        <f>F5</f>
        <v>Investmonat</v>
      </c>
      <c r="M5" s="473" t="str">
        <f ca="1">IF($C$2="English","Value      ","Betrag    ")&amp;'1 Pers.Ausgaben|Pers Expenses'!$C$4+4</f>
        <v>Betrag    2021</v>
      </c>
      <c r="N5" s="474" t="str">
        <f>F5</f>
        <v>Investmonat</v>
      </c>
      <c r="O5" s="474" t="s">
        <v>760</v>
      </c>
      <c r="P5" s="1362" t="str">
        <f>IF($C$2="English",CW15,CV15)</f>
        <v>Jahre der
Abschreibung</v>
      </c>
      <c r="Q5" s="34" t="s">
        <v>702</v>
      </c>
      <c r="R5" s="459">
        <v>5</v>
      </c>
      <c r="S5" s="54" t="str">
        <f>IF(C2="English",T3,T2)</f>
        <v>Aufgaben und/oder Kommentar</v>
      </c>
      <c r="T5" s="256"/>
      <c r="U5" s="459"/>
      <c r="V5" s="459">
        <f ca="1">'1 Pers.Ausgaben|Pers Expenses'!C4</f>
        <v>2017</v>
      </c>
      <c r="W5" s="459"/>
      <c r="X5" s="459">
        <f ca="1">V5+1</f>
        <v>2018</v>
      </c>
      <c r="Y5" s="459"/>
      <c r="Z5" s="459">
        <f ca="1">X5+1</f>
        <v>2019</v>
      </c>
      <c r="AA5" s="459"/>
      <c r="AB5" s="459">
        <f ca="1">Z5+1</f>
        <v>2020</v>
      </c>
      <c r="AC5" s="459"/>
      <c r="AD5" s="459">
        <f ca="1">AB5+1</f>
        <v>2021</v>
      </c>
      <c r="AE5" s="459"/>
      <c r="AF5" s="256"/>
      <c r="AG5" s="256"/>
      <c r="AH5" s="256"/>
      <c r="AI5" s="256"/>
      <c r="AJ5" s="256"/>
      <c r="AK5" s="256"/>
      <c r="AL5" s="256"/>
      <c r="AM5" s="256"/>
      <c r="AN5" s="256"/>
      <c r="AS5" s="476"/>
      <c r="CU5" s="477"/>
      <c r="CV5" s="478" t="s">
        <v>722</v>
      </c>
      <c r="CW5" s="479" t="s">
        <v>723</v>
      </c>
      <c r="DH5" s="446"/>
      <c r="DI5" s="446"/>
      <c r="DJ5" s="446"/>
      <c r="DK5" s="446"/>
      <c r="DL5" s="446"/>
      <c r="DM5" s="446"/>
      <c r="DN5" s="446"/>
      <c r="DO5" s="446"/>
      <c r="DP5" s="446"/>
      <c r="DQ5" s="446"/>
      <c r="DR5" s="446"/>
    </row>
    <row r="6" spans="1:122" s="58" customFormat="1" x14ac:dyDescent="0.2">
      <c r="A6" s="55"/>
      <c r="B6" s="480">
        <v>1</v>
      </c>
      <c r="C6" s="1591" t="s">
        <v>256</v>
      </c>
      <c r="D6" s="1592"/>
      <c r="E6" s="1390"/>
      <c r="F6" s="1391"/>
      <c r="G6" s="1390"/>
      <c r="H6" s="1391"/>
      <c r="I6" s="1390"/>
      <c r="J6" s="1391"/>
      <c r="K6" s="1390"/>
      <c r="L6" s="1391"/>
      <c r="M6" s="1390"/>
      <c r="N6" s="1391"/>
      <c r="O6" s="1391"/>
      <c r="P6" s="1540"/>
      <c r="Q6" s="225"/>
      <c r="R6" s="459">
        <v>6</v>
      </c>
      <c r="S6" s="1543"/>
      <c r="T6" s="481"/>
      <c r="U6" s="96"/>
      <c r="V6" s="538" t="str">
        <f>IF(AND($O6="ja",E6&gt;0),F6,"")</f>
        <v/>
      </c>
      <c r="W6" s="538" t="str">
        <f>IF(V6&lt;&gt;"",E6,"")</f>
        <v/>
      </c>
      <c r="X6" s="538" t="str">
        <f>IF(AND($O6="ja",G6&gt;0),H6,"")</f>
        <v/>
      </c>
      <c r="Y6" s="538" t="str">
        <f>IF(X6&lt;&gt;"",G6,"")</f>
        <v/>
      </c>
      <c r="Z6" s="538" t="str">
        <f>IF(AND($O6="ja",I6&gt;0),J6,"")</f>
        <v/>
      </c>
      <c r="AA6" s="538" t="str">
        <f>IF(Z6&lt;&gt;"",I6,"")</f>
        <v/>
      </c>
      <c r="AB6" s="538" t="str">
        <f>IF(AND($O6="ja",K6&gt;0),L6,"")</f>
        <v/>
      </c>
      <c r="AC6" s="538" t="str">
        <f>IF(AB6&lt;&gt;"",K6,"")</f>
        <v/>
      </c>
      <c r="AD6" s="538" t="str">
        <f>IF(AND($O6="ja",M6&gt;0),N6,"")</f>
        <v/>
      </c>
      <c r="AE6" s="538" t="str">
        <f>IF(AD6&lt;&gt;"",M6,"")</f>
        <v/>
      </c>
      <c r="AF6" s="55"/>
      <c r="AG6" s="55"/>
      <c r="AH6" s="55"/>
      <c r="AI6" s="55"/>
      <c r="AJ6" s="55"/>
      <c r="AK6" s="55"/>
      <c r="AL6" s="55"/>
      <c r="AM6" s="55"/>
      <c r="AN6" s="55"/>
      <c r="AS6" s="482"/>
      <c r="CU6" s="483"/>
      <c r="CV6" s="484" t="s">
        <v>256</v>
      </c>
      <c r="CW6" s="479" t="s">
        <v>641</v>
      </c>
      <c r="DH6" s="39"/>
      <c r="DI6" s="39"/>
      <c r="DJ6" s="39"/>
      <c r="DK6" s="39"/>
      <c r="DL6" s="39"/>
      <c r="DM6" s="39"/>
      <c r="DN6" s="39"/>
      <c r="DO6" s="39"/>
      <c r="DP6" s="39"/>
      <c r="DQ6" s="39"/>
      <c r="DR6" s="39"/>
    </row>
    <row r="7" spans="1:122" s="58" customFormat="1" x14ac:dyDescent="0.2">
      <c r="A7" s="55"/>
      <c r="B7" s="480">
        <v>2</v>
      </c>
      <c r="C7" s="1591" t="s">
        <v>174</v>
      </c>
      <c r="D7" s="1592"/>
      <c r="E7" s="1392"/>
      <c r="F7" s="1393"/>
      <c r="G7" s="1392"/>
      <c r="H7" s="1393"/>
      <c r="I7" s="1392"/>
      <c r="J7" s="1393"/>
      <c r="K7" s="1392"/>
      <c r="L7" s="1393"/>
      <c r="M7" s="1392"/>
      <c r="N7" s="1393"/>
      <c r="O7" s="1393"/>
      <c r="P7" s="1541"/>
      <c r="Q7" s="225"/>
      <c r="R7" s="459">
        <v>7</v>
      </c>
      <c r="S7" s="1544"/>
      <c r="T7" s="481"/>
      <c r="U7" s="96"/>
      <c r="V7" s="538" t="str">
        <f t="shared" ref="V7:X12" si="0">IF(AND($O7="ja",E7&gt;0),F7,"")</f>
        <v/>
      </c>
      <c r="W7" s="538" t="str">
        <f>IF(V7&lt;&gt;"",E7,"")</f>
        <v/>
      </c>
      <c r="X7" s="538" t="str">
        <f t="shared" si="0"/>
        <v/>
      </c>
      <c r="Y7" s="538" t="str">
        <f>IF(X7&lt;&gt;"",G7,"")</f>
        <v/>
      </c>
      <c r="Z7" s="538" t="str">
        <f t="shared" ref="Z7:Z12" si="1">IF(AND($O7="ja",I7&gt;0),J7,"")</f>
        <v/>
      </c>
      <c r="AA7" s="538" t="str">
        <f>IF(Z7&lt;&gt;"",I7,"")</f>
        <v/>
      </c>
      <c r="AB7" s="538" t="str">
        <f t="shared" ref="AB7:AB12" si="2">IF(AND($O7="ja",K7&gt;0),L7,"")</f>
        <v/>
      </c>
      <c r="AC7" s="538" t="str">
        <f>IF(AB7&lt;&gt;"",K7,"")</f>
        <v/>
      </c>
      <c r="AD7" s="538" t="str">
        <f t="shared" ref="AD7:AD12" si="3">IF(AND($O7="ja",M7&gt;0),N7,"")</f>
        <v/>
      </c>
      <c r="AE7" s="538" t="str">
        <f>IF(AD7&lt;&gt;"",M7,"")</f>
        <v/>
      </c>
      <c r="AF7" s="55"/>
      <c r="AG7" s="55"/>
      <c r="AH7" s="55"/>
      <c r="AI7" s="55"/>
      <c r="AJ7" s="55"/>
      <c r="AK7" s="55"/>
      <c r="AL7" s="55"/>
      <c r="AM7" s="55"/>
      <c r="AN7" s="55"/>
      <c r="AS7" s="482"/>
      <c r="CU7" s="483"/>
      <c r="CV7" s="484" t="s">
        <v>174</v>
      </c>
      <c r="CW7" s="479" t="s">
        <v>642</v>
      </c>
      <c r="DH7" s="39"/>
      <c r="DI7" s="39"/>
      <c r="DJ7" s="39"/>
      <c r="DK7" s="39"/>
      <c r="DL7" s="39"/>
      <c r="DM7" s="39"/>
      <c r="DN7" s="39"/>
      <c r="DO7" s="39"/>
      <c r="DP7" s="39"/>
      <c r="DQ7" s="39"/>
      <c r="DR7" s="39"/>
    </row>
    <row r="8" spans="1:122" s="58" customFormat="1" x14ac:dyDescent="0.2">
      <c r="A8" s="55"/>
      <c r="B8" s="480">
        <v>3</v>
      </c>
      <c r="C8" s="1591" t="s">
        <v>175</v>
      </c>
      <c r="D8" s="1592"/>
      <c r="E8" s="1392"/>
      <c r="F8" s="1393"/>
      <c r="G8" s="1392"/>
      <c r="H8" s="1393"/>
      <c r="I8" s="1392"/>
      <c r="J8" s="1393"/>
      <c r="K8" s="1392"/>
      <c r="L8" s="1393"/>
      <c r="M8" s="1392"/>
      <c r="N8" s="1393"/>
      <c r="O8" s="1393"/>
      <c r="P8" s="1541"/>
      <c r="Q8" s="225"/>
      <c r="R8" s="459">
        <v>8</v>
      </c>
      <c r="S8" s="1544"/>
      <c r="T8" s="481"/>
      <c r="U8" s="1558"/>
      <c r="V8" s="538" t="str">
        <f t="shared" si="0"/>
        <v/>
      </c>
      <c r="W8" s="538" t="str">
        <f t="shared" ref="W8:Y12" si="4">IF(V8&lt;&gt;"",E8,"")</f>
        <v/>
      </c>
      <c r="X8" s="538" t="str">
        <f t="shared" si="0"/>
        <v/>
      </c>
      <c r="Y8" s="538" t="str">
        <f t="shared" si="4"/>
        <v/>
      </c>
      <c r="Z8" s="538" t="str">
        <f t="shared" si="1"/>
        <v/>
      </c>
      <c r="AA8" s="538" t="str">
        <f t="shared" ref="AA8:AA12" si="5">IF(Z8&lt;&gt;"",I8,"")</f>
        <v/>
      </c>
      <c r="AB8" s="538" t="str">
        <f t="shared" si="2"/>
        <v/>
      </c>
      <c r="AC8" s="538" t="str">
        <f t="shared" ref="AC8:AC12" si="6">IF(AB8&lt;&gt;"",K8,"")</f>
        <v/>
      </c>
      <c r="AD8" s="538" t="str">
        <f t="shared" si="3"/>
        <v/>
      </c>
      <c r="AE8" s="538" t="str">
        <f t="shared" ref="AE8:AE12" si="7">IF(AD8&lt;&gt;"",M8,"")</f>
        <v/>
      </c>
      <c r="AF8" s="55"/>
      <c r="AG8" s="55"/>
      <c r="AH8" s="55"/>
      <c r="AI8" s="55"/>
      <c r="AJ8" s="55"/>
      <c r="AK8" s="55"/>
      <c r="AL8" s="55"/>
      <c r="AM8" s="55"/>
      <c r="AN8" s="55"/>
      <c r="AS8" s="482"/>
      <c r="CU8" s="483"/>
      <c r="CV8" s="484" t="s">
        <v>175</v>
      </c>
      <c r="CW8" s="479" t="s">
        <v>643</v>
      </c>
      <c r="DH8" s="39"/>
      <c r="DI8" s="39"/>
      <c r="DJ8" s="39"/>
      <c r="DK8" s="39"/>
      <c r="DL8" s="39"/>
      <c r="DM8" s="39"/>
      <c r="DN8" s="39"/>
      <c r="DO8" s="39"/>
      <c r="DP8" s="39"/>
      <c r="DQ8" s="39"/>
      <c r="DR8" s="39"/>
    </row>
    <row r="9" spans="1:122" s="58" customFormat="1" x14ac:dyDescent="0.2">
      <c r="A9" s="55"/>
      <c r="B9" s="480">
        <v>4</v>
      </c>
      <c r="C9" s="1591" t="s">
        <v>176</v>
      </c>
      <c r="D9" s="1592"/>
      <c r="E9" s="1392"/>
      <c r="F9" s="1393"/>
      <c r="G9" s="1392"/>
      <c r="H9" s="1393"/>
      <c r="I9" s="1392"/>
      <c r="J9" s="1393"/>
      <c r="K9" s="1392"/>
      <c r="L9" s="1393"/>
      <c r="M9" s="1392"/>
      <c r="N9" s="1393"/>
      <c r="O9" s="1393"/>
      <c r="P9" s="1541"/>
      <c r="Q9" s="225"/>
      <c r="R9" s="459">
        <v>9</v>
      </c>
      <c r="S9" s="1544"/>
      <c r="T9" s="481"/>
      <c r="U9" s="1558"/>
      <c r="V9" s="538" t="str">
        <f t="shared" si="0"/>
        <v/>
      </c>
      <c r="W9" s="538" t="str">
        <f t="shared" si="4"/>
        <v/>
      </c>
      <c r="X9" s="538" t="str">
        <f t="shared" si="0"/>
        <v/>
      </c>
      <c r="Y9" s="538" t="str">
        <f t="shared" si="4"/>
        <v/>
      </c>
      <c r="Z9" s="538" t="str">
        <f t="shared" si="1"/>
        <v/>
      </c>
      <c r="AA9" s="538" t="str">
        <f t="shared" si="5"/>
        <v/>
      </c>
      <c r="AB9" s="538" t="str">
        <f t="shared" si="2"/>
        <v/>
      </c>
      <c r="AC9" s="538" t="str">
        <f t="shared" si="6"/>
        <v/>
      </c>
      <c r="AD9" s="538" t="str">
        <f t="shared" si="3"/>
        <v/>
      </c>
      <c r="AE9" s="538" t="str">
        <f t="shared" si="7"/>
        <v/>
      </c>
      <c r="AF9" s="55"/>
      <c r="AG9" s="55"/>
      <c r="AH9" s="55"/>
      <c r="AI9" s="55"/>
      <c r="AJ9" s="55"/>
      <c r="AK9" s="55"/>
      <c r="AL9" s="55"/>
      <c r="AM9" s="55"/>
      <c r="AN9" s="55"/>
      <c r="AS9" s="482"/>
      <c r="CU9" s="483"/>
      <c r="CV9" s="484" t="s">
        <v>176</v>
      </c>
      <c r="CW9" s="479" t="s">
        <v>644</v>
      </c>
      <c r="DH9" s="39"/>
      <c r="DI9" s="39"/>
      <c r="DJ9" s="39"/>
      <c r="DK9" s="39"/>
      <c r="DL9" s="39"/>
      <c r="DM9" s="39"/>
      <c r="DN9" s="39"/>
      <c r="DO9" s="39"/>
      <c r="DP9" s="39"/>
      <c r="DQ9" s="39"/>
      <c r="DR9" s="39"/>
    </row>
    <row r="10" spans="1:122" s="58" customFormat="1" x14ac:dyDescent="0.2">
      <c r="A10" s="55"/>
      <c r="B10" s="480">
        <v>5</v>
      </c>
      <c r="C10" s="1591" t="s">
        <v>102</v>
      </c>
      <c r="D10" s="1592"/>
      <c r="E10" s="1392"/>
      <c r="F10" s="1393"/>
      <c r="G10" s="1392"/>
      <c r="H10" s="1393"/>
      <c r="I10" s="1392"/>
      <c r="J10" s="1393"/>
      <c r="K10" s="1392"/>
      <c r="L10" s="1393"/>
      <c r="M10" s="1392"/>
      <c r="N10" s="1393"/>
      <c r="O10" s="1393"/>
      <c r="P10" s="1541"/>
      <c r="Q10" s="225"/>
      <c r="R10" s="459">
        <v>10</v>
      </c>
      <c r="S10" s="1544"/>
      <c r="T10" s="481"/>
      <c r="U10" s="1558"/>
      <c r="V10" s="538" t="str">
        <f t="shared" si="0"/>
        <v/>
      </c>
      <c r="W10" s="538" t="str">
        <f t="shared" si="4"/>
        <v/>
      </c>
      <c r="X10" s="538" t="str">
        <f t="shared" si="0"/>
        <v/>
      </c>
      <c r="Y10" s="538" t="str">
        <f t="shared" si="4"/>
        <v/>
      </c>
      <c r="Z10" s="538" t="str">
        <f t="shared" si="1"/>
        <v/>
      </c>
      <c r="AA10" s="538" t="str">
        <f t="shared" si="5"/>
        <v/>
      </c>
      <c r="AB10" s="538" t="str">
        <f t="shared" si="2"/>
        <v/>
      </c>
      <c r="AC10" s="538" t="str">
        <f t="shared" si="6"/>
        <v/>
      </c>
      <c r="AD10" s="538" t="str">
        <f t="shared" si="3"/>
        <v/>
      </c>
      <c r="AE10" s="538" t="str">
        <f t="shared" si="7"/>
        <v/>
      </c>
      <c r="AF10" s="55"/>
      <c r="AG10" s="55"/>
      <c r="AH10" s="55"/>
      <c r="AI10" s="55"/>
      <c r="AJ10" s="55"/>
      <c r="AK10" s="55"/>
      <c r="AL10" s="55"/>
      <c r="AM10" s="55"/>
      <c r="AN10" s="55"/>
      <c r="AS10" s="482"/>
      <c r="CU10" s="483"/>
      <c r="CV10" s="484" t="s">
        <v>102</v>
      </c>
      <c r="CW10" s="479" t="s">
        <v>645</v>
      </c>
      <c r="DH10" s="39"/>
      <c r="DI10" s="39"/>
      <c r="DJ10" s="39"/>
      <c r="DK10" s="39"/>
      <c r="DL10" s="39"/>
      <c r="DM10" s="39"/>
      <c r="DN10" s="39"/>
      <c r="DO10" s="39"/>
      <c r="DP10" s="39"/>
      <c r="DQ10" s="39"/>
      <c r="DR10" s="39"/>
    </row>
    <row r="11" spans="1:122" s="58" customFormat="1" x14ac:dyDescent="0.2">
      <c r="A11" s="55"/>
      <c r="B11" s="480">
        <v>6</v>
      </c>
      <c r="C11" s="1591" t="s">
        <v>103</v>
      </c>
      <c r="D11" s="1592"/>
      <c r="E11" s="1392"/>
      <c r="F11" s="1393"/>
      <c r="G11" s="1392"/>
      <c r="H11" s="1393"/>
      <c r="I11" s="1392"/>
      <c r="J11" s="1393"/>
      <c r="K11" s="1392"/>
      <c r="L11" s="1393"/>
      <c r="M11" s="1392"/>
      <c r="N11" s="1393"/>
      <c r="O11" s="1393"/>
      <c r="P11" s="1541"/>
      <c r="Q11" s="225"/>
      <c r="R11" s="459">
        <v>12</v>
      </c>
      <c r="S11" s="1543"/>
      <c r="T11" s="481"/>
      <c r="U11" s="1558"/>
      <c r="V11" s="538" t="str">
        <f t="shared" si="0"/>
        <v/>
      </c>
      <c r="W11" s="538" t="str">
        <f t="shared" si="4"/>
        <v/>
      </c>
      <c r="X11" s="538" t="str">
        <f t="shared" si="0"/>
        <v/>
      </c>
      <c r="Y11" s="538" t="str">
        <f t="shared" si="4"/>
        <v/>
      </c>
      <c r="Z11" s="538" t="str">
        <f t="shared" si="1"/>
        <v/>
      </c>
      <c r="AA11" s="538" t="str">
        <f t="shared" si="5"/>
        <v/>
      </c>
      <c r="AB11" s="538" t="str">
        <f t="shared" si="2"/>
        <v/>
      </c>
      <c r="AC11" s="538" t="str">
        <f t="shared" si="6"/>
        <v/>
      </c>
      <c r="AD11" s="538" t="str">
        <f t="shared" si="3"/>
        <v/>
      </c>
      <c r="AE11" s="538" t="str">
        <f t="shared" si="7"/>
        <v/>
      </c>
      <c r="AF11" s="55"/>
      <c r="AG11" s="55"/>
      <c r="AH11" s="55"/>
      <c r="AI11" s="55"/>
      <c r="AJ11" s="55"/>
      <c r="AK11" s="55"/>
      <c r="AL11" s="55"/>
      <c r="AM11" s="55"/>
      <c r="AN11" s="55"/>
      <c r="AS11" s="482"/>
      <c r="CU11" s="483"/>
      <c r="CV11" s="484" t="s">
        <v>103</v>
      </c>
      <c r="CW11" s="479" t="s">
        <v>646</v>
      </c>
      <c r="DH11" s="39"/>
      <c r="DI11" s="39"/>
      <c r="DJ11" s="39"/>
      <c r="DK11" s="39"/>
      <c r="DL11" s="39"/>
      <c r="DM11" s="39"/>
      <c r="DN11" s="39"/>
      <c r="DO11" s="39"/>
      <c r="DP11" s="39"/>
      <c r="DQ11" s="39"/>
      <c r="DR11" s="39"/>
    </row>
    <row r="12" spans="1:122" s="58" customFormat="1" x14ac:dyDescent="0.2">
      <c r="A12" s="55"/>
      <c r="B12" s="480">
        <v>7</v>
      </c>
      <c r="C12" s="1607" t="s">
        <v>104</v>
      </c>
      <c r="D12" s="1608"/>
      <c r="E12" s="1394"/>
      <c r="F12" s="1395"/>
      <c r="G12" s="1394"/>
      <c r="H12" s="1395"/>
      <c r="I12" s="1394"/>
      <c r="J12" s="1395"/>
      <c r="K12" s="1394"/>
      <c r="L12" s="1395"/>
      <c r="M12" s="1394"/>
      <c r="N12" s="1395"/>
      <c r="O12" s="1395"/>
      <c r="P12" s="1541"/>
      <c r="Q12" s="225"/>
      <c r="R12" s="459">
        <v>15</v>
      </c>
      <c r="S12" s="1544"/>
      <c r="T12" s="481"/>
      <c r="U12" s="1558"/>
      <c r="V12" s="538" t="str">
        <f t="shared" si="0"/>
        <v/>
      </c>
      <c r="W12" s="538" t="str">
        <f t="shared" si="4"/>
        <v/>
      </c>
      <c r="X12" s="538" t="str">
        <f t="shared" si="0"/>
        <v/>
      </c>
      <c r="Y12" s="538" t="str">
        <f t="shared" si="4"/>
        <v/>
      </c>
      <c r="Z12" s="538" t="str">
        <f t="shared" si="1"/>
        <v/>
      </c>
      <c r="AA12" s="538" t="str">
        <f t="shared" si="5"/>
        <v/>
      </c>
      <c r="AB12" s="538" t="str">
        <f t="shared" si="2"/>
        <v/>
      </c>
      <c r="AC12" s="538" t="str">
        <f t="shared" si="6"/>
        <v/>
      </c>
      <c r="AD12" s="538" t="str">
        <f t="shared" si="3"/>
        <v/>
      </c>
      <c r="AE12" s="538" t="str">
        <f t="shared" si="7"/>
        <v/>
      </c>
      <c r="AF12" s="55"/>
      <c r="AG12" s="55"/>
      <c r="AH12" s="55"/>
      <c r="AI12" s="55"/>
      <c r="AJ12" s="55"/>
      <c r="AK12" s="55"/>
      <c r="AL12" s="55"/>
      <c r="AM12" s="55"/>
      <c r="AN12" s="55"/>
      <c r="AS12" s="482"/>
      <c r="CU12" s="483"/>
      <c r="CV12" s="484" t="s">
        <v>104</v>
      </c>
      <c r="CW12" s="479" t="s">
        <v>647</v>
      </c>
      <c r="DH12" s="39"/>
      <c r="DI12" s="39"/>
      <c r="DJ12" s="39"/>
      <c r="DK12" s="39"/>
      <c r="DL12" s="39"/>
      <c r="DM12" s="39"/>
      <c r="DN12" s="39"/>
      <c r="DO12" s="39"/>
      <c r="DP12" s="39"/>
      <c r="DQ12" s="39"/>
      <c r="DR12" s="39"/>
    </row>
    <row r="13" spans="1:122" s="489" customFormat="1" ht="15" thickBot="1" x14ac:dyDescent="0.25">
      <c r="A13" s="485"/>
      <c r="B13" s="486">
        <v>8</v>
      </c>
      <c r="C13" s="1609" t="str">
        <f>IF($C$2="English",CW13,CV13)</f>
        <v>Summe Sammelposten</v>
      </c>
      <c r="D13" s="1610"/>
      <c r="E13" s="487" t="str">
        <f>IF(E27=0,"",E27)</f>
        <v/>
      </c>
      <c r="F13" s="1129">
        <v>1</v>
      </c>
      <c r="G13" s="487"/>
      <c r="H13" s="1129">
        <v>1</v>
      </c>
      <c r="I13" s="487" t="str">
        <f>IF(K27=0,"",K27)</f>
        <v/>
      </c>
      <c r="J13" s="1129">
        <v>1</v>
      </c>
      <c r="K13" s="487" t="str">
        <f>IF(N27=0,"",N27)</f>
        <v/>
      </c>
      <c r="L13" s="1129">
        <v>1</v>
      </c>
      <c r="M13" s="1128"/>
      <c r="N13" s="1129">
        <v>1</v>
      </c>
      <c r="O13" s="256"/>
      <c r="P13" s="1542">
        <v>5</v>
      </c>
      <c r="Q13" s="225"/>
      <c r="R13" s="459">
        <v>20</v>
      </c>
      <c r="S13" s="122"/>
      <c r="T13" s="488"/>
      <c r="U13" s="1559"/>
      <c r="V13" s="1559">
        <v>1</v>
      </c>
      <c r="W13" s="1559">
        <f t="shared" ref="W13:W24" si="8">IFERROR(VLOOKUP(V13,$V$6:$W$12,2,FALSE),0)</f>
        <v>0</v>
      </c>
      <c r="X13" s="1559">
        <v>1</v>
      </c>
      <c r="Y13" s="1559">
        <f t="shared" ref="Y13:Y24" si="9">IFERROR(VLOOKUP(X13,$X$6:$Y$12,2,FALSE),0)</f>
        <v>0</v>
      </c>
      <c r="Z13" s="1559">
        <v>1</v>
      </c>
      <c r="AA13" s="1559">
        <f t="shared" ref="AA13:AA24" si="10">IFERROR(VLOOKUP(Z13,$Z$6:$AA$12,2,FALSE),0)</f>
        <v>0</v>
      </c>
      <c r="AB13" s="1559">
        <v>1</v>
      </c>
      <c r="AC13" s="1559">
        <f t="shared" ref="AC13:AC24" si="11">IFERROR(VLOOKUP(AB13,$AB$6:$AC$12,2,FALSE),0)</f>
        <v>0</v>
      </c>
      <c r="AD13" s="1559">
        <v>1</v>
      </c>
      <c r="AE13" s="1559">
        <f t="shared" ref="AE13:AE24" si="12">IFERROR(VLOOKUP(AD13,$AD$6:$AE$12,2,FALSE),0)</f>
        <v>0</v>
      </c>
      <c r="AF13" s="485"/>
      <c r="AG13" s="485"/>
      <c r="AH13" s="485"/>
      <c r="AI13" s="485"/>
      <c r="AJ13" s="485"/>
      <c r="AK13" s="485"/>
      <c r="AL13" s="485"/>
      <c r="AM13" s="485"/>
      <c r="AN13" s="485"/>
      <c r="AS13" s="490"/>
      <c r="CU13" s="491"/>
      <c r="CV13" s="492" t="s">
        <v>160</v>
      </c>
      <c r="CW13" s="479" t="s">
        <v>335</v>
      </c>
      <c r="DH13" s="492"/>
      <c r="DI13" s="492"/>
      <c r="DJ13" s="492"/>
      <c r="DK13" s="492"/>
      <c r="DL13" s="492"/>
      <c r="DM13" s="492"/>
      <c r="DN13" s="492"/>
      <c r="DO13" s="492"/>
      <c r="DP13" s="492"/>
      <c r="DQ13" s="492"/>
      <c r="DR13" s="492"/>
    </row>
    <row r="14" spans="1:122" s="489" customFormat="1" ht="15.75" thickTop="1" thickBot="1" x14ac:dyDescent="0.25">
      <c r="A14" s="485"/>
      <c r="B14" s="493"/>
      <c r="C14" s="494" t="str">
        <f>IF($C$2="English",CW14,CV14)</f>
        <v>Summe Anschaffungen</v>
      </c>
      <c r="D14" s="495"/>
      <c r="E14" s="495">
        <f>SUM(E6:E13)</f>
        <v>0</v>
      </c>
      <c r="F14" s="1149"/>
      <c r="G14" s="495">
        <f>SUM(G6:G13)</f>
        <v>0</v>
      </c>
      <c r="H14" s="1149"/>
      <c r="I14" s="495">
        <f>SUM(I6:I13)</f>
        <v>0</v>
      </c>
      <c r="J14" s="1149"/>
      <c r="K14" s="495">
        <f>SUM(K6:K13)</f>
        <v>0</v>
      </c>
      <c r="L14" s="1149"/>
      <c r="M14" s="495">
        <f>SUM(M6:M13)</f>
        <v>0</v>
      </c>
      <c r="N14" s="496"/>
      <c r="O14" s="256"/>
      <c r="P14" s="485"/>
      <c r="Q14" s="225"/>
      <c r="R14" s="459">
        <v>25</v>
      </c>
      <c r="S14" s="122"/>
      <c r="T14" s="497"/>
      <c r="U14" s="538"/>
      <c r="V14" s="1559">
        <v>2</v>
      </c>
      <c r="W14" s="1559">
        <f t="shared" si="8"/>
        <v>0</v>
      </c>
      <c r="X14" s="1559">
        <v>2</v>
      </c>
      <c r="Y14" s="1559">
        <f t="shared" si="9"/>
        <v>0</v>
      </c>
      <c r="Z14" s="1559">
        <v>2</v>
      </c>
      <c r="AA14" s="1559">
        <f t="shared" si="10"/>
        <v>0</v>
      </c>
      <c r="AB14" s="1559">
        <v>2</v>
      </c>
      <c r="AC14" s="1559">
        <f t="shared" si="11"/>
        <v>0</v>
      </c>
      <c r="AD14" s="1559">
        <v>2</v>
      </c>
      <c r="AE14" s="1559">
        <f t="shared" si="12"/>
        <v>0</v>
      </c>
      <c r="AF14" s="485"/>
      <c r="AG14" s="485"/>
      <c r="AH14" s="485"/>
      <c r="AI14" s="485"/>
      <c r="AJ14" s="485"/>
      <c r="AK14" s="485"/>
      <c r="AL14" s="485"/>
      <c r="AM14" s="485"/>
      <c r="AN14" s="485"/>
      <c r="AS14" s="490"/>
      <c r="CU14" s="498"/>
      <c r="CV14" s="498" t="s">
        <v>150</v>
      </c>
      <c r="CW14" s="479" t="s">
        <v>648</v>
      </c>
      <c r="DH14" s="492"/>
      <c r="DI14" s="492"/>
      <c r="DJ14" s="492"/>
      <c r="DK14" s="492"/>
      <c r="DL14" s="492"/>
      <c r="DM14" s="492"/>
      <c r="DN14" s="492"/>
      <c r="DO14" s="492"/>
      <c r="DP14" s="492"/>
      <c r="DQ14" s="492"/>
      <c r="DR14" s="492"/>
    </row>
    <row r="15" spans="1:122" s="219" customFormat="1" ht="28.5" x14ac:dyDescent="0.2">
      <c r="D15" s="499"/>
      <c r="E15" s="500"/>
      <c r="F15" s="500"/>
      <c r="G15" s="500"/>
      <c r="H15" s="500"/>
      <c r="I15" s="500"/>
      <c r="J15" s="500"/>
      <c r="K15" s="500"/>
      <c r="L15" s="500"/>
      <c r="M15" s="500"/>
      <c r="N15" s="500"/>
      <c r="O15" s="501" t="s">
        <v>173</v>
      </c>
      <c r="Q15" s="225"/>
      <c r="R15" s="229"/>
      <c r="S15" s="502"/>
      <c r="T15" s="500"/>
      <c r="U15" s="1560"/>
      <c r="V15" s="1559">
        <v>3</v>
      </c>
      <c r="W15" s="1559">
        <f t="shared" si="8"/>
        <v>0</v>
      </c>
      <c r="X15" s="1559">
        <v>3</v>
      </c>
      <c r="Y15" s="1559">
        <f t="shared" si="9"/>
        <v>0</v>
      </c>
      <c r="Z15" s="1559">
        <v>3</v>
      </c>
      <c r="AA15" s="1559">
        <f t="shared" si="10"/>
        <v>0</v>
      </c>
      <c r="AB15" s="1559">
        <v>3</v>
      </c>
      <c r="AC15" s="1559">
        <f t="shared" si="11"/>
        <v>0</v>
      </c>
      <c r="AD15" s="1559">
        <v>3</v>
      </c>
      <c r="AE15" s="1559">
        <f t="shared" si="12"/>
        <v>0</v>
      </c>
      <c r="AS15" s="353"/>
      <c r="CQ15" s="222"/>
      <c r="CR15" s="222"/>
      <c r="CS15" s="222"/>
      <c r="CT15" s="222"/>
      <c r="CU15" s="223"/>
      <c r="CV15" s="1052" t="s">
        <v>753</v>
      </c>
      <c r="CW15" s="1497" t="s">
        <v>745</v>
      </c>
      <c r="CX15" s="222"/>
      <c r="CY15" s="222"/>
      <c r="CZ15" s="222"/>
      <c r="DA15" s="222"/>
      <c r="DB15" s="222"/>
      <c r="DC15" s="222"/>
      <c r="DD15" s="222"/>
      <c r="DE15" s="222"/>
      <c r="DF15" s="222"/>
      <c r="DG15" s="222"/>
      <c r="DH15" s="223"/>
      <c r="DI15" s="223"/>
      <c r="DJ15" s="223"/>
      <c r="DK15" s="223"/>
      <c r="DL15" s="223"/>
      <c r="DM15" s="223"/>
      <c r="DN15" s="223"/>
      <c r="DO15" s="223"/>
      <c r="DP15" s="223"/>
      <c r="DQ15" s="223"/>
      <c r="DR15" s="223"/>
    </row>
    <row r="16" spans="1:122" s="219" customFormat="1" ht="27.75" x14ac:dyDescent="0.3">
      <c r="B16" s="644" t="str">
        <f>IF($C$2="English",CW16,CV16)</f>
        <v>3b  Poolabschreibung / Sammelposten(ohne MwSt)</v>
      </c>
      <c r="E16" s="456"/>
      <c r="G16" s="456"/>
      <c r="I16" s="1453" t="s">
        <v>701</v>
      </c>
      <c r="K16" s="456"/>
      <c r="M16" s="456"/>
      <c r="S16" s="232"/>
      <c r="T16" s="456"/>
      <c r="U16" s="1561"/>
      <c r="V16" s="1559">
        <v>4</v>
      </c>
      <c r="W16" s="1559">
        <f t="shared" si="8"/>
        <v>0</v>
      </c>
      <c r="X16" s="1559">
        <v>4</v>
      </c>
      <c r="Y16" s="1559">
        <f t="shared" si="9"/>
        <v>0</v>
      </c>
      <c r="Z16" s="1559">
        <v>4</v>
      </c>
      <c r="AA16" s="1559">
        <f t="shared" si="10"/>
        <v>0</v>
      </c>
      <c r="AB16" s="1559">
        <v>4</v>
      </c>
      <c r="AC16" s="1559">
        <f t="shared" si="11"/>
        <v>0</v>
      </c>
      <c r="AD16" s="1559">
        <v>4</v>
      </c>
      <c r="AE16" s="1559">
        <f t="shared" si="12"/>
        <v>0</v>
      </c>
      <c r="AS16" s="353"/>
      <c r="CQ16" s="222"/>
      <c r="CR16" s="222"/>
      <c r="CS16" s="222"/>
      <c r="CT16" s="222"/>
      <c r="CU16" s="222"/>
      <c r="CV16" s="470" t="str">
        <f>"3b  Poolabschreibung / Sammelposten(" &amp;  IF($C$4&lt;&gt;1,"ohne MwSt)","mit MwSt) ")</f>
        <v>3b  Poolabschreibung / Sammelposten(ohne MwSt)</v>
      </c>
      <c r="CW16" s="223" t="str">
        <f>"3b  Investment of Compound Items ) (" &amp; IF($C$4&lt;&gt;1,"w/o VAT)","incl. VAT)")</f>
        <v>3b  Investment of Compound Items ) (w/o VAT)</v>
      </c>
      <c r="CX16" s="222"/>
      <c r="CY16" s="222"/>
      <c r="CZ16" s="222"/>
      <c r="DA16" s="222"/>
      <c r="DB16" s="222"/>
      <c r="DC16" s="222"/>
      <c r="DD16" s="222"/>
      <c r="DE16" s="222"/>
      <c r="DF16" s="222"/>
      <c r="DG16" s="222"/>
      <c r="DH16" s="223"/>
      <c r="DI16" s="223"/>
      <c r="DJ16" s="223"/>
      <c r="DK16" s="223"/>
      <c r="DL16" s="223"/>
      <c r="DM16" s="223"/>
      <c r="DN16" s="223"/>
      <c r="DO16" s="223"/>
      <c r="DP16" s="223"/>
      <c r="DQ16" s="223"/>
      <c r="DR16" s="223"/>
    </row>
    <row r="17" spans="1:122" s="250" customFormat="1" ht="15" thickBot="1" x14ac:dyDescent="0.25">
      <c r="A17" s="219"/>
      <c r="E17" s="467"/>
      <c r="G17" s="467"/>
      <c r="I17" s="467"/>
      <c r="K17" s="467"/>
      <c r="L17" s="467"/>
      <c r="M17" s="467"/>
      <c r="N17" s="503"/>
      <c r="O17" s="219"/>
      <c r="P17" s="219"/>
      <c r="Q17" s="219"/>
      <c r="S17" s="273"/>
      <c r="T17" s="467"/>
      <c r="U17" s="1562"/>
      <c r="V17" s="1559">
        <v>5</v>
      </c>
      <c r="W17" s="1559">
        <f t="shared" si="8"/>
        <v>0</v>
      </c>
      <c r="X17" s="1559">
        <v>5</v>
      </c>
      <c r="Y17" s="1559">
        <f t="shared" si="9"/>
        <v>0</v>
      </c>
      <c r="Z17" s="1559">
        <v>5</v>
      </c>
      <c r="AA17" s="1559">
        <f t="shared" si="10"/>
        <v>0</v>
      </c>
      <c r="AB17" s="1559">
        <v>5</v>
      </c>
      <c r="AC17" s="1559">
        <f t="shared" si="11"/>
        <v>0</v>
      </c>
      <c r="AD17" s="1559">
        <v>5</v>
      </c>
      <c r="AE17" s="1559">
        <f t="shared" si="12"/>
        <v>0</v>
      </c>
      <c r="CQ17" s="272"/>
      <c r="CR17" s="272"/>
      <c r="CS17" s="272"/>
      <c r="CT17" s="272"/>
      <c r="CU17" s="233"/>
      <c r="CV17" s="233" t="s">
        <v>161</v>
      </c>
      <c r="CW17" s="233" t="s">
        <v>382</v>
      </c>
      <c r="CX17" s="272"/>
      <c r="CY17" s="272"/>
      <c r="CZ17" s="272"/>
      <c r="DA17" s="272"/>
      <c r="DB17" s="272"/>
      <c r="DC17" s="272"/>
      <c r="DD17" s="272"/>
      <c r="DE17" s="272"/>
      <c r="DF17" s="272"/>
      <c r="DG17" s="272"/>
      <c r="DH17" s="233"/>
      <c r="DI17" s="233"/>
      <c r="DJ17" s="233"/>
      <c r="DK17" s="233"/>
      <c r="DL17" s="233"/>
      <c r="DM17" s="233"/>
      <c r="DN17" s="233"/>
      <c r="DO17" s="233"/>
      <c r="DP17" s="233"/>
      <c r="DQ17" s="233"/>
      <c r="DR17" s="233"/>
    </row>
    <row r="18" spans="1:122" s="272" customFormat="1" ht="15" customHeight="1" thickBot="1" x14ac:dyDescent="0.25">
      <c r="A18" s="219"/>
      <c r="B18" s="472" t="str">
        <f>B5</f>
        <v>No.</v>
      </c>
      <c r="C18" s="1603" t="str">
        <f ca="1">IF($C$2="English",$CW$18,$CV$18)&amp; '1 Pers.Ausgaben|Pers Expenses'!$C$4</f>
        <v>Sammelposten 2017</v>
      </c>
      <c r="D18" s="1604"/>
      <c r="E18" s="505"/>
      <c r="F18" s="1603" t="str">
        <f ca="1">IF($C$2="English",$CW$18,$CV$18)&amp; '1 Pers.Ausgaben|Pers Expenses'!$C$4+1</f>
        <v>Sammelposten 2018</v>
      </c>
      <c r="G18" s="1604"/>
      <c r="H18" s="505"/>
      <c r="I18" s="1603" t="str">
        <f ca="1">IF($C$2="English",$CW$18,$CV$18)&amp; '1 Pers.Ausgaben|Pers Expenses'!$C$4+2</f>
        <v>Sammelposten 2019</v>
      </c>
      <c r="J18" s="1604"/>
      <c r="K18" s="505"/>
      <c r="L18" s="1603" t="str">
        <f ca="1">IF($C$2="English",$CW$18,$CV$18)&amp; '1 Pers.Ausgaben|Pers Expenses'!$C$4+3</f>
        <v>Sammelposten 2020</v>
      </c>
      <c r="M18" s="1604"/>
      <c r="N18" s="505"/>
      <c r="O18" s="219"/>
      <c r="P18" s="219"/>
      <c r="Q18" s="219"/>
      <c r="R18" s="250"/>
      <c r="S18" s="273"/>
      <c r="T18" s="467"/>
      <c r="U18" s="1562"/>
      <c r="V18" s="1559">
        <v>6</v>
      </c>
      <c r="W18" s="1559">
        <f t="shared" si="8"/>
        <v>0</v>
      </c>
      <c r="X18" s="1559">
        <v>6</v>
      </c>
      <c r="Y18" s="1559">
        <f t="shared" si="9"/>
        <v>0</v>
      </c>
      <c r="Z18" s="1559">
        <v>6</v>
      </c>
      <c r="AA18" s="1559">
        <f t="shared" si="10"/>
        <v>0</v>
      </c>
      <c r="AB18" s="1559">
        <v>6</v>
      </c>
      <c r="AC18" s="1559">
        <f t="shared" si="11"/>
        <v>0</v>
      </c>
      <c r="AD18" s="1559">
        <v>6</v>
      </c>
      <c r="AE18" s="1559">
        <f t="shared" si="12"/>
        <v>0</v>
      </c>
      <c r="AF18" s="250"/>
      <c r="AG18" s="250"/>
      <c r="AH18" s="250"/>
      <c r="AI18" s="250"/>
      <c r="AJ18" s="250"/>
      <c r="AK18" s="250"/>
      <c r="AL18" s="250"/>
      <c r="AM18" s="250"/>
      <c r="AN18" s="250"/>
      <c r="CU18" s="477"/>
      <c r="CV18" s="60" t="str">
        <f>"Sammelposten "</f>
        <v xml:space="preserve">Sammelposten </v>
      </c>
      <c r="CW18" s="479" t="str">
        <f>"Compound items "</f>
        <v xml:space="preserve">Compound items </v>
      </c>
      <c r="DH18" s="233"/>
      <c r="DI18" s="233"/>
      <c r="DJ18" s="233"/>
      <c r="DK18" s="233"/>
      <c r="DL18" s="233"/>
      <c r="DM18" s="233"/>
      <c r="DN18" s="233"/>
      <c r="DO18" s="233"/>
      <c r="DP18" s="233"/>
      <c r="DQ18" s="233"/>
      <c r="DR18" s="233"/>
    </row>
    <row r="19" spans="1:122" s="58" customFormat="1" x14ac:dyDescent="0.2">
      <c r="A19" s="55"/>
      <c r="B19" s="506" t="s">
        <v>201</v>
      </c>
      <c r="C19" s="1595" t="s">
        <v>146</v>
      </c>
      <c r="D19" s="1596"/>
      <c r="E19" s="1396"/>
      <c r="F19" s="1595" t="s">
        <v>146</v>
      </c>
      <c r="G19" s="1596"/>
      <c r="H19" s="1396"/>
      <c r="I19" s="1595" t="s">
        <v>146</v>
      </c>
      <c r="J19" s="1596"/>
      <c r="K19" s="1396"/>
      <c r="L19" s="1595" t="s">
        <v>146</v>
      </c>
      <c r="M19" s="1596"/>
      <c r="N19" s="1396"/>
      <c r="O19" s="219"/>
      <c r="P19" s="219"/>
      <c r="Q19" s="219"/>
      <c r="R19" s="55"/>
      <c r="S19" s="1544"/>
      <c r="T19" s="481"/>
      <c r="U19" s="1558"/>
      <c r="V19" s="1559">
        <v>7</v>
      </c>
      <c r="W19" s="1559">
        <f t="shared" si="8"/>
        <v>0</v>
      </c>
      <c r="X19" s="1559">
        <v>7</v>
      </c>
      <c r="Y19" s="1559">
        <f t="shared" si="9"/>
        <v>0</v>
      </c>
      <c r="Z19" s="1559">
        <v>7</v>
      </c>
      <c r="AA19" s="1559">
        <f t="shared" si="10"/>
        <v>0</v>
      </c>
      <c r="AB19" s="1559">
        <v>7</v>
      </c>
      <c r="AC19" s="1559">
        <f t="shared" si="11"/>
        <v>0</v>
      </c>
      <c r="AD19" s="1559">
        <v>7</v>
      </c>
      <c r="AE19" s="1559">
        <f t="shared" si="12"/>
        <v>0</v>
      </c>
      <c r="AF19" s="55"/>
      <c r="AG19" s="55"/>
      <c r="AH19" s="55"/>
      <c r="AI19" s="55"/>
      <c r="AJ19" s="55"/>
      <c r="AK19" s="55"/>
      <c r="AL19" s="55"/>
      <c r="AM19" s="55"/>
      <c r="AN19" s="55"/>
      <c r="CU19" s="507"/>
      <c r="CV19" s="484" t="s">
        <v>146</v>
      </c>
      <c r="CW19" s="479" t="s">
        <v>336</v>
      </c>
      <c r="DH19" s="39"/>
      <c r="DI19" s="39"/>
      <c r="DJ19" s="39"/>
      <c r="DK19" s="39"/>
      <c r="DL19" s="39"/>
      <c r="DM19" s="39"/>
      <c r="DN19" s="39"/>
      <c r="DO19" s="39"/>
      <c r="DP19" s="39"/>
      <c r="DQ19" s="39"/>
      <c r="DR19" s="39"/>
    </row>
    <row r="20" spans="1:122" s="58" customFormat="1" x14ac:dyDescent="0.2">
      <c r="A20" s="55"/>
      <c r="B20" s="506" t="s">
        <v>202</v>
      </c>
      <c r="C20" s="1591" t="s">
        <v>147</v>
      </c>
      <c r="D20" s="1592"/>
      <c r="E20" s="1452"/>
      <c r="F20" s="1591" t="s">
        <v>147</v>
      </c>
      <c r="G20" s="1592"/>
      <c r="H20" s="1397"/>
      <c r="I20" s="1591" t="s">
        <v>147</v>
      </c>
      <c r="J20" s="1592"/>
      <c r="K20" s="1397"/>
      <c r="L20" s="1591" t="s">
        <v>147</v>
      </c>
      <c r="M20" s="1592"/>
      <c r="N20" s="1397"/>
      <c r="O20" s="219"/>
      <c r="P20" s="219"/>
      <c r="Q20" s="219"/>
      <c r="R20" s="55"/>
      <c r="S20" s="1544"/>
      <c r="T20" s="481"/>
      <c r="U20" s="1558"/>
      <c r="V20" s="1559">
        <v>8</v>
      </c>
      <c r="W20" s="1559">
        <f t="shared" si="8"/>
        <v>0</v>
      </c>
      <c r="X20" s="1559">
        <v>8</v>
      </c>
      <c r="Y20" s="1559">
        <f t="shared" si="9"/>
        <v>0</v>
      </c>
      <c r="Z20" s="1559">
        <v>8</v>
      </c>
      <c r="AA20" s="1559">
        <f t="shared" si="10"/>
        <v>0</v>
      </c>
      <c r="AB20" s="1559">
        <v>8</v>
      </c>
      <c r="AC20" s="1559">
        <f t="shared" si="11"/>
        <v>0</v>
      </c>
      <c r="AD20" s="1559">
        <v>8</v>
      </c>
      <c r="AE20" s="1559">
        <f t="shared" si="12"/>
        <v>0</v>
      </c>
      <c r="AF20" s="55"/>
      <c r="AG20" s="55"/>
      <c r="AH20" s="55"/>
      <c r="AI20" s="55"/>
      <c r="AJ20" s="55"/>
      <c r="AK20" s="55"/>
      <c r="AL20" s="55"/>
      <c r="AM20" s="55"/>
      <c r="AN20" s="55"/>
      <c r="CU20" s="507"/>
      <c r="CV20" s="484" t="s">
        <v>147</v>
      </c>
      <c r="CW20" s="479" t="s">
        <v>369</v>
      </c>
      <c r="DH20" s="39"/>
      <c r="DI20" s="39"/>
      <c r="DJ20" s="39"/>
      <c r="DK20" s="39"/>
      <c r="DL20" s="39"/>
      <c r="DM20" s="39"/>
      <c r="DN20" s="39"/>
      <c r="DO20" s="39"/>
      <c r="DP20" s="39"/>
      <c r="DQ20" s="39"/>
      <c r="DR20" s="39"/>
    </row>
    <row r="21" spans="1:122" s="58" customFormat="1" x14ac:dyDescent="0.2">
      <c r="A21" s="55"/>
      <c r="B21" s="506" t="s">
        <v>203</v>
      </c>
      <c r="C21" s="1591" t="s">
        <v>148</v>
      </c>
      <c r="D21" s="1592"/>
      <c r="E21" s="1397"/>
      <c r="F21" s="1591" t="s">
        <v>148</v>
      </c>
      <c r="G21" s="1592"/>
      <c r="H21" s="1397"/>
      <c r="I21" s="1591" t="s">
        <v>148</v>
      </c>
      <c r="J21" s="1592"/>
      <c r="K21" s="1397"/>
      <c r="L21" s="1591" t="s">
        <v>148</v>
      </c>
      <c r="M21" s="1592"/>
      <c r="N21" s="1397"/>
      <c r="O21" s="142"/>
      <c r="P21" s="55"/>
      <c r="Q21" s="55"/>
      <c r="R21" s="55"/>
      <c r="S21" s="1544"/>
      <c r="T21" s="481"/>
      <c r="U21" s="1558"/>
      <c r="V21" s="1559">
        <v>9</v>
      </c>
      <c r="W21" s="1559">
        <f t="shared" si="8"/>
        <v>0</v>
      </c>
      <c r="X21" s="1559">
        <v>9</v>
      </c>
      <c r="Y21" s="1559">
        <f t="shared" si="9"/>
        <v>0</v>
      </c>
      <c r="Z21" s="1559">
        <v>9</v>
      </c>
      <c r="AA21" s="1559">
        <f t="shared" si="10"/>
        <v>0</v>
      </c>
      <c r="AB21" s="1559">
        <v>9</v>
      </c>
      <c r="AC21" s="1559">
        <f t="shared" si="11"/>
        <v>0</v>
      </c>
      <c r="AD21" s="1559">
        <v>9</v>
      </c>
      <c r="AE21" s="1559">
        <f t="shared" si="12"/>
        <v>0</v>
      </c>
      <c r="AF21" s="55"/>
      <c r="AG21" s="55"/>
      <c r="AH21" s="55"/>
      <c r="AI21" s="55"/>
      <c r="AJ21" s="55"/>
      <c r="AK21" s="55"/>
      <c r="AL21" s="55"/>
      <c r="AM21" s="55"/>
      <c r="AN21" s="55"/>
      <c r="CU21" s="507"/>
      <c r="CV21" s="484" t="s">
        <v>148</v>
      </c>
      <c r="CW21" s="479" t="s">
        <v>370</v>
      </c>
      <c r="DH21" s="39"/>
      <c r="DI21" s="39"/>
      <c r="DJ21" s="39"/>
      <c r="DK21" s="39"/>
      <c r="DL21" s="39"/>
      <c r="DM21" s="39"/>
      <c r="DN21" s="39"/>
      <c r="DO21" s="39"/>
      <c r="DP21" s="39"/>
      <c r="DQ21" s="39"/>
      <c r="DR21" s="39"/>
    </row>
    <row r="22" spans="1:122" s="58" customFormat="1" x14ac:dyDescent="0.2">
      <c r="A22" s="55"/>
      <c r="B22" s="506" t="s">
        <v>204</v>
      </c>
      <c r="C22" s="1591" t="s">
        <v>151</v>
      </c>
      <c r="D22" s="1592"/>
      <c r="E22" s="1397"/>
      <c r="F22" s="1591" t="s">
        <v>151</v>
      </c>
      <c r="G22" s="1592"/>
      <c r="H22" s="1397"/>
      <c r="I22" s="1591" t="s">
        <v>151</v>
      </c>
      <c r="J22" s="1592"/>
      <c r="K22" s="1397"/>
      <c r="L22" s="1591" t="s">
        <v>151</v>
      </c>
      <c r="M22" s="1592"/>
      <c r="N22" s="1397"/>
      <c r="O22" s="142"/>
      <c r="P22" s="55"/>
      <c r="Q22" s="55"/>
      <c r="R22" s="55"/>
      <c r="S22" s="1544"/>
      <c r="T22" s="481"/>
      <c r="U22" s="1558"/>
      <c r="V22" s="1559">
        <v>10</v>
      </c>
      <c r="W22" s="1559">
        <f t="shared" si="8"/>
        <v>0</v>
      </c>
      <c r="X22" s="1559">
        <v>10</v>
      </c>
      <c r="Y22" s="1559">
        <f t="shared" si="9"/>
        <v>0</v>
      </c>
      <c r="Z22" s="1559">
        <v>10</v>
      </c>
      <c r="AA22" s="1559">
        <f t="shared" si="10"/>
        <v>0</v>
      </c>
      <c r="AB22" s="1559">
        <v>10</v>
      </c>
      <c r="AC22" s="1559">
        <f t="shared" si="11"/>
        <v>0</v>
      </c>
      <c r="AD22" s="1559">
        <v>10</v>
      </c>
      <c r="AE22" s="1559">
        <f t="shared" si="12"/>
        <v>0</v>
      </c>
      <c r="AF22" s="55"/>
      <c r="AG22" s="55"/>
      <c r="AH22" s="55"/>
      <c r="AI22" s="55"/>
      <c r="AJ22" s="55"/>
      <c r="AK22" s="55"/>
      <c r="AL22" s="55"/>
      <c r="AM22" s="55"/>
      <c r="AN22" s="55"/>
      <c r="AS22" s="482"/>
      <c r="CU22" s="507"/>
      <c r="CV22" s="484" t="s">
        <v>151</v>
      </c>
      <c r="CW22" s="479" t="s">
        <v>371</v>
      </c>
      <c r="DH22" s="39"/>
      <c r="DI22" s="39"/>
      <c r="DJ22" s="39"/>
      <c r="DK22" s="39"/>
      <c r="DL22" s="39"/>
      <c r="DM22" s="39"/>
      <c r="DN22" s="39"/>
      <c r="DO22" s="39"/>
      <c r="DP22" s="39"/>
      <c r="DQ22" s="39"/>
      <c r="DR22" s="39"/>
    </row>
    <row r="23" spans="1:122" s="58" customFormat="1" x14ac:dyDescent="0.2">
      <c r="A23" s="55"/>
      <c r="B23" s="506" t="s">
        <v>205</v>
      </c>
      <c r="C23" s="1591" t="s">
        <v>156</v>
      </c>
      <c r="D23" s="1592"/>
      <c r="E23" s="1397"/>
      <c r="F23" s="1591" t="s">
        <v>156</v>
      </c>
      <c r="G23" s="1592"/>
      <c r="H23" s="1397"/>
      <c r="I23" s="1591" t="s">
        <v>156</v>
      </c>
      <c r="J23" s="1592"/>
      <c r="K23" s="1397"/>
      <c r="L23" s="1591" t="s">
        <v>156</v>
      </c>
      <c r="M23" s="1592"/>
      <c r="N23" s="1397"/>
      <c r="O23" s="142"/>
      <c r="P23" s="55"/>
      <c r="Q23" s="55"/>
      <c r="R23" s="55"/>
      <c r="S23" s="1544"/>
      <c r="T23" s="481"/>
      <c r="U23" s="1558"/>
      <c r="V23" s="1559">
        <v>11</v>
      </c>
      <c r="W23" s="1559">
        <f t="shared" si="8"/>
        <v>0</v>
      </c>
      <c r="X23" s="1559">
        <v>11</v>
      </c>
      <c r="Y23" s="1559">
        <f t="shared" si="9"/>
        <v>0</v>
      </c>
      <c r="Z23" s="1559">
        <v>11</v>
      </c>
      <c r="AA23" s="1559">
        <f t="shared" si="10"/>
        <v>0</v>
      </c>
      <c r="AB23" s="1559">
        <v>11</v>
      </c>
      <c r="AC23" s="1559">
        <f t="shared" si="11"/>
        <v>0</v>
      </c>
      <c r="AD23" s="1559">
        <v>11</v>
      </c>
      <c r="AE23" s="1559">
        <f t="shared" si="12"/>
        <v>0</v>
      </c>
      <c r="AF23" s="55"/>
      <c r="AG23" s="55"/>
      <c r="AH23" s="55"/>
      <c r="AI23" s="55"/>
      <c r="AJ23" s="55"/>
      <c r="AK23" s="55"/>
      <c r="AL23" s="55"/>
      <c r="AM23" s="55"/>
      <c r="AN23" s="55"/>
      <c r="AS23" s="482"/>
      <c r="CU23" s="507"/>
      <c r="CV23" s="484" t="s">
        <v>156</v>
      </c>
      <c r="CW23" s="479" t="s">
        <v>372</v>
      </c>
      <c r="DH23" s="39"/>
      <c r="DI23" s="39"/>
      <c r="DJ23" s="39"/>
      <c r="DK23" s="39"/>
      <c r="DL23" s="39"/>
      <c r="DM23" s="39"/>
      <c r="DN23" s="39"/>
      <c r="DO23" s="39"/>
      <c r="DP23" s="39"/>
      <c r="DQ23" s="39"/>
      <c r="DR23" s="39"/>
    </row>
    <row r="24" spans="1:122" s="58" customFormat="1" x14ac:dyDescent="0.2">
      <c r="A24" s="55"/>
      <c r="B24" s="506" t="s">
        <v>206</v>
      </c>
      <c r="C24" s="1591" t="s">
        <v>157</v>
      </c>
      <c r="D24" s="1592"/>
      <c r="E24" s="1397"/>
      <c r="F24" s="1591" t="s">
        <v>157</v>
      </c>
      <c r="G24" s="1592"/>
      <c r="H24" s="1397"/>
      <c r="I24" s="1591" t="s">
        <v>157</v>
      </c>
      <c r="J24" s="1592"/>
      <c r="K24" s="1397"/>
      <c r="L24" s="1591" t="s">
        <v>157</v>
      </c>
      <c r="M24" s="1592"/>
      <c r="N24" s="1397"/>
      <c r="O24" s="142"/>
      <c r="P24" s="55"/>
      <c r="Q24" s="55"/>
      <c r="R24" s="55"/>
      <c r="S24" s="1544"/>
      <c r="T24" s="481"/>
      <c r="U24" s="1558"/>
      <c r="V24" s="1559">
        <v>12</v>
      </c>
      <c r="W24" s="1559">
        <f t="shared" si="8"/>
        <v>0</v>
      </c>
      <c r="X24" s="1559">
        <v>12</v>
      </c>
      <c r="Y24" s="1559">
        <f t="shared" si="9"/>
        <v>0</v>
      </c>
      <c r="Z24" s="1559">
        <v>12</v>
      </c>
      <c r="AA24" s="1559">
        <f t="shared" si="10"/>
        <v>0</v>
      </c>
      <c r="AB24" s="1559">
        <v>12</v>
      </c>
      <c r="AC24" s="1559">
        <f t="shared" si="11"/>
        <v>0</v>
      </c>
      <c r="AD24" s="1559">
        <v>12</v>
      </c>
      <c r="AE24" s="1559">
        <f t="shared" si="12"/>
        <v>0</v>
      </c>
      <c r="AF24" s="55"/>
      <c r="AG24" s="55"/>
      <c r="AH24" s="55"/>
      <c r="AI24" s="55"/>
      <c r="AJ24" s="55"/>
      <c r="AK24" s="55"/>
      <c r="AL24" s="55"/>
      <c r="AM24" s="55"/>
      <c r="AN24" s="55"/>
      <c r="AS24" s="482"/>
      <c r="CU24" s="507"/>
      <c r="CV24" s="484" t="s">
        <v>157</v>
      </c>
      <c r="CW24" s="479" t="s">
        <v>373</v>
      </c>
      <c r="DH24" s="39"/>
      <c r="DI24" s="39"/>
      <c r="DJ24" s="39"/>
      <c r="DK24" s="39"/>
      <c r="DL24" s="39"/>
      <c r="DM24" s="39"/>
      <c r="DN24" s="39"/>
      <c r="DO24" s="39"/>
      <c r="DP24" s="39"/>
      <c r="DQ24" s="39"/>
      <c r="DR24" s="39"/>
    </row>
    <row r="25" spans="1:122" s="58" customFormat="1" x14ac:dyDescent="0.2">
      <c r="A25" s="55"/>
      <c r="B25" s="506" t="s">
        <v>207</v>
      </c>
      <c r="C25" s="1591" t="s">
        <v>158</v>
      </c>
      <c r="D25" s="1592"/>
      <c r="E25" s="1397"/>
      <c r="F25" s="1591" t="s">
        <v>158</v>
      </c>
      <c r="G25" s="1592"/>
      <c r="H25" s="1397"/>
      <c r="I25" s="1591" t="s">
        <v>158</v>
      </c>
      <c r="J25" s="1592"/>
      <c r="K25" s="1397"/>
      <c r="L25" s="1591" t="s">
        <v>158</v>
      </c>
      <c r="M25" s="1592"/>
      <c r="N25" s="1397"/>
      <c r="O25" s="142"/>
      <c r="P25" s="55"/>
      <c r="Q25" s="55"/>
      <c r="R25" s="55"/>
      <c r="S25" s="1544"/>
      <c r="T25" s="481"/>
      <c r="U25" s="1558"/>
      <c r="V25" s="1559"/>
      <c r="W25" s="1559"/>
      <c r="X25" s="1559"/>
      <c r="Y25" s="1559">
        <f>SUM(Y13:Y24)</f>
        <v>0</v>
      </c>
      <c r="Z25" s="1559"/>
      <c r="AA25" s="1559">
        <f>SUM(AA13:AA24)</f>
        <v>0</v>
      </c>
      <c r="AB25" s="1559"/>
      <c r="AC25" s="1559">
        <f>SUM(AC13:AC24)</f>
        <v>0</v>
      </c>
      <c r="AD25" s="538"/>
      <c r="AE25" s="1559">
        <f>SUM(AE13:AE24)</f>
        <v>0</v>
      </c>
      <c r="AF25" s="55"/>
      <c r="AG25" s="55"/>
      <c r="AH25" s="55"/>
      <c r="AI25" s="55"/>
      <c r="AJ25" s="55"/>
      <c r="AK25" s="55"/>
      <c r="AL25" s="55"/>
      <c r="AM25" s="55"/>
      <c r="AN25" s="55"/>
      <c r="AS25" s="482"/>
      <c r="CU25" s="507"/>
      <c r="CV25" s="484" t="s">
        <v>158</v>
      </c>
      <c r="CW25" s="479" t="s">
        <v>374</v>
      </c>
      <c r="DH25" s="39"/>
      <c r="DI25" s="39"/>
      <c r="DJ25" s="39"/>
      <c r="DK25" s="39"/>
      <c r="DL25" s="39"/>
      <c r="DM25" s="39"/>
      <c r="DN25" s="39"/>
      <c r="DO25" s="39"/>
      <c r="DP25" s="39"/>
      <c r="DQ25" s="39"/>
      <c r="DR25" s="39"/>
    </row>
    <row r="26" spans="1:122" s="58" customFormat="1" ht="15" thickBot="1" x14ac:dyDescent="0.25">
      <c r="A26" s="55"/>
      <c r="B26" s="506" t="s">
        <v>208</v>
      </c>
      <c r="C26" s="1593" t="s">
        <v>159</v>
      </c>
      <c r="D26" s="1594"/>
      <c r="E26" s="1398"/>
      <c r="F26" s="1593" t="s">
        <v>159</v>
      </c>
      <c r="G26" s="1594"/>
      <c r="H26" s="1398"/>
      <c r="I26" s="1593" t="s">
        <v>159</v>
      </c>
      <c r="J26" s="1594"/>
      <c r="K26" s="1398"/>
      <c r="L26" s="1593" t="s">
        <v>159</v>
      </c>
      <c r="M26" s="1594"/>
      <c r="N26" s="1398"/>
      <c r="O26" s="142"/>
      <c r="P26" s="55"/>
      <c r="Q26" s="55"/>
      <c r="R26" s="55"/>
      <c r="S26" s="1544"/>
      <c r="T26" s="481"/>
      <c r="U26" s="481"/>
      <c r="V26" s="481"/>
      <c r="W26" s="481"/>
      <c r="X26" s="481"/>
      <c r="Y26" s="481"/>
      <c r="Z26" s="481"/>
      <c r="AA26" s="481"/>
      <c r="AB26" s="481"/>
      <c r="AC26" s="55"/>
      <c r="AD26" s="55"/>
      <c r="AE26" s="55"/>
      <c r="AF26" s="55"/>
      <c r="AG26" s="55"/>
      <c r="AH26" s="55"/>
      <c r="AI26" s="55"/>
      <c r="AJ26" s="55"/>
      <c r="AK26" s="55"/>
      <c r="AL26" s="55"/>
      <c r="AM26" s="55"/>
      <c r="AN26" s="55"/>
      <c r="AS26" s="482"/>
      <c r="CU26" s="507"/>
      <c r="CV26" s="484" t="s">
        <v>159</v>
      </c>
      <c r="CW26" s="479" t="s">
        <v>375</v>
      </c>
      <c r="DH26" s="39"/>
      <c r="DI26" s="39"/>
      <c r="DJ26" s="39"/>
      <c r="DK26" s="39"/>
      <c r="DL26" s="39"/>
      <c r="DM26" s="39"/>
      <c r="DN26" s="39"/>
      <c r="DO26" s="39"/>
      <c r="DP26" s="39"/>
      <c r="DQ26" s="39"/>
      <c r="DR26" s="39"/>
    </row>
    <row r="27" spans="1:122" s="489" customFormat="1" ht="15.75" thickTop="1" thickBot="1" x14ac:dyDescent="0.25">
      <c r="A27" s="485"/>
      <c r="B27" s="493"/>
      <c r="C27" s="508" t="str">
        <f>IF($C$2="English",CW27,CV27)</f>
        <v>Summe Sammelposten</v>
      </c>
      <c r="D27" s="508"/>
      <c r="E27" s="509">
        <f>SUM(E19:E26)</f>
        <v>0</v>
      </c>
      <c r="F27" s="1147"/>
      <c r="G27" s="1148"/>
      <c r="H27" s="509">
        <f>SUM(H19:H26)</f>
        <v>0</v>
      </c>
      <c r="I27" s="1147"/>
      <c r="J27" s="1148"/>
      <c r="K27" s="509">
        <f>SUM(K19:K26)</f>
        <v>0</v>
      </c>
      <c r="L27" s="1147"/>
      <c r="M27" s="1148"/>
      <c r="N27" s="509">
        <f>SUM(N19:N26)</f>
        <v>0</v>
      </c>
      <c r="O27" s="510"/>
      <c r="P27" s="485"/>
      <c r="Q27" s="55"/>
      <c r="R27" s="485"/>
      <c r="S27" s="511"/>
      <c r="T27" s="488"/>
      <c r="U27" s="488"/>
      <c r="V27" s="488"/>
      <c r="W27" s="488"/>
      <c r="X27" s="488"/>
      <c r="Y27" s="488"/>
      <c r="Z27" s="488"/>
      <c r="AA27" s="488"/>
      <c r="AB27" s="488"/>
      <c r="AC27" s="485"/>
      <c r="AD27" s="485"/>
      <c r="AE27" s="485"/>
      <c r="AF27" s="485"/>
      <c r="AG27" s="485"/>
      <c r="AH27" s="485"/>
      <c r="AI27" s="485"/>
      <c r="AJ27" s="485"/>
      <c r="AK27" s="485"/>
      <c r="AL27" s="485"/>
      <c r="AM27" s="485"/>
      <c r="AN27" s="485"/>
      <c r="AS27" s="490"/>
      <c r="CU27" s="498"/>
      <c r="CV27" s="512" t="s">
        <v>160</v>
      </c>
      <c r="CW27" s="479" t="s">
        <v>335</v>
      </c>
      <c r="DH27" s="492"/>
      <c r="DI27" s="492"/>
      <c r="DJ27" s="492"/>
      <c r="DK27" s="492"/>
      <c r="DL27" s="492"/>
      <c r="DM27" s="492"/>
      <c r="DN27" s="492"/>
      <c r="DO27" s="492"/>
      <c r="DP27" s="492"/>
      <c r="DQ27" s="492"/>
      <c r="DR27" s="492"/>
    </row>
    <row r="28" spans="1:122" s="55" customFormat="1" x14ac:dyDescent="0.2">
      <c r="B28" s="513"/>
      <c r="C28" s="513"/>
      <c r="D28" s="513"/>
      <c r="E28" s="514"/>
      <c r="F28" s="515"/>
      <c r="G28" s="515"/>
      <c r="H28" s="514"/>
      <c r="I28" s="515"/>
      <c r="J28" s="515"/>
      <c r="K28" s="514"/>
      <c r="L28" s="515"/>
      <c r="M28" s="515"/>
      <c r="N28" s="514"/>
      <c r="S28" s="122"/>
      <c r="T28" s="481"/>
      <c r="U28" s="481"/>
      <c r="V28" s="481"/>
      <c r="W28" s="481"/>
      <c r="X28" s="481"/>
      <c r="Y28" s="481"/>
      <c r="Z28" s="481"/>
      <c r="AA28" s="481"/>
      <c r="AB28" s="481"/>
      <c r="AS28" s="516"/>
      <c r="CQ28" s="58"/>
      <c r="CR28" s="58"/>
      <c r="CS28" s="58"/>
      <c r="CT28" s="58"/>
      <c r="CU28" s="517"/>
      <c r="CV28" s="517"/>
      <c r="CW28" s="517"/>
      <c r="CX28" s="58"/>
      <c r="CY28" s="58"/>
      <c r="CZ28" s="58"/>
      <c r="DA28" s="58"/>
      <c r="DB28" s="58"/>
      <c r="DC28" s="58"/>
      <c r="DD28" s="58"/>
      <c r="DE28" s="58"/>
      <c r="DF28" s="58"/>
      <c r="DG28" s="58"/>
      <c r="DH28" s="39"/>
      <c r="DI28" s="39"/>
      <c r="DJ28" s="39"/>
      <c r="DK28" s="39"/>
      <c r="DL28" s="39"/>
      <c r="DM28" s="39"/>
      <c r="DN28" s="39"/>
      <c r="DO28" s="39"/>
      <c r="DP28" s="39"/>
      <c r="DQ28" s="39"/>
      <c r="DR28" s="39"/>
    </row>
    <row r="29" spans="1:122" s="219" customFormat="1" ht="22.5" x14ac:dyDescent="0.3">
      <c r="B29" s="356" t="str">
        <f ca="1">IF($C$2="English",CW29,CV29)</f>
        <v>3c-1  Monatliche Abschreibungen (ohne MwSt) für das Jahr 2017 in EURO</v>
      </c>
      <c r="C29" s="466"/>
      <c r="E29" s="521"/>
      <c r="G29" s="521"/>
      <c r="I29" s="521"/>
      <c r="K29" s="521"/>
      <c r="M29" s="521"/>
      <c r="Q29" s="55"/>
      <c r="S29" s="502"/>
      <c r="T29" s="521"/>
      <c r="U29" s="521"/>
      <c r="V29" s="521"/>
      <c r="W29" s="522"/>
      <c r="X29" s="456"/>
      <c r="Y29" s="456"/>
      <c r="Z29" s="456"/>
      <c r="AA29" s="456"/>
      <c r="AB29" s="456"/>
      <c r="AS29" s="353"/>
      <c r="CQ29" s="222"/>
      <c r="CR29" s="222"/>
      <c r="CS29" s="222"/>
      <c r="CT29" s="222"/>
      <c r="CU29" s="222"/>
      <c r="CV29" s="470" t="str">
        <f ca="1">"3c-1  Monatliche Abschreibungen ("  &amp;  IF($C$4&lt;&gt;1,"ohne MwSt)","mit MwSt) ")&amp;" für das Jahr "&amp;'1 Pers.Ausgaben|Pers Expenses'!$C$4&amp;" in EURO"</f>
        <v>3c-1  Monatliche Abschreibungen (ohne MwSt) für das Jahr 2017 in EURO</v>
      </c>
      <c r="CW29" s="717" t="str">
        <f ca="1">"3c-1 Monthly depreciation ("&amp;IF($C$4&lt;&gt;1,"w/o VAT)","incl VAT)")&amp;" for the year "&amp;'1 Pers.Ausgaben|Pers Expenses'!$C$4&amp;" in EURO"</f>
        <v>3c-1 Monthly depreciation (w/o VAT) for the year 2017 in EURO</v>
      </c>
      <c r="CX29" s="222"/>
      <c r="CY29" s="222"/>
      <c r="CZ29" s="222"/>
      <c r="DA29" s="222"/>
      <c r="DB29" s="222"/>
      <c r="DC29" s="222"/>
      <c r="DD29" s="222"/>
      <c r="DE29" s="222"/>
      <c r="DF29" s="222"/>
      <c r="DG29" s="222"/>
      <c r="DH29" s="223"/>
      <c r="DI29" s="223"/>
      <c r="DJ29" s="223"/>
      <c r="DK29" s="223"/>
      <c r="DL29" s="223"/>
      <c r="DM29" s="223"/>
      <c r="DN29" s="223"/>
      <c r="DO29" s="223"/>
      <c r="DP29" s="223"/>
      <c r="DQ29" s="223"/>
      <c r="DR29" s="223"/>
    </row>
    <row r="30" spans="1:122" s="219" customFormat="1" ht="15" thickBot="1" x14ac:dyDescent="0.25">
      <c r="D30" s="523"/>
      <c r="E30" s="521"/>
      <c r="G30" s="521"/>
      <c r="I30" s="521"/>
      <c r="K30" s="521"/>
      <c r="M30" s="521"/>
      <c r="Q30" s="55"/>
      <c r="S30" s="122"/>
      <c r="T30" s="481"/>
      <c r="U30" s="481"/>
      <c r="V30" s="481"/>
      <c r="W30" s="524"/>
      <c r="X30" s="481"/>
      <c r="Y30" s="481"/>
      <c r="Z30" s="481"/>
      <c r="AA30" s="481"/>
      <c r="AB30" s="481"/>
      <c r="AC30" s="55"/>
      <c r="AS30" s="353"/>
      <c r="BL30" s="55"/>
      <c r="CQ30" s="222"/>
      <c r="CR30" s="222"/>
      <c r="CS30" s="222"/>
      <c r="CT30" s="222"/>
      <c r="CU30" s="222"/>
      <c r="CV30" s="223" t="s">
        <v>161</v>
      </c>
      <c r="CW30" s="525" t="s">
        <v>357</v>
      </c>
      <c r="CX30" s="222"/>
      <c r="CY30" s="222"/>
      <c r="CZ30" s="222"/>
      <c r="DA30" s="222"/>
      <c r="DB30" s="222"/>
      <c r="DC30" s="222"/>
      <c r="DD30" s="222"/>
      <c r="DE30" s="222"/>
      <c r="DF30" s="222"/>
      <c r="DG30" s="222"/>
      <c r="DH30" s="223"/>
      <c r="DI30" s="223"/>
      <c r="DJ30" s="223"/>
      <c r="DK30" s="223"/>
      <c r="DL30" s="223"/>
      <c r="DM30" s="223"/>
      <c r="DN30" s="223"/>
      <c r="DO30" s="223"/>
      <c r="DP30" s="223"/>
      <c r="DQ30" s="223"/>
      <c r="DR30" s="223"/>
    </row>
    <row r="31" spans="1:122" s="58" customFormat="1" ht="15" thickBot="1" x14ac:dyDescent="0.25">
      <c r="A31" s="55"/>
      <c r="B31" s="1597" t="str">
        <f>IF($C$2="English",CW31,CV31)</f>
        <v>Monate</v>
      </c>
      <c r="C31" s="1598"/>
      <c r="D31" s="1599"/>
      <c r="E31" s="54" t="str">
        <f t="shared" ref="E31:P31" si="13">IF($C$2="English",CY3,CY2)</f>
        <v>Jan.</v>
      </c>
      <c r="F31" s="54" t="str">
        <f t="shared" si="13"/>
        <v>Febr.</v>
      </c>
      <c r="G31" s="54" t="str">
        <f t="shared" si="13"/>
        <v>März</v>
      </c>
      <c r="H31" s="54" t="str">
        <f t="shared" si="13"/>
        <v>April</v>
      </c>
      <c r="I31" s="54" t="str">
        <f t="shared" si="13"/>
        <v>Mai</v>
      </c>
      <c r="J31" s="54" t="str">
        <f t="shared" si="13"/>
        <v>Juni</v>
      </c>
      <c r="K31" s="54" t="str">
        <f t="shared" si="13"/>
        <v>Juli</v>
      </c>
      <c r="L31" s="54" t="str">
        <f t="shared" si="13"/>
        <v>Aug.</v>
      </c>
      <c r="M31" s="54" t="str">
        <f t="shared" si="13"/>
        <v>Sept.</v>
      </c>
      <c r="N31" s="54" t="str">
        <f t="shared" si="13"/>
        <v>Okt.</v>
      </c>
      <c r="O31" s="54" t="str">
        <f t="shared" si="13"/>
        <v>Nov.</v>
      </c>
      <c r="P31" s="54" t="str">
        <f t="shared" si="13"/>
        <v>Dez.</v>
      </c>
      <c r="Q31" s="55"/>
      <c r="R31" s="55"/>
      <c r="S31" s="526"/>
      <c r="T31" s="527"/>
      <c r="U31" s="527"/>
      <c r="V31" s="527"/>
      <c r="W31" s="527"/>
      <c r="X31" s="527"/>
      <c r="Y31" s="55"/>
      <c r="Z31" s="55"/>
      <c r="AA31" s="55"/>
      <c r="AB31" s="55"/>
      <c r="AC31" s="55"/>
      <c r="AD31" s="55"/>
      <c r="AE31" s="55"/>
      <c r="AF31" s="55"/>
      <c r="AG31" s="55"/>
      <c r="AH31" s="55"/>
      <c r="AI31" s="55"/>
      <c r="AJ31" s="55"/>
      <c r="AK31" s="55"/>
      <c r="AL31" s="55"/>
      <c r="AM31" s="55"/>
      <c r="AN31" s="55"/>
      <c r="CV31" s="39" t="s">
        <v>85</v>
      </c>
      <c r="CW31" s="39" t="s">
        <v>337</v>
      </c>
      <c r="DH31" s="39"/>
      <c r="DI31" s="39"/>
      <c r="DJ31" s="39"/>
      <c r="DK31" s="39"/>
      <c r="DL31" s="39"/>
      <c r="DM31" s="39"/>
      <c r="DN31" s="39"/>
      <c r="DO31" s="39"/>
      <c r="DP31" s="39"/>
      <c r="DQ31" s="39"/>
      <c r="DR31" s="39"/>
    </row>
    <row r="32" spans="1:122" s="58" customFormat="1" ht="15" thickBot="1" x14ac:dyDescent="0.25">
      <c r="A32" s="219"/>
      <c r="B32" s="1600" t="str">
        <f>IF($C$2="English",CW32,CV32)</f>
        <v>monatl. Abschreibungen</v>
      </c>
      <c r="C32" s="1601"/>
      <c r="D32" s="1602"/>
      <c r="E32" s="1538">
        <f>D92</f>
        <v>0</v>
      </c>
      <c r="F32" s="1538">
        <f t="shared" ref="F32:P32" si="14">E92</f>
        <v>0</v>
      </c>
      <c r="G32" s="1538">
        <f t="shared" si="14"/>
        <v>0</v>
      </c>
      <c r="H32" s="1538">
        <f t="shared" si="14"/>
        <v>0</v>
      </c>
      <c r="I32" s="1538">
        <f t="shared" si="14"/>
        <v>0</v>
      </c>
      <c r="J32" s="1538">
        <f t="shared" si="14"/>
        <v>0</v>
      </c>
      <c r="K32" s="1538">
        <f t="shared" si="14"/>
        <v>0</v>
      </c>
      <c r="L32" s="1538">
        <f t="shared" si="14"/>
        <v>0</v>
      </c>
      <c r="M32" s="1538">
        <f t="shared" si="14"/>
        <v>0</v>
      </c>
      <c r="N32" s="1538">
        <f t="shared" si="14"/>
        <v>0</v>
      </c>
      <c r="O32" s="1538">
        <f t="shared" si="14"/>
        <v>0</v>
      </c>
      <c r="P32" s="1538">
        <f t="shared" si="14"/>
        <v>0</v>
      </c>
      <c r="Q32" s="55"/>
      <c r="R32" s="55"/>
      <c r="S32" s="122"/>
      <c r="T32" s="481"/>
      <c r="U32" s="481"/>
      <c r="V32" s="481"/>
      <c r="W32" s="524"/>
      <c r="X32" s="481"/>
      <c r="Y32" s="481"/>
      <c r="Z32" s="481"/>
      <c r="AA32" s="481"/>
      <c r="AB32" s="481"/>
      <c r="AC32" s="55"/>
      <c r="AD32" s="55"/>
      <c r="AE32" s="55"/>
      <c r="AF32" s="55"/>
      <c r="AG32" s="55"/>
      <c r="AH32" s="55"/>
      <c r="AI32" s="55"/>
      <c r="AJ32" s="55"/>
      <c r="AK32" s="55"/>
      <c r="AL32" s="55"/>
      <c r="AM32" s="55"/>
      <c r="AN32" s="55"/>
      <c r="CV32" s="39" t="s">
        <v>198</v>
      </c>
      <c r="CW32" s="39" t="s">
        <v>695</v>
      </c>
      <c r="DH32" s="39"/>
      <c r="DI32" s="39"/>
      <c r="DJ32" s="39"/>
      <c r="DK32" s="39"/>
      <c r="DL32" s="39"/>
      <c r="DM32" s="39"/>
      <c r="DN32" s="39"/>
      <c r="DO32" s="39"/>
      <c r="DP32" s="39"/>
      <c r="DQ32" s="39"/>
      <c r="DR32" s="39"/>
    </row>
    <row r="33" spans="1:122" s="58" customFormat="1" ht="15" thickBot="1" x14ac:dyDescent="0.25">
      <c r="A33" s="55"/>
      <c r="B33" s="513"/>
      <c r="C33" s="513"/>
      <c r="D33" s="513"/>
      <c r="E33" s="513"/>
      <c r="F33" s="513"/>
      <c r="G33" s="513"/>
      <c r="H33" s="513"/>
      <c r="I33" s="513"/>
      <c r="J33" s="513"/>
      <c r="K33" s="513"/>
      <c r="L33" s="513"/>
      <c r="M33" s="513"/>
      <c r="N33" s="513"/>
      <c r="O33" s="528" t="str">
        <f ca="1">IF($C$2="English",CW33,CV33)</f>
        <v>Summe 2017</v>
      </c>
      <c r="P33" s="1539">
        <f>SUM(E32:P32)</f>
        <v>0</v>
      </c>
      <c r="Q33" s="513"/>
      <c r="R33" s="513"/>
      <c r="S33" s="122"/>
      <c r="T33" s="481"/>
      <c r="U33" s="481"/>
      <c r="V33" s="481"/>
      <c r="W33" s="481"/>
      <c r="X33" s="481"/>
      <c r="Y33" s="481"/>
      <c r="Z33" s="481"/>
      <c r="AA33" s="481"/>
      <c r="AB33" s="481"/>
      <c r="AC33" s="55"/>
      <c r="AD33" s="55"/>
      <c r="AE33" s="55"/>
      <c r="AF33" s="55"/>
      <c r="AG33" s="55"/>
      <c r="AH33" s="55"/>
      <c r="AI33" s="55"/>
      <c r="AJ33" s="55"/>
      <c r="AK33" s="55"/>
      <c r="AL33" s="55"/>
      <c r="AM33" s="55"/>
      <c r="AN33" s="55"/>
      <c r="AS33" s="482"/>
      <c r="CU33" s="517"/>
      <c r="CV33" s="512" t="str">
        <f ca="1">"Summe " &amp; '1 Pers.Ausgaben|Pers Expenses'!$C$4</f>
        <v>Summe 2017</v>
      </c>
      <c r="CW33" s="529" t="str">
        <f ca="1">"Sum " &amp; '1 Pers.Ausgaben|Pers Expenses'!$C$4</f>
        <v>Sum 2017</v>
      </c>
      <c r="DH33" s="39"/>
      <c r="DI33" s="39"/>
      <c r="DJ33" s="39"/>
      <c r="DK33" s="39"/>
      <c r="DL33" s="39"/>
      <c r="DM33" s="39"/>
      <c r="DN33" s="39"/>
      <c r="DO33" s="39"/>
      <c r="DP33" s="39"/>
      <c r="DQ33" s="39"/>
      <c r="DR33" s="39"/>
    </row>
    <row r="34" spans="1:122" ht="24.75" x14ac:dyDescent="0.3">
      <c r="B34" s="460" t="str">
        <f ca="1">IF($C$2="English",CW34,CV34)</f>
        <v>3c-2  Monatliche Abschreibungen (ohne MwSt) für das Jahr 2018 in EURO</v>
      </c>
      <c r="C34" s="466"/>
      <c r="D34" s="219"/>
      <c r="E34" s="521"/>
      <c r="F34" s="219"/>
      <c r="G34" s="521"/>
      <c r="H34" s="219"/>
      <c r="I34" s="521"/>
      <c r="J34" s="219"/>
      <c r="K34" s="521"/>
      <c r="L34" s="219"/>
      <c r="M34" s="521"/>
      <c r="N34" s="219"/>
      <c r="O34" s="219"/>
      <c r="P34" s="219"/>
      <c r="Q34" s="55"/>
      <c r="S34" s="502"/>
      <c r="T34" s="521"/>
      <c r="U34" s="521"/>
      <c r="V34" s="521"/>
      <c r="W34" s="522"/>
      <c r="CV34" s="470" t="str">
        <f ca="1">"3c-2  Monatliche Abschreibungen ("  &amp;  IF($C$4&lt;&gt;1,"ohne MwSt)","mit MwSt) ")&amp;" für das Jahr "&amp;'1 Pers.Ausgaben|Pers Expenses'!$C$4+1&amp;" in EURO"</f>
        <v>3c-2  Monatliche Abschreibungen (ohne MwSt) für das Jahr 2018 in EURO</v>
      </c>
      <c r="CW34" s="717" t="str">
        <f ca="1">"3c-2 Depreciation per month ("&amp;IF($C$4&lt;&gt;1,"w/o VAT)","incl VAT)")&amp;" for the year "&amp;'1 Pers.Ausgaben|Pers Expenses'!$C$4+1&amp;" in EURO"</f>
        <v>3c-2 Depreciation per month (w/o VAT) for the year 2018 in EURO</v>
      </c>
    </row>
    <row r="35" spans="1:122" ht="15" thickBot="1" x14ac:dyDescent="0.25">
      <c r="B35" s="219"/>
      <c r="C35" s="219"/>
      <c r="D35" s="523"/>
      <c r="E35" s="521"/>
      <c r="F35" s="219"/>
      <c r="G35" s="521"/>
      <c r="H35" s="219"/>
      <c r="I35" s="521"/>
      <c r="J35" s="219"/>
      <c r="K35" s="521"/>
      <c r="L35" s="219"/>
      <c r="M35" s="521"/>
      <c r="N35" s="219"/>
      <c r="O35" s="219"/>
      <c r="P35" s="219"/>
      <c r="Q35" s="55"/>
      <c r="S35" s="122"/>
      <c r="T35" s="481"/>
      <c r="U35" s="481"/>
      <c r="V35" s="481"/>
      <c r="W35" s="524"/>
      <c r="X35" s="481"/>
      <c r="Y35" s="481"/>
      <c r="Z35" s="481"/>
      <c r="AA35" s="481"/>
      <c r="AB35" s="481"/>
      <c r="AC35" s="55"/>
      <c r="BL35" s="58"/>
    </row>
    <row r="36" spans="1:122" s="58" customFormat="1" ht="15" thickBot="1" x14ac:dyDescent="0.25">
      <c r="A36" s="55"/>
      <c r="B36" s="1597" t="str">
        <f>B31</f>
        <v>Monate</v>
      </c>
      <c r="C36" s="1598"/>
      <c r="D36" s="1599"/>
      <c r="E36" s="54" t="str">
        <f t="shared" ref="E36:P36" si="15">E31</f>
        <v>Jan.</v>
      </c>
      <c r="F36" s="54" t="str">
        <f t="shared" si="15"/>
        <v>Febr.</v>
      </c>
      <c r="G36" s="54" t="str">
        <f t="shared" si="15"/>
        <v>März</v>
      </c>
      <c r="H36" s="54" t="str">
        <f t="shared" si="15"/>
        <v>April</v>
      </c>
      <c r="I36" s="54" t="str">
        <f t="shared" si="15"/>
        <v>Mai</v>
      </c>
      <c r="J36" s="54" t="str">
        <f t="shared" si="15"/>
        <v>Juni</v>
      </c>
      <c r="K36" s="54" t="str">
        <f t="shared" si="15"/>
        <v>Juli</v>
      </c>
      <c r="L36" s="54" t="str">
        <f t="shared" si="15"/>
        <v>Aug.</v>
      </c>
      <c r="M36" s="54" t="str">
        <f t="shared" si="15"/>
        <v>Sept.</v>
      </c>
      <c r="N36" s="54" t="str">
        <f t="shared" si="15"/>
        <v>Okt.</v>
      </c>
      <c r="O36" s="54" t="str">
        <f t="shared" si="15"/>
        <v>Nov.</v>
      </c>
      <c r="P36" s="54" t="str">
        <f t="shared" si="15"/>
        <v>Dez.</v>
      </c>
      <c r="Q36" s="55"/>
      <c r="R36" s="55"/>
      <c r="S36" s="526"/>
      <c r="T36" s="527"/>
      <c r="U36" s="527"/>
      <c r="V36" s="527"/>
      <c r="W36" s="527"/>
      <c r="X36" s="527"/>
      <c r="Y36" s="55"/>
      <c r="Z36" s="55"/>
      <c r="AA36" s="55"/>
      <c r="AB36" s="55"/>
      <c r="AC36" s="55"/>
      <c r="AD36" s="55"/>
      <c r="AE36" s="55"/>
      <c r="AF36" s="55"/>
      <c r="AG36" s="55"/>
      <c r="AH36" s="55"/>
      <c r="AI36" s="55"/>
      <c r="AJ36" s="55"/>
      <c r="AK36" s="55"/>
      <c r="AL36" s="55"/>
      <c r="AM36" s="55"/>
      <c r="AN36" s="55"/>
      <c r="CV36" s="39" t="s">
        <v>85</v>
      </c>
      <c r="CW36" s="39" t="s">
        <v>337</v>
      </c>
      <c r="DH36" s="39"/>
      <c r="DI36" s="39"/>
      <c r="DJ36" s="39"/>
      <c r="DK36" s="39"/>
      <c r="DL36" s="39"/>
      <c r="DM36" s="39"/>
      <c r="DN36" s="39"/>
      <c r="DO36" s="39"/>
      <c r="DP36" s="39"/>
      <c r="DQ36" s="39"/>
      <c r="DR36" s="39"/>
    </row>
    <row r="37" spans="1:122" s="58" customFormat="1" ht="15" thickBot="1" x14ac:dyDescent="0.25">
      <c r="A37" s="219"/>
      <c r="B37" s="1600" t="str">
        <f>B32</f>
        <v>monatl. Abschreibungen</v>
      </c>
      <c r="C37" s="1601"/>
      <c r="D37" s="1602"/>
      <c r="E37" s="1539">
        <f ca="1">D118</f>
        <v>0</v>
      </c>
      <c r="F37" s="1539">
        <f t="shared" ref="F37:P37" ca="1" si="16">E118</f>
        <v>0</v>
      </c>
      <c r="G37" s="1539">
        <f t="shared" ca="1" si="16"/>
        <v>0</v>
      </c>
      <c r="H37" s="1539">
        <f t="shared" ca="1" si="16"/>
        <v>0</v>
      </c>
      <c r="I37" s="1539">
        <f t="shared" ca="1" si="16"/>
        <v>0</v>
      </c>
      <c r="J37" s="1539">
        <f t="shared" ca="1" si="16"/>
        <v>0</v>
      </c>
      <c r="K37" s="1539">
        <f t="shared" ca="1" si="16"/>
        <v>0</v>
      </c>
      <c r="L37" s="1539">
        <f t="shared" ca="1" si="16"/>
        <v>0</v>
      </c>
      <c r="M37" s="1539">
        <f t="shared" ca="1" si="16"/>
        <v>0</v>
      </c>
      <c r="N37" s="1539">
        <f t="shared" ca="1" si="16"/>
        <v>0</v>
      </c>
      <c r="O37" s="1539">
        <f t="shared" ca="1" si="16"/>
        <v>0</v>
      </c>
      <c r="P37" s="1539">
        <f t="shared" ca="1" si="16"/>
        <v>0</v>
      </c>
      <c r="Q37" s="55"/>
      <c r="R37" s="55"/>
      <c r="S37" s="122"/>
      <c r="T37" s="481"/>
      <c r="U37" s="481"/>
      <c r="V37" s="481"/>
      <c r="W37" s="524"/>
      <c r="X37" s="481"/>
      <c r="Y37" s="481"/>
      <c r="Z37" s="481"/>
      <c r="AA37" s="481"/>
      <c r="AB37" s="481"/>
      <c r="AC37" s="55"/>
      <c r="AD37" s="55"/>
      <c r="AE37" s="55"/>
      <c r="AF37" s="55"/>
      <c r="AG37" s="55"/>
      <c r="AH37" s="55"/>
      <c r="AI37" s="55"/>
      <c r="AJ37" s="55"/>
      <c r="AK37" s="55"/>
      <c r="AL37" s="55"/>
      <c r="AM37" s="55"/>
      <c r="AN37" s="55"/>
      <c r="CV37" s="39" t="s">
        <v>198</v>
      </c>
      <c r="CW37" s="39" t="s">
        <v>338</v>
      </c>
      <c r="DH37" s="39"/>
      <c r="DI37" s="39"/>
      <c r="DJ37" s="39"/>
      <c r="DK37" s="39"/>
      <c r="DL37" s="39"/>
      <c r="DM37" s="39"/>
      <c r="DN37" s="39"/>
      <c r="DO37" s="39"/>
      <c r="DP37" s="39"/>
      <c r="DQ37" s="39"/>
      <c r="DR37" s="39"/>
    </row>
    <row r="38" spans="1:122" s="58" customFormat="1" ht="15" thickBot="1" x14ac:dyDescent="0.25">
      <c r="A38" s="55"/>
      <c r="B38" s="513"/>
      <c r="C38" s="513"/>
      <c r="D38" s="513"/>
      <c r="E38" s="514"/>
      <c r="F38" s="515"/>
      <c r="G38" s="515"/>
      <c r="H38" s="514"/>
      <c r="I38" s="515"/>
      <c r="J38" s="515"/>
      <c r="K38" s="514"/>
      <c r="L38" s="515"/>
      <c r="M38" s="515"/>
      <c r="N38" s="514"/>
      <c r="O38" s="528" t="str">
        <f ca="1">IF($C$2="English",CW38,CV38)</f>
        <v>Summe 2018</v>
      </c>
      <c r="P38" s="1539">
        <f ca="1">SUM(E37:P37)</f>
        <v>0</v>
      </c>
      <c r="Q38" s="55"/>
      <c r="R38" s="55"/>
      <c r="S38" s="122"/>
      <c r="T38" s="481"/>
      <c r="U38" s="481"/>
      <c r="V38" s="481"/>
      <c r="W38" s="481"/>
      <c r="X38" s="481"/>
      <c r="Y38" s="481"/>
      <c r="Z38" s="481"/>
      <c r="AA38" s="481"/>
      <c r="AB38" s="481"/>
      <c r="AC38" s="55"/>
      <c r="AD38" s="55"/>
      <c r="AE38" s="55"/>
      <c r="AF38" s="55"/>
      <c r="AG38" s="55"/>
      <c r="AH38" s="55"/>
      <c r="AI38" s="55"/>
      <c r="AJ38" s="55"/>
      <c r="AK38" s="55"/>
      <c r="AL38" s="55"/>
      <c r="AM38" s="55"/>
      <c r="AN38" s="55"/>
      <c r="AS38" s="482"/>
      <c r="CV38" s="529" t="str">
        <f ca="1">"Summe " &amp; '1 Pers.Ausgaben|Pers Expenses'!$C$4+1</f>
        <v>Summe 2018</v>
      </c>
      <c r="CW38" s="529" t="str">
        <f ca="1">"Sum " &amp; '1 Pers.Ausgaben|Pers Expenses'!$C$4+1</f>
        <v>Sum 2018</v>
      </c>
      <c r="DH38" s="39"/>
      <c r="DI38" s="39"/>
      <c r="DJ38" s="39"/>
      <c r="DK38" s="39"/>
      <c r="DL38" s="39"/>
      <c r="DM38" s="39"/>
      <c r="DN38" s="39"/>
      <c r="DO38" s="39"/>
      <c r="DP38" s="39"/>
      <c r="DQ38" s="39"/>
      <c r="DR38" s="39"/>
    </row>
    <row r="39" spans="1:122" x14ac:dyDescent="0.2">
      <c r="A39" s="229"/>
      <c r="B39" s="518"/>
      <c r="C39" s="518"/>
      <c r="D39" s="518"/>
      <c r="E39" s="500"/>
      <c r="F39" s="519"/>
      <c r="G39" s="519"/>
      <c r="H39" s="500"/>
      <c r="I39" s="519"/>
      <c r="J39" s="519"/>
      <c r="K39" s="500"/>
      <c r="L39" s="519"/>
      <c r="M39" s="519"/>
      <c r="N39" s="500"/>
      <c r="O39" s="278"/>
      <c r="P39" s="219"/>
      <c r="Q39" s="55"/>
      <c r="S39" s="232"/>
      <c r="CV39" s="520"/>
      <c r="CW39" s="520"/>
    </row>
    <row r="40" spans="1:122" s="58" customFormat="1" ht="24.75" x14ac:dyDescent="0.3">
      <c r="A40" s="219"/>
      <c r="B40" s="1072" t="str">
        <f ca="1">IF($C$2="English",CW40,CV40)</f>
        <v>3d  Jährliche Abschreibungen (ohne MwSt) für die Jahre 2017-2021 in EURO</v>
      </c>
      <c r="C40" s="55"/>
      <c r="D40" s="55"/>
      <c r="E40" s="481"/>
      <c r="F40" s="55"/>
      <c r="G40" s="481"/>
      <c r="H40" s="55"/>
      <c r="I40" s="481"/>
      <c r="J40" s="55"/>
      <c r="K40" s="481"/>
      <c r="L40" s="55"/>
      <c r="M40" s="1363" t="str">
        <f>IF($C$2="English","Investment","Investitionen")</f>
        <v>Investitionen</v>
      </c>
      <c r="N40" s="55"/>
      <c r="O40" s="55"/>
      <c r="P40" s="55"/>
      <c r="Q40" s="55"/>
      <c r="R40" s="55"/>
      <c r="S40" s="122"/>
      <c r="T40" s="481"/>
      <c r="U40" s="481"/>
      <c r="V40" s="481"/>
      <c r="W40" s="524"/>
      <c r="X40" s="481"/>
      <c r="Y40" s="481"/>
      <c r="Z40" s="481"/>
      <c r="AA40" s="481"/>
      <c r="AB40" s="481"/>
      <c r="AC40" s="55"/>
      <c r="AD40" s="55"/>
      <c r="AE40" s="55"/>
      <c r="AF40" s="55"/>
      <c r="AG40" s="55"/>
      <c r="AH40" s="55"/>
      <c r="AI40" s="55"/>
      <c r="AJ40" s="55"/>
      <c r="AK40" s="55"/>
      <c r="AL40" s="55"/>
      <c r="AM40" s="55"/>
      <c r="AN40" s="55"/>
      <c r="CV40" s="470" t="str">
        <f ca="1">"3d  Jährliche Abschreibungen ("&amp;   IF($C$4&lt;&gt;1,"ohne MwSt)","mit MwSt")&amp;" für die Jahre "&amp;'1 Pers.Ausgaben|Pers Expenses'!$C$4&amp;"-"&amp;'1 Pers.Ausgaben|Pers Expenses'!$C$4+4&amp;" in EURO"</f>
        <v>3d  Jährliche Abschreibungen (ohne MwSt) für die Jahre 2017-2021 in EURO</v>
      </c>
      <c r="CW40" s="717" t="str">
        <f ca="1">"3d  Anual depreciacion ("&amp;IF($C$4&lt;&gt;1,"w/o VAT)","incl VAT)")&amp;" for the Years "&amp;'1 Pers.Ausgaben|Pers Expenses'!$C$4&amp;"-"&amp;'1 Pers.Ausgaben|Pers Expenses'!$C$4+4&amp;" in EURO"</f>
        <v>3d  Anual depreciacion (w/o VAT) for the Years 2017-2021 in EURO</v>
      </c>
      <c r="DH40" s="39"/>
      <c r="DI40" s="39"/>
      <c r="DJ40" s="39"/>
      <c r="DK40" s="39"/>
      <c r="DL40" s="39"/>
      <c r="DM40" s="39"/>
      <c r="DN40" s="39"/>
      <c r="DO40" s="39"/>
      <c r="DP40" s="39"/>
      <c r="DQ40" s="39"/>
      <c r="DR40" s="39"/>
    </row>
    <row r="41" spans="1:122" s="58" customFormat="1" ht="15" thickBot="1" x14ac:dyDescent="0.25">
      <c r="A41" s="219"/>
      <c r="B41" s="55"/>
      <c r="C41" s="55"/>
      <c r="D41" s="55"/>
      <c r="E41" s="481"/>
      <c r="F41" s="55"/>
      <c r="G41" s="481"/>
      <c r="H41" s="55"/>
      <c r="I41" s="481"/>
      <c r="J41" s="55"/>
      <c r="K41" s="481"/>
      <c r="L41" s="55"/>
      <c r="M41" s="481"/>
      <c r="N41" s="55"/>
      <c r="O41" s="55"/>
      <c r="P41" s="55"/>
      <c r="Q41" s="55"/>
      <c r="R41" s="55"/>
      <c r="S41" s="122"/>
      <c r="T41" s="481"/>
      <c r="U41" s="481"/>
      <c r="V41" s="481"/>
      <c r="W41" s="524"/>
      <c r="X41" s="481"/>
      <c r="Y41" s="481"/>
      <c r="Z41" s="481"/>
      <c r="AA41" s="481"/>
      <c r="AB41" s="481"/>
      <c r="AC41" s="55"/>
      <c r="AD41" s="55"/>
      <c r="AE41" s="55"/>
      <c r="AF41" s="55"/>
      <c r="AG41" s="55"/>
      <c r="AH41" s="55"/>
      <c r="AI41" s="55"/>
      <c r="AJ41" s="55"/>
      <c r="AK41" s="55"/>
      <c r="AL41" s="55"/>
      <c r="AM41" s="55"/>
      <c r="AN41" s="55"/>
      <c r="CV41" s="39"/>
      <c r="CW41" s="39"/>
      <c r="DH41" s="39"/>
      <c r="DI41" s="39"/>
      <c r="DJ41" s="39"/>
      <c r="DK41" s="39"/>
      <c r="DL41" s="39"/>
      <c r="DM41" s="39"/>
      <c r="DN41" s="39"/>
      <c r="DO41" s="39"/>
      <c r="DP41" s="39"/>
      <c r="DQ41" s="39"/>
      <c r="DR41" s="39"/>
    </row>
    <row r="42" spans="1:122" s="58" customFormat="1" ht="15" thickBot="1" x14ac:dyDescent="0.25">
      <c r="A42" s="55"/>
      <c r="B42" s="1597" t="str">
        <f>IF($C$2="English",CW42,CV42)</f>
        <v>Investitionen</v>
      </c>
      <c r="C42" s="1598"/>
      <c r="D42" s="1599"/>
      <c r="E42" s="531">
        <f ca="1">'1 Pers.Ausgaben|Pers Expenses'!C4</f>
        <v>2017</v>
      </c>
      <c r="F42" s="531">
        <f ca="1">E42+1</f>
        <v>2018</v>
      </c>
      <c r="G42" s="531">
        <f ca="1">F42+1</f>
        <v>2019</v>
      </c>
      <c r="H42" s="531">
        <f ca="1">G42+1</f>
        <v>2020</v>
      </c>
      <c r="I42" s="531">
        <f ca="1">H42+1</f>
        <v>2021</v>
      </c>
      <c r="J42" s="55"/>
      <c r="K42" s="481"/>
      <c r="L42" s="55"/>
      <c r="M42" s="481"/>
      <c r="N42" s="55"/>
      <c r="O42" s="55"/>
      <c r="P42" s="55"/>
      <c r="Q42" s="55"/>
      <c r="R42" s="55"/>
      <c r="S42" s="122"/>
      <c r="T42" s="481"/>
      <c r="U42" s="481"/>
      <c r="V42" s="481"/>
      <c r="W42" s="524"/>
      <c r="X42" s="481"/>
      <c r="Y42" s="481"/>
      <c r="Z42" s="481"/>
      <c r="AA42" s="481"/>
      <c r="AB42" s="481"/>
      <c r="AC42" s="55"/>
      <c r="AD42" s="55"/>
      <c r="AE42" s="55"/>
      <c r="AF42" s="55"/>
      <c r="AG42" s="55"/>
      <c r="AH42" s="55"/>
      <c r="AI42" s="55"/>
      <c r="AJ42" s="55"/>
      <c r="AK42" s="55"/>
      <c r="AL42" s="55"/>
      <c r="AM42" s="55"/>
      <c r="AN42" s="55"/>
      <c r="CV42" s="39" t="s">
        <v>650</v>
      </c>
      <c r="CW42" s="39" t="s">
        <v>651</v>
      </c>
      <c r="DH42" s="39"/>
      <c r="DI42" s="39"/>
      <c r="DJ42" s="39"/>
      <c r="DK42" s="39"/>
      <c r="DL42" s="39"/>
      <c r="DM42" s="39"/>
      <c r="DN42" s="39"/>
      <c r="DO42" s="39"/>
      <c r="DP42" s="39"/>
      <c r="DQ42" s="39"/>
      <c r="DR42" s="39"/>
    </row>
    <row r="43" spans="1:122" s="58" customFormat="1" x14ac:dyDescent="0.2">
      <c r="A43" s="219"/>
      <c r="B43" s="480">
        <v>1</v>
      </c>
      <c r="C43" s="1630" t="str">
        <f t="shared" ref="C43:C49" si="17">C6</f>
        <v>Investitionsgut 1</v>
      </c>
      <c r="D43" s="1631"/>
      <c r="E43" s="1400">
        <f>P83</f>
        <v>0</v>
      </c>
      <c r="F43" s="1400">
        <f ca="1">P109</f>
        <v>0</v>
      </c>
      <c r="G43" s="1400">
        <f ca="1">P135</f>
        <v>0</v>
      </c>
      <c r="H43" s="1400">
        <f ca="1">P161</f>
        <v>0</v>
      </c>
      <c r="I43" s="1401">
        <f ca="1">P187</f>
        <v>0</v>
      </c>
      <c r="J43" s="55"/>
      <c r="K43" s="481"/>
      <c r="L43" s="55"/>
      <c r="M43" s="481"/>
      <c r="N43" s="55"/>
      <c r="O43" s="55"/>
      <c r="P43" s="55"/>
      <c r="Q43" s="55"/>
      <c r="R43" s="55"/>
      <c r="S43" s="122"/>
      <c r="T43" s="481"/>
      <c r="U43" s="481"/>
      <c r="V43" s="481"/>
      <c r="W43" s="524"/>
      <c r="X43" s="481"/>
      <c r="Y43" s="481"/>
      <c r="Z43" s="481"/>
      <c r="AA43" s="481"/>
      <c r="AB43" s="481"/>
      <c r="AC43" s="55"/>
      <c r="AD43" s="55"/>
      <c r="AE43" s="55"/>
      <c r="AF43" s="55"/>
      <c r="AG43" s="55"/>
      <c r="AH43" s="55"/>
      <c r="AI43" s="55"/>
      <c r="AJ43" s="55"/>
      <c r="AK43" s="55"/>
      <c r="AL43" s="55"/>
      <c r="AM43" s="55"/>
      <c r="AN43" s="55"/>
      <c r="CU43" s="483"/>
      <c r="CV43" s="532"/>
      <c r="CW43" s="479"/>
      <c r="DH43" s="39"/>
      <c r="DI43" s="39"/>
      <c r="DJ43" s="39"/>
      <c r="DK43" s="39"/>
      <c r="DL43" s="39"/>
      <c r="DM43" s="39"/>
      <c r="DN43" s="39"/>
      <c r="DO43" s="39"/>
      <c r="DP43" s="39"/>
      <c r="DQ43" s="39"/>
      <c r="DR43" s="39"/>
    </row>
    <row r="44" spans="1:122" s="58" customFormat="1" x14ac:dyDescent="0.2">
      <c r="A44" s="219"/>
      <c r="B44" s="480">
        <v>2</v>
      </c>
      <c r="C44" s="1628" t="str">
        <f t="shared" si="17"/>
        <v>Investitionsgut 2</v>
      </c>
      <c r="D44" s="1629"/>
      <c r="E44" s="1402">
        <f t="shared" ref="E44:E48" si="18">P84</f>
        <v>0</v>
      </c>
      <c r="F44" s="1402">
        <f t="shared" ref="F44:F49" ca="1" si="19">P110</f>
        <v>0</v>
      </c>
      <c r="G44" s="1402">
        <f t="shared" ref="G44:G49" ca="1" si="20">P136</f>
        <v>0</v>
      </c>
      <c r="H44" s="1402">
        <f t="shared" ref="H44:H49" ca="1" si="21">P162</f>
        <v>0</v>
      </c>
      <c r="I44" s="1403">
        <f t="shared" ref="I44:I49" ca="1" si="22">P188</f>
        <v>0</v>
      </c>
      <c r="J44" s="55"/>
      <c r="K44" s="481"/>
      <c r="L44" s="55"/>
      <c r="M44" s="481"/>
      <c r="N44" s="55"/>
      <c r="O44" s="55"/>
      <c r="P44" s="55"/>
      <c r="Q44" s="55"/>
      <c r="R44" s="55"/>
      <c r="S44" s="122"/>
      <c r="T44" s="481"/>
      <c r="U44" s="481"/>
      <c r="V44" s="481"/>
      <c r="W44" s="524"/>
      <c r="X44" s="481"/>
      <c r="Y44" s="481"/>
      <c r="Z44" s="481"/>
      <c r="AA44" s="481"/>
      <c r="AB44" s="481"/>
      <c r="AC44" s="55"/>
      <c r="AD44" s="55"/>
      <c r="AE44" s="55"/>
      <c r="AF44" s="55"/>
      <c r="AG44" s="55"/>
      <c r="AH44" s="55"/>
      <c r="AI44" s="55"/>
      <c r="AJ44" s="55"/>
      <c r="AK44" s="55"/>
      <c r="AL44" s="55"/>
      <c r="AM44" s="55"/>
      <c r="AN44" s="55"/>
      <c r="CU44" s="483"/>
      <c r="CV44" s="532"/>
      <c r="CW44" s="479"/>
      <c r="DH44" s="39"/>
      <c r="DI44" s="39"/>
      <c r="DJ44" s="39"/>
      <c r="DK44" s="39"/>
      <c r="DL44" s="39"/>
      <c r="DM44" s="39"/>
      <c r="DN44" s="39"/>
      <c r="DO44" s="39"/>
      <c r="DP44" s="39"/>
      <c r="DQ44" s="39"/>
      <c r="DR44" s="39"/>
    </row>
    <row r="45" spans="1:122" s="58" customFormat="1" x14ac:dyDescent="0.2">
      <c r="A45" s="219"/>
      <c r="B45" s="480">
        <v>3</v>
      </c>
      <c r="C45" s="1628" t="str">
        <f t="shared" si="17"/>
        <v>Investitionsgut 3</v>
      </c>
      <c r="D45" s="1629"/>
      <c r="E45" s="1402">
        <f t="shared" si="18"/>
        <v>0</v>
      </c>
      <c r="F45" s="1402">
        <f t="shared" ca="1" si="19"/>
        <v>0</v>
      </c>
      <c r="G45" s="1402">
        <f t="shared" ca="1" si="20"/>
        <v>0</v>
      </c>
      <c r="H45" s="1402">
        <f t="shared" ca="1" si="21"/>
        <v>0</v>
      </c>
      <c r="I45" s="1403">
        <f t="shared" ca="1" si="22"/>
        <v>0</v>
      </c>
      <c r="J45" s="55"/>
      <c r="K45" s="481"/>
      <c r="L45" s="55"/>
      <c r="M45" s="481"/>
      <c r="N45" s="55"/>
      <c r="O45" s="55"/>
      <c r="P45" s="55"/>
      <c r="Q45" s="55"/>
      <c r="R45" s="55"/>
      <c r="S45" s="122"/>
      <c r="T45" s="481"/>
      <c r="U45" s="481"/>
      <c r="V45" s="481"/>
      <c r="W45" s="524"/>
      <c r="X45" s="481"/>
      <c r="Y45" s="481"/>
      <c r="Z45" s="481"/>
      <c r="AA45" s="481"/>
      <c r="AB45" s="481"/>
      <c r="AC45" s="55"/>
      <c r="AD45" s="55"/>
      <c r="AE45" s="55"/>
      <c r="AF45" s="55"/>
      <c r="AG45" s="55"/>
      <c r="AH45" s="55"/>
      <c r="AI45" s="55"/>
      <c r="AJ45" s="55"/>
      <c r="AK45" s="55"/>
      <c r="AL45" s="55"/>
      <c r="AM45" s="55"/>
      <c r="AN45" s="55"/>
      <c r="CU45" s="483"/>
      <c r="CV45" s="532"/>
      <c r="CW45" s="479"/>
      <c r="DH45" s="39"/>
      <c r="DI45" s="39"/>
      <c r="DJ45" s="39"/>
      <c r="DK45" s="39"/>
      <c r="DL45" s="39"/>
      <c r="DM45" s="39"/>
      <c r="DN45" s="39"/>
      <c r="DO45" s="39"/>
      <c r="DP45" s="39"/>
      <c r="DQ45" s="39"/>
      <c r="DR45" s="39"/>
    </row>
    <row r="46" spans="1:122" s="58" customFormat="1" x14ac:dyDescent="0.2">
      <c r="A46" s="219"/>
      <c r="B46" s="480">
        <v>4</v>
      </c>
      <c r="C46" s="1628" t="str">
        <f t="shared" si="17"/>
        <v>Investitionsgut 4</v>
      </c>
      <c r="D46" s="1629"/>
      <c r="E46" s="1402">
        <f t="shared" si="18"/>
        <v>0</v>
      </c>
      <c r="F46" s="1402">
        <f t="shared" ca="1" si="19"/>
        <v>0</v>
      </c>
      <c r="G46" s="1402">
        <f t="shared" ca="1" si="20"/>
        <v>0</v>
      </c>
      <c r="H46" s="1402">
        <f t="shared" ca="1" si="21"/>
        <v>0</v>
      </c>
      <c r="I46" s="1403">
        <f t="shared" ca="1" si="22"/>
        <v>0</v>
      </c>
      <c r="J46" s="55"/>
      <c r="K46" s="55"/>
      <c r="L46" s="55"/>
      <c r="M46" s="481"/>
      <c r="N46" s="55"/>
      <c r="O46" s="55"/>
      <c r="P46" s="55"/>
      <c r="Q46" s="55"/>
      <c r="R46" s="55"/>
      <c r="S46" s="122"/>
      <c r="T46" s="481"/>
      <c r="U46" s="481"/>
      <c r="V46" s="481"/>
      <c r="W46" s="524"/>
      <c r="X46" s="481"/>
      <c r="Y46" s="481"/>
      <c r="Z46" s="481"/>
      <c r="AA46" s="481"/>
      <c r="AB46" s="481"/>
      <c r="AC46" s="55"/>
      <c r="AD46" s="55"/>
      <c r="AE46" s="55"/>
      <c r="AF46" s="55"/>
      <c r="AG46" s="55"/>
      <c r="AH46" s="55"/>
      <c r="AI46" s="55"/>
      <c r="AJ46" s="55"/>
      <c r="AK46" s="55"/>
      <c r="AL46" s="55"/>
      <c r="AM46" s="55"/>
      <c r="AN46" s="55"/>
      <c r="CU46" s="483"/>
      <c r="CV46" s="532"/>
      <c r="CW46" s="479"/>
      <c r="DH46" s="39"/>
      <c r="DI46" s="39"/>
      <c r="DJ46" s="39"/>
      <c r="DK46" s="39"/>
      <c r="DL46" s="39"/>
      <c r="DM46" s="39"/>
      <c r="DN46" s="39"/>
      <c r="DO46" s="39"/>
      <c r="DP46" s="39"/>
      <c r="DQ46" s="39"/>
      <c r="DR46" s="39"/>
    </row>
    <row r="47" spans="1:122" s="58" customFormat="1" x14ac:dyDescent="0.2">
      <c r="A47" s="219"/>
      <c r="B47" s="480">
        <v>5</v>
      </c>
      <c r="C47" s="1628" t="str">
        <f t="shared" si="17"/>
        <v>Investitionsgut 5</v>
      </c>
      <c r="D47" s="1629"/>
      <c r="E47" s="1402">
        <f t="shared" si="18"/>
        <v>0</v>
      </c>
      <c r="F47" s="1402">
        <f t="shared" ca="1" si="19"/>
        <v>0</v>
      </c>
      <c r="G47" s="1402">
        <f t="shared" ca="1" si="20"/>
        <v>0</v>
      </c>
      <c r="H47" s="1402">
        <f t="shared" ca="1" si="21"/>
        <v>0</v>
      </c>
      <c r="I47" s="1403">
        <f t="shared" ca="1" si="22"/>
        <v>0</v>
      </c>
      <c r="J47" s="55"/>
      <c r="K47" s="481"/>
      <c r="L47" s="55"/>
      <c r="M47" s="481"/>
      <c r="N47" s="55"/>
      <c r="O47" s="55"/>
      <c r="P47" s="55"/>
      <c r="Q47" s="55"/>
      <c r="R47" s="55"/>
      <c r="S47" s="122"/>
      <c r="T47" s="481"/>
      <c r="U47" s="481"/>
      <c r="V47" s="481"/>
      <c r="W47" s="524"/>
      <c r="X47" s="481"/>
      <c r="Y47" s="481"/>
      <c r="Z47" s="481"/>
      <c r="AA47" s="481"/>
      <c r="AB47" s="481"/>
      <c r="AC47" s="55"/>
      <c r="AD47" s="55"/>
      <c r="AE47" s="55"/>
      <c r="AF47" s="55"/>
      <c r="AG47" s="55"/>
      <c r="AH47" s="55"/>
      <c r="AI47" s="55"/>
      <c r="AJ47" s="55"/>
      <c r="AK47" s="55"/>
      <c r="AL47" s="55"/>
      <c r="AM47" s="55"/>
      <c r="AN47" s="55"/>
      <c r="CU47" s="483"/>
      <c r="CV47" s="532"/>
      <c r="CW47" s="479"/>
      <c r="DH47" s="39"/>
      <c r="DI47" s="39"/>
      <c r="DJ47" s="39"/>
      <c r="DK47" s="39"/>
      <c r="DL47" s="39"/>
      <c r="DM47" s="39"/>
      <c r="DN47" s="39"/>
      <c r="DO47" s="39"/>
      <c r="DP47" s="39"/>
      <c r="DQ47" s="39"/>
      <c r="DR47" s="39"/>
    </row>
    <row r="48" spans="1:122" s="58" customFormat="1" x14ac:dyDescent="0.2">
      <c r="A48" s="219"/>
      <c r="B48" s="480">
        <v>6</v>
      </c>
      <c r="C48" s="1628" t="str">
        <f t="shared" si="17"/>
        <v>Investitionsgut 6</v>
      </c>
      <c r="D48" s="1629"/>
      <c r="E48" s="1402">
        <f t="shared" si="18"/>
        <v>0</v>
      </c>
      <c r="F48" s="1402">
        <f t="shared" ca="1" si="19"/>
        <v>0</v>
      </c>
      <c r="G48" s="1402">
        <f t="shared" ca="1" si="20"/>
        <v>0</v>
      </c>
      <c r="H48" s="1402">
        <f t="shared" ca="1" si="21"/>
        <v>0</v>
      </c>
      <c r="I48" s="1403">
        <f t="shared" ca="1" si="22"/>
        <v>0</v>
      </c>
      <c r="J48" s="55"/>
      <c r="K48" s="481"/>
      <c r="L48" s="55"/>
      <c r="M48" s="481"/>
      <c r="N48" s="55"/>
      <c r="O48" s="55"/>
      <c r="P48" s="55"/>
      <c r="Q48" s="55"/>
      <c r="R48" s="55"/>
      <c r="S48" s="122"/>
      <c r="T48" s="481"/>
      <c r="U48" s="481"/>
      <c r="V48" s="481"/>
      <c r="W48" s="524"/>
      <c r="X48" s="481"/>
      <c r="Y48" s="481"/>
      <c r="Z48" s="481"/>
      <c r="AA48" s="481"/>
      <c r="AB48" s="481"/>
      <c r="AC48" s="55"/>
      <c r="AD48" s="55"/>
      <c r="AE48" s="55"/>
      <c r="AF48" s="55"/>
      <c r="AG48" s="55"/>
      <c r="AH48" s="55"/>
      <c r="AI48" s="55"/>
      <c r="AJ48" s="55"/>
      <c r="AK48" s="55"/>
      <c r="AL48" s="55"/>
      <c r="AM48" s="55"/>
      <c r="AN48" s="55"/>
      <c r="CU48" s="483"/>
      <c r="CV48" s="532"/>
      <c r="CW48" s="479"/>
      <c r="DH48" s="39"/>
      <c r="DI48" s="39"/>
      <c r="DJ48" s="39"/>
      <c r="DK48" s="39"/>
      <c r="DL48" s="39"/>
      <c r="DM48" s="39"/>
      <c r="DN48" s="39"/>
      <c r="DO48" s="39"/>
      <c r="DP48" s="39"/>
      <c r="DQ48" s="39"/>
      <c r="DR48" s="39"/>
    </row>
    <row r="49" spans="1:122" s="58" customFormat="1" x14ac:dyDescent="0.2">
      <c r="A49" s="219"/>
      <c r="B49" s="533">
        <v>7</v>
      </c>
      <c r="C49" s="1628" t="str">
        <f t="shared" si="17"/>
        <v>Investitionsgut 7</v>
      </c>
      <c r="D49" s="1629"/>
      <c r="E49" s="1402">
        <f>P89</f>
        <v>0</v>
      </c>
      <c r="F49" s="1402">
        <f t="shared" ca="1" si="19"/>
        <v>0</v>
      </c>
      <c r="G49" s="1402">
        <f t="shared" ca="1" si="20"/>
        <v>0</v>
      </c>
      <c r="H49" s="1402">
        <f t="shared" ca="1" si="21"/>
        <v>0</v>
      </c>
      <c r="I49" s="1403">
        <f t="shared" ca="1" si="22"/>
        <v>0</v>
      </c>
      <c r="J49" s="55"/>
      <c r="K49" s="481"/>
      <c r="L49" s="55"/>
      <c r="M49" s="481"/>
      <c r="N49" s="55"/>
      <c r="O49" s="55"/>
      <c r="P49" s="55"/>
      <c r="Q49" s="55"/>
      <c r="R49" s="55"/>
      <c r="S49" s="122"/>
      <c r="T49" s="481"/>
      <c r="U49" s="481"/>
      <c r="V49" s="481"/>
      <c r="W49" s="524"/>
      <c r="X49" s="481"/>
      <c r="Y49" s="481"/>
      <c r="Z49" s="481"/>
      <c r="AA49" s="481"/>
      <c r="AB49" s="481"/>
      <c r="AC49" s="55"/>
      <c r="AD49" s="55"/>
      <c r="AE49" s="55"/>
      <c r="AF49" s="55"/>
      <c r="AG49" s="55"/>
      <c r="AH49" s="55"/>
      <c r="AI49" s="55"/>
      <c r="AJ49" s="55"/>
      <c r="AK49" s="55"/>
      <c r="AL49" s="55"/>
      <c r="AM49" s="55"/>
      <c r="AN49" s="55"/>
      <c r="CU49" s="483"/>
      <c r="CV49" s="532"/>
      <c r="CW49" s="479"/>
      <c r="DH49" s="39"/>
      <c r="DI49" s="39"/>
      <c r="DJ49" s="39"/>
      <c r="DK49" s="39"/>
      <c r="DL49" s="39"/>
      <c r="DM49" s="39"/>
      <c r="DN49" s="39"/>
      <c r="DO49" s="39"/>
      <c r="DP49" s="39"/>
      <c r="DQ49" s="39"/>
      <c r="DR49" s="39"/>
    </row>
    <row r="50" spans="1:122" s="58" customFormat="1" x14ac:dyDescent="0.2">
      <c r="A50" s="219"/>
      <c r="B50" s="1239">
        <v>8</v>
      </c>
      <c r="C50" s="1628" t="str">
        <f ca="1">C18</f>
        <v>Sammelposten 2017</v>
      </c>
      <c r="D50" s="1629"/>
      <c r="E50" s="1402">
        <f>P90</f>
        <v>0</v>
      </c>
      <c r="F50" s="1402">
        <f>E50</f>
        <v>0</v>
      </c>
      <c r="G50" s="1402">
        <f t="shared" ref="G50:I50" si="23">F50</f>
        <v>0</v>
      </c>
      <c r="H50" s="1402">
        <f t="shared" si="23"/>
        <v>0</v>
      </c>
      <c r="I50" s="1403">
        <f t="shared" si="23"/>
        <v>0</v>
      </c>
      <c r="J50" s="55"/>
      <c r="K50" s="481"/>
      <c r="L50" s="55"/>
      <c r="M50" s="481"/>
      <c r="N50" s="55"/>
      <c r="O50" s="55"/>
      <c r="P50" s="55"/>
      <c r="Q50" s="55"/>
      <c r="R50" s="55"/>
      <c r="S50" s="122"/>
      <c r="T50" s="481"/>
      <c r="U50" s="481"/>
      <c r="V50" s="481"/>
      <c r="W50" s="524"/>
      <c r="X50" s="481"/>
      <c r="Y50" s="481"/>
      <c r="Z50" s="481"/>
      <c r="AA50" s="481"/>
      <c r="AB50" s="481"/>
      <c r="AC50" s="55"/>
      <c r="AD50" s="55"/>
      <c r="AE50" s="55"/>
      <c r="AF50" s="55"/>
      <c r="AG50" s="55"/>
      <c r="AH50" s="55"/>
      <c r="AI50" s="55"/>
      <c r="AJ50" s="55"/>
      <c r="AK50" s="55"/>
      <c r="AL50" s="55"/>
      <c r="AM50" s="55"/>
      <c r="AN50" s="55"/>
      <c r="CU50" s="174"/>
      <c r="CV50" s="532"/>
      <c r="CW50" s="479"/>
      <c r="DH50" s="39"/>
      <c r="DI50" s="39"/>
      <c r="DJ50" s="39"/>
      <c r="DK50" s="39"/>
      <c r="DL50" s="39"/>
      <c r="DM50" s="39"/>
      <c r="DN50" s="39"/>
      <c r="DO50" s="39"/>
      <c r="DP50" s="39"/>
      <c r="DQ50" s="39"/>
      <c r="DR50" s="39"/>
    </row>
    <row r="51" spans="1:122" s="58" customFormat="1" x14ac:dyDescent="0.2">
      <c r="A51" s="219"/>
      <c r="B51" s="1239">
        <v>8</v>
      </c>
      <c r="C51" s="1628" t="str">
        <f ca="1">F18</f>
        <v>Sammelposten 2018</v>
      </c>
      <c r="D51" s="1629"/>
      <c r="E51" s="1404"/>
      <c r="F51" s="1402" t="str">
        <f>IF($O398=1,K398,"")</f>
        <v/>
      </c>
      <c r="G51" s="1402" t="str">
        <f>F51</f>
        <v/>
      </c>
      <c r="H51" s="1402" t="str">
        <f t="shared" ref="H51:I51" si="24">G51</f>
        <v/>
      </c>
      <c r="I51" s="1403" t="str">
        <f t="shared" si="24"/>
        <v/>
      </c>
      <c r="J51" s="55"/>
      <c r="K51" s="481"/>
      <c r="L51" s="55"/>
      <c r="M51" s="481"/>
      <c r="N51" s="55"/>
      <c r="O51" s="55"/>
      <c r="P51" s="55"/>
      <c r="Q51" s="55"/>
      <c r="R51" s="55"/>
      <c r="S51" s="122"/>
      <c r="T51" s="481"/>
      <c r="U51" s="481"/>
      <c r="V51" s="481"/>
      <c r="W51" s="524"/>
      <c r="X51" s="481"/>
      <c r="Y51" s="481"/>
      <c r="Z51" s="481"/>
      <c r="AA51" s="481"/>
      <c r="AB51" s="481"/>
      <c r="AC51" s="55"/>
      <c r="AD51" s="55"/>
      <c r="AE51" s="55"/>
      <c r="AF51" s="55"/>
      <c r="AG51" s="55"/>
      <c r="AH51" s="55"/>
      <c r="AI51" s="55"/>
      <c r="AJ51" s="55"/>
      <c r="AK51" s="55"/>
      <c r="AL51" s="55"/>
      <c r="AM51" s="55"/>
      <c r="AN51" s="55"/>
      <c r="CU51" s="174"/>
      <c r="CV51" s="532"/>
      <c r="CW51" s="532"/>
      <c r="DH51" s="39"/>
      <c r="DI51" s="39"/>
      <c r="DJ51" s="39"/>
      <c r="DK51" s="39"/>
      <c r="DL51" s="39"/>
      <c r="DM51" s="39"/>
      <c r="DN51" s="39"/>
      <c r="DO51" s="39"/>
      <c r="DP51" s="39"/>
      <c r="DQ51" s="39"/>
      <c r="DR51" s="39"/>
    </row>
    <row r="52" spans="1:122" s="58" customFormat="1" x14ac:dyDescent="0.2">
      <c r="A52" s="219"/>
      <c r="B52" s="1239">
        <v>8</v>
      </c>
      <c r="C52" s="1628" t="str">
        <f ca="1">I18</f>
        <v>Sammelposten 2019</v>
      </c>
      <c r="D52" s="1629"/>
      <c r="E52" s="1404"/>
      <c r="F52" s="1404"/>
      <c r="G52" s="1402">
        <f ca="1">P142</f>
        <v>0</v>
      </c>
      <c r="H52" s="1402">
        <f ca="1">G52</f>
        <v>0</v>
      </c>
      <c r="I52" s="1403">
        <f ca="1">H52</f>
        <v>0</v>
      </c>
      <c r="J52" s="55"/>
      <c r="K52" s="481"/>
      <c r="L52" s="55"/>
      <c r="M52" s="481"/>
      <c r="N52" s="55"/>
      <c r="O52" s="55"/>
      <c r="P52" s="55"/>
      <c r="Q52" s="55"/>
      <c r="R52" s="55"/>
      <c r="S52" s="122"/>
      <c r="T52" s="481"/>
      <c r="U52" s="481"/>
      <c r="V52" s="481"/>
      <c r="W52" s="524"/>
      <c r="X52" s="481"/>
      <c r="Y52" s="481"/>
      <c r="Z52" s="481"/>
      <c r="AA52" s="481"/>
      <c r="AB52" s="481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CU52" s="174"/>
      <c r="CV52" s="532"/>
      <c r="CW52" s="532"/>
      <c r="DH52" s="39"/>
      <c r="DI52" s="39"/>
      <c r="DJ52" s="39"/>
      <c r="DK52" s="39"/>
      <c r="DL52" s="39"/>
      <c r="DM52" s="39"/>
      <c r="DN52" s="39"/>
      <c r="DO52" s="39"/>
      <c r="DP52" s="39"/>
      <c r="DQ52" s="39"/>
      <c r="DR52" s="39"/>
    </row>
    <row r="53" spans="1:122" s="58" customFormat="1" x14ac:dyDescent="0.2">
      <c r="A53" s="219"/>
      <c r="B53" s="1240">
        <v>8</v>
      </c>
      <c r="C53" s="1628" t="str">
        <f ca="1">L18</f>
        <v>Sammelposten 2020</v>
      </c>
      <c r="D53" s="1629"/>
      <c r="E53" s="1404"/>
      <c r="F53" s="1404"/>
      <c r="G53" s="1404"/>
      <c r="H53" s="1402">
        <f ca="1">P168</f>
        <v>0</v>
      </c>
      <c r="I53" s="1403">
        <f ca="1">H53</f>
        <v>0</v>
      </c>
      <c r="J53" s="55"/>
      <c r="K53" s="481"/>
      <c r="L53" s="55"/>
      <c r="M53" s="481"/>
      <c r="N53" s="55"/>
      <c r="O53" s="55"/>
      <c r="P53" s="55"/>
      <c r="Q53" s="55"/>
      <c r="R53" s="55"/>
      <c r="S53" s="122"/>
      <c r="T53" s="481"/>
      <c r="U53" s="481"/>
      <c r="V53" s="481"/>
      <c r="W53" s="524"/>
      <c r="X53" s="481"/>
      <c r="Y53" s="481"/>
      <c r="Z53" s="481"/>
      <c r="AA53" s="481"/>
      <c r="AB53" s="481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CU53" s="483"/>
      <c r="CV53" s="532"/>
      <c r="CW53" s="532"/>
      <c r="DH53" s="39"/>
      <c r="DI53" s="39"/>
      <c r="DJ53" s="39"/>
      <c r="DK53" s="39"/>
      <c r="DL53" s="39"/>
      <c r="DM53" s="39"/>
      <c r="DN53" s="39"/>
      <c r="DO53" s="39"/>
      <c r="DP53" s="39"/>
      <c r="DQ53" s="39"/>
      <c r="DR53" s="39"/>
    </row>
    <row r="54" spans="1:122" s="58" customFormat="1" ht="15" thickBot="1" x14ac:dyDescent="0.25">
      <c r="A54" s="219"/>
      <c r="B54" s="533">
        <v>9</v>
      </c>
      <c r="C54" s="1410" t="str">
        <f>IF($C$2="English",CW54,CV54)</f>
        <v>Sonderabschreibungen</v>
      </c>
      <c r="D54" s="1411"/>
      <c r="E54" s="1405"/>
      <c r="F54" s="1406"/>
      <c r="G54" s="1407"/>
      <c r="H54" s="1408"/>
      <c r="I54" s="1409"/>
      <c r="J54" s="55"/>
      <c r="K54" s="481"/>
      <c r="L54" s="55"/>
      <c r="M54" s="481"/>
      <c r="N54" s="55"/>
      <c r="O54" s="55"/>
      <c r="P54" s="55"/>
      <c r="Q54" s="55"/>
      <c r="R54" s="55"/>
      <c r="S54" s="122"/>
      <c r="T54" s="481"/>
      <c r="U54" s="481"/>
      <c r="V54" s="481"/>
      <c r="W54" s="524"/>
      <c r="X54" s="481"/>
      <c r="Y54" s="481"/>
      <c r="Z54" s="481"/>
      <c r="AA54" s="481"/>
      <c r="AB54" s="481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CU54" s="483"/>
      <c r="CV54" s="529" t="s">
        <v>566</v>
      </c>
      <c r="CW54" s="39" t="s">
        <v>649</v>
      </c>
      <c r="CX54" s="1302"/>
      <c r="DH54" s="39"/>
      <c r="DI54" s="39"/>
      <c r="DJ54" s="39"/>
      <c r="DK54" s="39"/>
      <c r="DL54" s="39"/>
      <c r="DM54" s="39"/>
      <c r="DN54" s="39"/>
      <c r="DO54" s="39"/>
      <c r="DP54" s="39"/>
      <c r="DQ54" s="39"/>
      <c r="DR54" s="39"/>
    </row>
    <row r="55" spans="1:122" s="58" customFormat="1" ht="15.75" thickTop="1" thickBot="1" x14ac:dyDescent="0.25">
      <c r="A55" s="219"/>
      <c r="B55" s="1625" t="str">
        <f>IF($C$2="English",CW55,CV55)</f>
        <v>Abschreibungen</v>
      </c>
      <c r="C55" s="1626"/>
      <c r="D55" s="1627"/>
      <c r="E55" s="534">
        <f>SUM(E43:E54)</f>
        <v>0</v>
      </c>
      <c r="F55" s="535">
        <f ca="1">SUM(F43:F54)</f>
        <v>0</v>
      </c>
      <c r="G55" s="535">
        <f ca="1">SUM(G43:G54)</f>
        <v>0</v>
      </c>
      <c r="H55" s="535">
        <f ca="1">SUM(H43:H54)</f>
        <v>0</v>
      </c>
      <c r="I55" s="536">
        <f ca="1">SUM(I43:I54)</f>
        <v>0</v>
      </c>
      <c r="J55" s="55"/>
      <c r="K55" s="481"/>
      <c r="L55" s="55"/>
      <c r="M55" s="481"/>
      <c r="N55" s="55"/>
      <c r="O55" s="55"/>
      <c r="P55" s="55"/>
      <c r="Q55" s="55"/>
      <c r="R55" s="55"/>
      <c r="S55" s="122"/>
      <c r="T55" s="481"/>
      <c r="U55" s="481"/>
      <c r="V55" s="481"/>
      <c r="W55" s="524"/>
      <c r="X55" s="481"/>
      <c r="Y55" s="481"/>
      <c r="Z55" s="481"/>
      <c r="AA55" s="481"/>
      <c r="AB55" s="481"/>
      <c r="AC55" s="55"/>
      <c r="AD55" s="55"/>
      <c r="AE55" s="55"/>
      <c r="AF55" s="55"/>
      <c r="AG55" s="55"/>
      <c r="AH55" s="55"/>
      <c r="AI55" s="55"/>
      <c r="AJ55" s="55"/>
      <c r="AK55" s="55"/>
      <c r="AL55" s="55"/>
      <c r="AM55" s="55"/>
      <c r="AN55" s="55"/>
      <c r="CV55" s="39" t="s">
        <v>155</v>
      </c>
      <c r="CW55" s="39" t="s">
        <v>479</v>
      </c>
      <c r="DH55" s="39"/>
      <c r="DI55" s="39"/>
      <c r="DJ55" s="39"/>
      <c r="DK55" s="39"/>
      <c r="DL55" s="39"/>
      <c r="DM55" s="39"/>
      <c r="DN55" s="39"/>
      <c r="DO55" s="39"/>
      <c r="DP55" s="39"/>
      <c r="DQ55" s="39"/>
      <c r="DR55" s="39"/>
    </row>
    <row r="56" spans="1:122" s="219" customFormat="1" x14ac:dyDescent="0.2">
      <c r="B56" s="250"/>
      <c r="C56" s="250"/>
      <c r="E56" s="456"/>
      <c r="G56" s="456"/>
      <c r="I56" s="456"/>
      <c r="K56" s="467"/>
      <c r="L56" s="250"/>
      <c r="M56" s="467"/>
      <c r="N56" s="250"/>
      <c r="S56" s="232"/>
      <c r="T56" s="456"/>
      <c r="U56" s="456"/>
      <c r="V56" s="456"/>
      <c r="W56" s="456"/>
      <c r="X56" s="456"/>
      <c r="Y56" s="456"/>
      <c r="Z56" s="456"/>
      <c r="AA56" s="456"/>
      <c r="AB56" s="456"/>
      <c r="AS56" s="353"/>
      <c r="CQ56" s="222"/>
      <c r="CR56" s="222"/>
      <c r="CS56" s="222"/>
      <c r="CT56" s="222"/>
      <c r="CU56" s="233"/>
      <c r="CX56" s="1449"/>
      <c r="CY56" s="222"/>
      <c r="CZ56" s="222"/>
      <c r="DA56" s="222"/>
      <c r="DB56" s="222"/>
      <c r="DC56" s="222"/>
      <c r="DD56" s="222"/>
      <c r="DE56" s="222"/>
      <c r="DF56" s="222"/>
      <c r="DG56" s="222"/>
      <c r="DH56" s="223"/>
      <c r="DI56" s="223"/>
      <c r="DJ56" s="223"/>
      <c r="DK56" s="223"/>
      <c r="DL56" s="223"/>
      <c r="DM56" s="223"/>
      <c r="DN56" s="223"/>
      <c r="DO56" s="223"/>
      <c r="DP56" s="223"/>
      <c r="DQ56" s="223"/>
      <c r="DR56" s="223"/>
    </row>
    <row r="57" spans="1:122" s="250" customFormat="1" x14ac:dyDescent="0.2">
      <c r="A57" s="219"/>
      <c r="B57" s="1454" t="s">
        <v>704</v>
      </c>
      <c r="K57" s="467"/>
      <c r="L57" s="467"/>
      <c r="M57" s="467"/>
      <c r="S57" s="273"/>
      <c r="T57" s="467"/>
      <c r="U57" s="467"/>
      <c r="V57" s="467"/>
      <c r="W57" s="467"/>
      <c r="X57" s="467"/>
      <c r="Y57" s="504"/>
      <c r="Z57" s="504"/>
      <c r="AA57" s="504"/>
      <c r="AB57" s="504"/>
      <c r="CQ57" s="272"/>
      <c r="CR57" s="272"/>
      <c r="CS57" s="272"/>
      <c r="CT57" s="272"/>
      <c r="CU57" s="537"/>
      <c r="CW57" s="1449" t="s">
        <v>149</v>
      </c>
      <c r="CX57" s="272"/>
      <c r="CY57" s="272"/>
      <c r="CZ57" s="272"/>
      <c r="DA57" s="272"/>
      <c r="DB57" s="272"/>
      <c r="DC57" s="272"/>
      <c r="DD57" s="272"/>
      <c r="DE57" s="272"/>
      <c r="DF57" s="272"/>
      <c r="DG57" s="272"/>
      <c r="DH57" s="233"/>
      <c r="DI57" s="233"/>
      <c r="DJ57" s="233"/>
      <c r="DK57" s="233"/>
      <c r="DL57" s="233"/>
      <c r="DM57" s="233"/>
      <c r="DN57" s="233"/>
      <c r="DO57" s="233"/>
      <c r="DP57" s="233"/>
      <c r="DQ57" s="233"/>
      <c r="DR57" s="233"/>
    </row>
    <row r="58" spans="1:122" s="219" customFormat="1" x14ac:dyDescent="0.2">
      <c r="B58" s="1258" t="str">
        <f>IF($C$2="English",CW58,CV58)</f>
        <v>1) Anschaffungen mit einem Wert größer 400 EUR müssen entsprechend ihrer Nutzungsdauer abgeschriebenwerden. Diese Anschaffungen sind in Tabelle 3a "Geplante Anschaffungen" aufzuführen.</v>
      </c>
      <c r="C58" s="250"/>
      <c r="E58" s="456"/>
      <c r="G58" s="456"/>
      <c r="I58" s="456"/>
      <c r="K58" s="467"/>
      <c r="L58" s="250"/>
      <c r="M58" s="467"/>
      <c r="N58" s="250"/>
      <c r="S58" s="538" t="s">
        <v>251</v>
      </c>
      <c r="T58" s="456"/>
      <c r="U58" s="456"/>
      <c r="V58" s="456"/>
      <c r="W58" s="456"/>
      <c r="X58" s="456"/>
      <c r="Y58" s="456"/>
      <c r="Z58" s="456"/>
      <c r="AA58" s="456"/>
      <c r="AB58" s="456"/>
      <c r="AS58" s="353"/>
      <c r="CQ58" s="222"/>
      <c r="CR58" s="222"/>
      <c r="CS58" s="222"/>
      <c r="CT58" s="222"/>
      <c r="CU58" s="233"/>
      <c r="CV58" s="717" t="s">
        <v>696</v>
      </c>
      <c r="CW58" s="717" t="s">
        <v>697</v>
      </c>
      <c r="CX58" s="222"/>
      <c r="CY58" s="222"/>
      <c r="CZ58" s="222"/>
      <c r="DA58" s="222"/>
      <c r="DB58" s="222"/>
      <c r="DC58" s="222"/>
      <c r="DD58" s="222"/>
      <c r="DE58" s="222"/>
      <c r="DF58" s="222"/>
      <c r="DG58" s="222"/>
      <c r="DH58" s="223"/>
      <c r="DI58" s="223"/>
      <c r="DJ58" s="223"/>
      <c r="DK58" s="223"/>
      <c r="DL58" s="223"/>
      <c r="DM58" s="223"/>
      <c r="DN58" s="223"/>
      <c r="DO58" s="223"/>
      <c r="DP58" s="223"/>
      <c r="DQ58" s="223"/>
      <c r="DR58" s="223"/>
    </row>
    <row r="59" spans="1:122" s="250" customFormat="1" x14ac:dyDescent="0.2">
      <c r="B59" s="1258" t="str">
        <f t="shared" ref="B59:B64" si="25">IF($C$2="English",CW59,CV59)</f>
        <v xml:space="preserve">    Dabei sind sind Anschaffungsbetrag,  Anschaffungsmonat und die Nutzungsdauer anzugeben. In jede Zeile darf nur e i n e  Investition eingetragen werden.</v>
      </c>
      <c r="C59" s="211"/>
      <c r="E59" s="467"/>
      <c r="G59" s="467"/>
      <c r="I59" s="467"/>
      <c r="K59" s="467"/>
      <c r="M59" s="467"/>
      <c r="S59" s="539"/>
      <c r="T59" s="467"/>
      <c r="U59" s="467"/>
      <c r="V59" s="467"/>
      <c r="W59" s="467"/>
      <c r="X59" s="467"/>
      <c r="Y59" s="467"/>
      <c r="Z59" s="467"/>
      <c r="AA59" s="467"/>
      <c r="AB59" s="467"/>
      <c r="AS59" s="540"/>
      <c r="BL59" s="55"/>
      <c r="CA59" s="55"/>
      <c r="CB59" s="55"/>
      <c r="CC59" s="55"/>
      <c r="CD59" s="55"/>
      <c r="CE59" s="55"/>
      <c r="CF59" s="55"/>
      <c r="CG59" s="55"/>
      <c r="CH59" s="55"/>
      <c r="CI59" s="55"/>
      <c r="CJ59" s="55"/>
      <c r="CK59" s="55"/>
      <c r="CQ59" s="272"/>
      <c r="CR59" s="272"/>
      <c r="CS59" s="272"/>
      <c r="CT59" s="272"/>
      <c r="CU59" s="60"/>
      <c r="CV59" s="717" t="s">
        <v>690</v>
      </c>
      <c r="CW59" s="717" t="s">
        <v>705</v>
      </c>
      <c r="CX59" s="272"/>
      <c r="CY59" s="58"/>
      <c r="CZ59" s="58"/>
      <c r="DA59" s="58"/>
      <c r="DB59" s="272"/>
      <c r="DC59" s="272"/>
      <c r="DD59" s="272"/>
      <c r="DE59" s="272"/>
      <c r="DF59" s="272"/>
      <c r="DG59" s="272"/>
      <c r="DH59" s="233"/>
      <c r="DI59" s="233"/>
      <c r="DJ59" s="233"/>
      <c r="DK59" s="233"/>
      <c r="DL59" s="233"/>
      <c r="DM59" s="233"/>
      <c r="DN59" s="233"/>
      <c r="DO59" s="233"/>
      <c r="DP59" s="233"/>
      <c r="DQ59" s="233"/>
      <c r="DR59" s="233"/>
    </row>
    <row r="61" spans="1:122" s="250" customFormat="1" ht="15.75" x14ac:dyDescent="0.25">
      <c r="B61" s="1258" t="str">
        <f t="shared" si="25"/>
        <v>Seit 1.1.2010 gibt es für die Abschreibung von geringwertigen Wirtschaftsgütern ein Wahlrecht ( zwei Alternativen)</v>
      </c>
      <c r="C61" s="55"/>
      <c r="E61" s="467"/>
      <c r="G61" s="467"/>
      <c r="I61" s="467"/>
      <c r="K61" s="467"/>
      <c r="M61" s="467"/>
      <c r="S61" s="539"/>
      <c r="T61" s="467"/>
      <c r="U61" s="467"/>
      <c r="V61" s="467"/>
      <c r="W61" s="467"/>
      <c r="X61" s="467"/>
      <c r="Y61" s="504"/>
      <c r="Z61" s="504"/>
      <c r="AA61" s="504"/>
      <c r="AB61" s="504"/>
      <c r="AS61" s="540"/>
      <c r="BL61" s="55"/>
      <c r="CA61" s="55"/>
      <c r="CB61" s="55"/>
      <c r="CC61" s="55"/>
      <c r="CD61" s="55"/>
      <c r="CE61" s="55"/>
      <c r="CF61" s="55"/>
      <c r="CG61" s="55"/>
      <c r="CH61" s="55"/>
      <c r="CI61" s="55"/>
      <c r="CJ61" s="55"/>
      <c r="CK61" s="55"/>
      <c r="CQ61" s="272"/>
      <c r="CR61" s="272"/>
      <c r="CS61" s="272"/>
      <c r="CT61" s="272"/>
      <c r="CU61" s="39"/>
      <c r="CV61" s="898" t="s">
        <v>698</v>
      </c>
      <c r="CW61" s="223" t="s">
        <v>699</v>
      </c>
      <c r="CX61" s="1451"/>
      <c r="CY61" s="1451"/>
      <c r="CZ61" s="1451"/>
      <c r="DA61" s="1451"/>
      <c r="DB61" s="1451"/>
      <c r="DC61" s="1451"/>
      <c r="DD61" s="1451"/>
      <c r="DE61" s="1451"/>
      <c r="DF61" s="1451"/>
      <c r="DG61" s="272"/>
      <c r="DH61" s="233"/>
      <c r="DI61" s="233"/>
      <c r="DJ61" s="233"/>
      <c r="DK61" s="233"/>
      <c r="DL61" s="233"/>
      <c r="DM61" s="233"/>
      <c r="DN61" s="233"/>
      <c r="DO61" s="233"/>
      <c r="DP61" s="233"/>
      <c r="DQ61" s="233"/>
      <c r="DR61" s="233"/>
    </row>
    <row r="62" spans="1:122" s="250" customFormat="1" ht="15.75" x14ac:dyDescent="0.25">
      <c r="B62" s="1258" t="str">
        <f t="shared" si="25"/>
        <v>a) Geringwertige Wirtschaftsgüter (GwG) mit einem Anschaffungswert kleiner als 410 EURO können sofort abgeschrieben werden; sie sind in Tab. 4 "Betriebskosten" aufzuführen.</v>
      </c>
      <c r="C62" s="55"/>
      <c r="E62" s="467"/>
      <c r="G62" s="467"/>
      <c r="I62" s="467"/>
      <c r="K62" s="467"/>
      <c r="M62" s="467"/>
      <c r="S62" s="539"/>
      <c r="T62" s="467"/>
      <c r="U62" s="467"/>
      <c r="V62" s="542"/>
      <c r="W62" s="467"/>
      <c r="X62" s="467"/>
      <c r="Y62" s="504"/>
      <c r="Z62" s="504"/>
      <c r="AA62" s="504"/>
      <c r="AB62" s="504"/>
      <c r="CQ62" s="272"/>
      <c r="CR62" s="272"/>
      <c r="CS62" s="272"/>
      <c r="CT62" s="272"/>
      <c r="CU62" s="39"/>
      <c r="CV62" s="717" t="s">
        <v>692</v>
      </c>
      <c r="CW62" s="717" t="s">
        <v>693</v>
      </c>
      <c r="CX62" s="1451"/>
      <c r="CY62" s="1451"/>
      <c r="CZ62" s="1451"/>
      <c r="DA62" s="1451"/>
      <c r="DB62" s="1451"/>
      <c r="DC62" s="1451"/>
      <c r="DD62" s="1451"/>
      <c r="DE62" s="1451"/>
      <c r="DF62" s="1451"/>
      <c r="DG62" s="272"/>
      <c r="DH62" s="233"/>
      <c r="DI62" s="233"/>
      <c r="DJ62" s="233"/>
      <c r="DK62" s="233"/>
      <c r="DL62" s="233"/>
      <c r="DM62" s="233"/>
      <c r="DN62" s="233"/>
      <c r="DO62" s="233"/>
      <c r="DP62" s="233"/>
      <c r="DQ62" s="233"/>
      <c r="DR62" s="233"/>
    </row>
    <row r="63" spans="1:122" s="250" customFormat="1" ht="15.75" x14ac:dyDescent="0.25">
      <c r="B63" s="1258" t="str">
        <f t="shared" si="25"/>
        <v>b) Mehrere Anschaffungen mit einem Wert größer als 150 EUR und kleiner als 1.000 EUR können in der sog. Poolabschreibung als Sammelposten zusammengefaßt werden.</v>
      </c>
      <c r="C63" s="55"/>
      <c r="E63" s="467"/>
      <c r="G63" s="467"/>
      <c r="I63" s="467"/>
      <c r="K63" s="467"/>
      <c r="M63" s="467"/>
      <c r="S63" s="539"/>
      <c r="T63" s="467"/>
      <c r="U63" s="467"/>
      <c r="V63" s="542"/>
      <c r="W63" s="467"/>
      <c r="X63" s="467"/>
      <c r="Y63" s="504"/>
      <c r="Z63" s="504"/>
      <c r="AA63" s="504"/>
      <c r="AB63" s="504"/>
      <c r="CQ63" s="272"/>
      <c r="CR63" s="272"/>
      <c r="CS63" s="272"/>
      <c r="CT63" s="272"/>
      <c r="CU63" s="39"/>
      <c r="CV63" s="717" t="s">
        <v>689</v>
      </c>
      <c r="CW63" s="717" t="s">
        <v>700</v>
      </c>
      <c r="CX63" s="1451"/>
      <c r="CY63" s="1451"/>
      <c r="CZ63" s="1451"/>
      <c r="DA63" s="1451"/>
      <c r="DB63" s="1451"/>
      <c r="DC63" s="1451"/>
      <c r="DD63" s="1451"/>
      <c r="DE63" s="1451"/>
      <c r="DF63" s="1451"/>
      <c r="DG63" s="272"/>
      <c r="DH63" s="233"/>
      <c r="DI63" s="233"/>
      <c r="DJ63" s="233"/>
      <c r="DK63" s="233"/>
      <c r="DL63" s="233"/>
      <c r="DM63" s="233"/>
      <c r="DN63" s="233"/>
      <c r="DO63" s="233"/>
      <c r="DP63" s="233"/>
      <c r="DQ63" s="233"/>
      <c r="DR63" s="233"/>
    </row>
    <row r="64" spans="1:122" s="250" customFormat="1" ht="15.75" x14ac:dyDescent="0.25">
      <c r="B64" s="1258" t="str">
        <f t="shared" si="25"/>
        <v xml:space="preserve">    Diese Sammelposten werden in Tabelle 3b eingetragen und werden generell  über 5 Jahre abgeschrieben.</v>
      </c>
      <c r="C64" s="55"/>
      <c r="E64" s="467"/>
      <c r="G64" s="467"/>
      <c r="I64" s="467"/>
      <c r="K64" s="467"/>
      <c r="M64" s="467"/>
      <c r="S64" s="539"/>
      <c r="T64" s="467"/>
      <c r="U64" s="467"/>
      <c r="V64" s="542"/>
      <c r="W64" s="467"/>
      <c r="X64" s="467"/>
      <c r="Y64" s="504"/>
      <c r="Z64" s="504"/>
      <c r="AA64" s="504"/>
      <c r="AB64" s="504"/>
      <c r="CQ64" s="272"/>
      <c r="CR64" s="272"/>
      <c r="CS64" s="272"/>
      <c r="CT64" s="272"/>
      <c r="CU64" s="39"/>
      <c r="CV64" s="717" t="s">
        <v>691</v>
      </c>
      <c r="CW64" s="717" t="s">
        <v>694</v>
      </c>
      <c r="CX64" s="1451"/>
      <c r="CY64" s="1451"/>
      <c r="CZ64" s="1451"/>
      <c r="DA64" s="1451"/>
      <c r="DB64" s="1451"/>
      <c r="DC64" s="1451"/>
      <c r="DD64" s="1451"/>
      <c r="DE64" s="1451"/>
      <c r="DF64" s="1451"/>
      <c r="DG64" s="272"/>
      <c r="DH64" s="233"/>
      <c r="DI64" s="233"/>
      <c r="DJ64" s="233"/>
      <c r="DK64" s="233"/>
      <c r="DL64" s="233"/>
      <c r="DM64" s="233"/>
      <c r="DN64" s="233"/>
      <c r="DO64" s="233"/>
      <c r="DP64" s="233"/>
      <c r="DQ64" s="233"/>
      <c r="DR64" s="233"/>
    </row>
    <row r="65" spans="2:122" s="250" customFormat="1" x14ac:dyDescent="0.2">
      <c r="B65" s="1632" t="s">
        <v>703</v>
      </c>
      <c r="C65" s="1632"/>
      <c r="D65" s="1632"/>
      <c r="E65" s="1632"/>
      <c r="F65" s="1632"/>
      <c r="G65" s="1632"/>
      <c r="H65" s="1632"/>
      <c r="I65" s="1632"/>
      <c r="J65" s="1632"/>
      <c r="K65" s="467"/>
      <c r="M65" s="467"/>
      <c r="S65" s="539"/>
      <c r="T65" s="467"/>
      <c r="U65" s="467"/>
      <c r="V65" s="467"/>
      <c r="W65" s="467"/>
      <c r="X65" s="467"/>
      <c r="Y65" s="467"/>
      <c r="Z65" s="467"/>
      <c r="AA65" s="467"/>
      <c r="AB65" s="467"/>
      <c r="AS65" s="540"/>
      <c r="BL65" s="55"/>
      <c r="CA65" s="55"/>
      <c r="CB65" s="55"/>
      <c r="CC65" s="55"/>
      <c r="CD65" s="55"/>
      <c r="CE65" s="55"/>
      <c r="CF65" s="55"/>
      <c r="CG65" s="55"/>
      <c r="CH65" s="55"/>
      <c r="CI65" s="55"/>
      <c r="CJ65" s="55"/>
      <c r="CK65" s="55"/>
      <c r="CQ65" s="272"/>
      <c r="CR65" s="272"/>
      <c r="CS65" s="272"/>
      <c r="CT65" s="272"/>
      <c r="CU65" s="60"/>
      <c r="CV65" s="717"/>
      <c r="CW65" s="717"/>
      <c r="CX65" s="272"/>
      <c r="CY65" s="58"/>
      <c r="CZ65" s="58"/>
      <c r="DA65" s="58"/>
      <c r="DB65" s="272"/>
      <c r="DC65" s="272"/>
      <c r="DD65" s="272"/>
      <c r="DE65" s="272"/>
      <c r="DF65" s="272"/>
      <c r="DG65" s="272"/>
      <c r="DH65" s="233"/>
      <c r="DI65" s="233"/>
      <c r="DJ65" s="233"/>
      <c r="DK65" s="233"/>
      <c r="DL65" s="233"/>
      <c r="DM65" s="233"/>
      <c r="DN65" s="233"/>
      <c r="DO65" s="233"/>
      <c r="DP65" s="233"/>
      <c r="DQ65" s="233"/>
      <c r="DR65" s="233"/>
    </row>
    <row r="66" spans="2:122" ht="21" x14ac:dyDescent="0.35">
      <c r="B66" s="1258"/>
      <c r="S66" s="256"/>
      <c r="CV66" s="222"/>
      <c r="CW66" s="222"/>
      <c r="CX66" s="1450"/>
      <c r="CY66" s="1450"/>
      <c r="CZ66" s="1450"/>
      <c r="DA66" s="1450"/>
      <c r="DB66" s="1450"/>
      <c r="DC66" s="1450"/>
      <c r="DD66" s="1450"/>
      <c r="DE66" s="1450"/>
      <c r="DF66" s="1450"/>
      <c r="DG66" s="1450"/>
      <c r="DH66" s="1450"/>
    </row>
    <row r="67" spans="2:122" ht="21" x14ac:dyDescent="0.35">
      <c r="B67" s="1258"/>
      <c r="S67" s="256"/>
      <c r="CX67" s="1450"/>
      <c r="CY67" s="1450"/>
      <c r="CZ67" s="1450"/>
      <c r="DA67" s="1450"/>
      <c r="DB67" s="1450"/>
      <c r="DC67" s="1450"/>
      <c r="DD67" s="1450"/>
      <c r="DE67" s="1450"/>
      <c r="DF67" s="1450"/>
      <c r="DG67" s="1450"/>
      <c r="DH67" s="1450"/>
    </row>
    <row r="68" spans="2:122" s="219" customFormat="1" x14ac:dyDescent="0.2">
      <c r="G68" s="456"/>
      <c r="I68" s="456"/>
      <c r="K68" s="467"/>
      <c r="L68" s="250"/>
      <c r="M68" s="467"/>
      <c r="N68" s="250"/>
      <c r="S68" s="256"/>
      <c r="T68" s="456"/>
      <c r="U68" s="456"/>
      <c r="V68" s="456"/>
      <c r="W68" s="456"/>
      <c r="X68" s="456"/>
      <c r="Y68" s="456"/>
      <c r="Z68" s="456"/>
      <c r="AA68" s="456"/>
      <c r="AB68" s="456"/>
      <c r="AS68" s="353"/>
      <c r="CQ68" s="222"/>
      <c r="CR68" s="222"/>
      <c r="CS68" s="222"/>
      <c r="CT68" s="222"/>
      <c r="CU68" s="223"/>
      <c r="CX68" s="222"/>
      <c r="CY68" s="222"/>
      <c r="CZ68" s="222"/>
      <c r="DA68" s="222"/>
      <c r="DB68" s="222"/>
      <c r="DC68" s="222"/>
      <c r="DD68" s="222"/>
      <c r="DE68" s="222"/>
      <c r="DF68" s="222"/>
      <c r="DG68" s="222"/>
      <c r="DH68" s="223"/>
      <c r="DI68" s="223"/>
      <c r="DJ68" s="223"/>
      <c r="DK68" s="223"/>
      <c r="DL68" s="223"/>
      <c r="DM68" s="223"/>
      <c r="DN68" s="223"/>
      <c r="DO68" s="223"/>
      <c r="DP68" s="223"/>
      <c r="DQ68" s="223"/>
      <c r="DR68" s="223"/>
    </row>
    <row r="69" spans="2:122" s="219" customFormat="1" ht="15" thickBot="1" x14ac:dyDescent="0.25">
      <c r="G69" s="456"/>
      <c r="I69" s="456"/>
      <c r="K69" s="467"/>
      <c r="L69" s="250"/>
      <c r="M69" s="467"/>
      <c r="N69" s="250"/>
      <c r="S69" s="256"/>
      <c r="T69" s="456"/>
      <c r="U69" s="456"/>
      <c r="V69" s="456"/>
      <c r="W69" s="456"/>
      <c r="X69" s="456"/>
      <c r="Y69" s="456"/>
      <c r="Z69" s="456"/>
      <c r="AA69" s="456"/>
      <c r="AB69" s="456"/>
      <c r="AS69" s="353"/>
      <c r="CQ69" s="222"/>
      <c r="CR69" s="222"/>
      <c r="CS69" s="222"/>
      <c r="CT69" s="222"/>
      <c r="CU69" s="223"/>
      <c r="CV69" s="223"/>
      <c r="CX69" s="222"/>
      <c r="CY69" s="222"/>
      <c r="CZ69" s="222"/>
      <c r="DA69" s="222"/>
      <c r="DB69" s="222"/>
      <c r="DC69" s="222"/>
      <c r="DD69" s="222"/>
      <c r="DE69" s="222"/>
      <c r="DF69" s="222"/>
      <c r="DG69" s="222"/>
      <c r="DH69" s="223"/>
      <c r="DI69" s="223"/>
      <c r="DJ69" s="223"/>
      <c r="DK69" s="223"/>
      <c r="DL69" s="223"/>
      <c r="DM69" s="223"/>
      <c r="DN69" s="223"/>
      <c r="DO69" s="223"/>
      <c r="DP69" s="223"/>
      <c r="DQ69" s="223"/>
      <c r="DR69" s="223"/>
    </row>
    <row r="70" spans="2:122" s="219" customFormat="1" ht="27.6" customHeight="1" thickBot="1" x14ac:dyDescent="0.25">
      <c r="B70" s="1583" t="str">
        <f>C5</f>
        <v>Anschaffungen</v>
      </c>
      <c r="C70" s="1584"/>
      <c r="D70" s="1505" t="str">
        <f>IF($C$2="English","Value      ","Betrag    ")</f>
        <v xml:space="preserve">Betrag    </v>
      </c>
      <c r="E70" s="1506" t="s">
        <v>547</v>
      </c>
      <c r="F70" s="1507" t="str">
        <f ca="1">F5&amp;"   "&amp;B82</f>
        <v>Investmonat   2017</v>
      </c>
      <c r="G70" s="1507" t="str">
        <f t="shared" ref="G70:G77" si="26">P5</f>
        <v>Jahre der
Abschreibung</v>
      </c>
      <c r="H70" s="1507" t="s">
        <v>746</v>
      </c>
      <c r="I70" s="1507" t="s">
        <v>748</v>
      </c>
      <c r="J70" s="1507" t="s">
        <v>752</v>
      </c>
      <c r="K70" s="467"/>
      <c r="L70" s="250"/>
      <c r="M70" s="467"/>
      <c r="N70" s="250"/>
      <c r="S70" s="256"/>
      <c r="T70" s="456"/>
      <c r="U70" s="456"/>
      <c r="V70" s="456"/>
      <c r="W70" s="456"/>
      <c r="X70" s="456"/>
      <c r="Y70" s="456"/>
      <c r="Z70" s="456"/>
      <c r="AA70" s="456"/>
      <c r="AB70" s="456"/>
      <c r="AS70" s="353"/>
      <c r="CQ70" s="222"/>
      <c r="CR70" s="222"/>
      <c r="CS70" s="222"/>
      <c r="CT70" s="222"/>
      <c r="CU70" s="223"/>
      <c r="CV70" s="233"/>
      <c r="CX70" s="222"/>
      <c r="CY70" s="222"/>
      <c r="CZ70" s="222"/>
      <c r="DA70" s="222"/>
      <c r="DB70" s="222"/>
      <c r="DC70" s="222"/>
      <c r="DD70" s="222"/>
      <c r="DE70" s="222"/>
      <c r="DF70" s="222"/>
      <c r="DG70" s="222"/>
      <c r="DH70" s="223"/>
      <c r="DI70" s="223"/>
      <c r="DJ70" s="223"/>
      <c r="DK70" s="223"/>
      <c r="DL70" s="223"/>
      <c r="DM70" s="223"/>
      <c r="DN70" s="223"/>
      <c r="DO70" s="223"/>
      <c r="DP70" s="223"/>
      <c r="DQ70" s="223"/>
      <c r="DR70" s="223"/>
    </row>
    <row r="71" spans="2:122" s="219" customFormat="1" x14ac:dyDescent="0.2">
      <c r="B71" s="1633" t="str">
        <f>C6</f>
        <v>Investitionsgut 1</v>
      </c>
      <c r="C71" s="1634"/>
      <c r="D71" s="1526">
        <f t="shared" ref="D71:D77" si="27">E6</f>
        <v>0</v>
      </c>
      <c r="E71" s="1527">
        <f>F71</f>
        <v>0</v>
      </c>
      <c r="F71" s="1527">
        <f t="shared" ref="F71:F77" si="28">F6</f>
        <v>0</v>
      </c>
      <c r="G71" s="1527">
        <f t="shared" si="26"/>
        <v>0</v>
      </c>
      <c r="H71" s="1527">
        <f>IF(G71="x",0,IF(OR(G71=0,G71=""),0,D71/(G71*12)))</f>
        <v>0</v>
      </c>
      <c r="I71" s="1527">
        <f>IF(G71="x",0,IF(D71&gt;0,E71+G71*12-1,0))</f>
        <v>0</v>
      </c>
      <c r="J71" s="1508">
        <f>IF(G71="x",IF(D71&gt;0,D71,0),0)</f>
        <v>0</v>
      </c>
      <c r="K71" s="467"/>
      <c r="L71" s="250"/>
      <c r="M71" s="467"/>
      <c r="N71" s="250"/>
      <c r="S71" s="256"/>
      <c r="T71" s="456"/>
      <c r="U71" s="456"/>
      <c r="V71" s="456"/>
      <c r="W71" s="456"/>
      <c r="X71" s="456"/>
      <c r="Y71" s="456"/>
      <c r="Z71" s="456"/>
      <c r="AA71" s="456"/>
      <c r="AB71" s="456"/>
      <c r="AS71" s="353"/>
      <c r="CQ71" s="222"/>
      <c r="CR71" s="222"/>
      <c r="CS71" s="222"/>
      <c r="CT71" s="222"/>
      <c r="CU71" s="223"/>
      <c r="CV71" s="233"/>
      <c r="CW71" s="223"/>
      <c r="CX71" s="222"/>
      <c r="CY71" s="222"/>
      <c r="CZ71" s="222"/>
      <c r="DA71" s="222"/>
      <c r="DB71" s="222"/>
      <c r="DC71" s="222"/>
      <c r="DD71" s="222"/>
      <c r="DE71" s="222"/>
      <c r="DF71" s="222"/>
      <c r="DG71" s="222"/>
      <c r="DH71" s="223"/>
      <c r="DI71" s="223"/>
      <c r="DJ71" s="223"/>
      <c r="DK71" s="223"/>
      <c r="DL71" s="223"/>
      <c r="DM71" s="223"/>
      <c r="DN71" s="223"/>
      <c r="DO71" s="223"/>
      <c r="DP71" s="223"/>
      <c r="DQ71" s="223"/>
      <c r="DR71" s="223"/>
    </row>
    <row r="72" spans="2:122" s="219" customFormat="1" x14ac:dyDescent="0.2">
      <c r="B72" s="1585" t="str">
        <f>C7</f>
        <v>Investitionsgut 2</v>
      </c>
      <c r="C72" s="1586"/>
      <c r="D72" s="1528">
        <f t="shared" si="27"/>
        <v>0</v>
      </c>
      <c r="E72" s="1529">
        <f t="shared" ref="E72:E77" si="29">F72</f>
        <v>0</v>
      </c>
      <c r="F72" s="1529">
        <f t="shared" si="28"/>
        <v>0</v>
      </c>
      <c r="G72" s="1529">
        <f t="shared" si="26"/>
        <v>0</v>
      </c>
      <c r="H72" s="1529">
        <f t="shared" ref="H72:H77" si="30">IF(G72="x",0,IF(OR(G72=0,G72=""),0,D72/(G72*12)))</f>
        <v>0</v>
      </c>
      <c r="I72" s="1529">
        <f t="shared" ref="I72:I77" si="31">IF(G72="x",0,IF(D72&gt;0,E72+G72*12-1,0))</f>
        <v>0</v>
      </c>
      <c r="J72" s="1509">
        <f t="shared" ref="J72:J77" si="32">IF(G72="x",IF(D72&gt;0,D72,0),0)</f>
        <v>0</v>
      </c>
      <c r="K72" s="467"/>
      <c r="L72" s="250"/>
      <c r="M72" s="467"/>
      <c r="N72" s="250"/>
      <c r="S72" s="543"/>
      <c r="T72" s="456"/>
      <c r="U72" s="456"/>
      <c r="V72" s="456"/>
      <c r="W72" s="456"/>
      <c r="X72" s="456"/>
      <c r="Y72" s="456"/>
      <c r="Z72" s="456"/>
      <c r="AA72" s="456"/>
      <c r="AB72" s="456"/>
      <c r="AS72" s="353"/>
      <c r="CQ72" s="222"/>
      <c r="CR72" s="222"/>
      <c r="CS72" s="222"/>
      <c r="CT72" s="222"/>
      <c r="CU72" s="223"/>
      <c r="CV72" s="233"/>
      <c r="CW72" s="223"/>
      <c r="CX72" s="222"/>
      <c r="CY72" s="222"/>
      <c r="CZ72" s="222"/>
      <c r="DA72" s="222"/>
      <c r="DB72" s="222"/>
      <c r="DC72" s="222"/>
      <c r="DD72" s="222"/>
      <c r="DE72" s="222"/>
      <c r="DF72" s="222"/>
      <c r="DG72" s="222"/>
      <c r="DH72" s="223"/>
      <c r="DI72" s="223"/>
      <c r="DJ72" s="223"/>
      <c r="DK72" s="223"/>
      <c r="DL72" s="223"/>
      <c r="DM72" s="223"/>
      <c r="DN72" s="223"/>
      <c r="DO72" s="223"/>
      <c r="DP72" s="223"/>
      <c r="DQ72" s="223"/>
      <c r="DR72" s="223"/>
    </row>
    <row r="73" spans="2:122" s="219" customFormat="1" x14ac:dyDescent="0.2">
      <c r="B73" s="1585" t="str">
        <f t="shared" ref="B73:B77" si="33">C8</f>
        <v>Investitionsgut 3</v>
      </c>
      <c r="C73" s="1586"/>
      <c r="D73" s="1528">
        <f t="shared" si="27"/>
        <v>0</v>
      </c>
      <c r="E73" s="1529">
        <f t="shared" si="29"/>
        <v>0</v>
      </c>
      <c r="F73" s="1529">
        <f t="shared" si="28"/>
        <v>0</v>
      </c>
      <c r="G73" s="1529">
        <f t="shared" si="26"/>
        <v>0</v>
      </c>
      <c r="H73" s="1529">
        <f t="shared" si="30"/>
        <v>0</v>
      </c>
      <c r="I73" s="1529">
        <f t="shared" si="31"/>
        <v>0</v>
      </c>
      <c r="J73" s="1509">
        <f t="shared" si="32"/>
        <v>0</v>
      </c>
      <c r="K73" s="467"/>
      <c r="L73" s="250"/>
      <c r="M73" s="467"/>
      <c r="N73" s="250"/>
      <c r="S73" s="256"/>
      <c r="CQ73" s="222"/>
      <c r="CR73" s="222"/>
      <c r="CS73" s="222"/>
      <c r="CT73" s="222"/>
      <c r="CU73" s="223"/>
      <c r="CV73" s="233"/>
      <c r="CW73" s="223"/>
      <c r="CX73" s="222"/>
      <c r="CY73" s="222"/>
      <c r="CZ73" s="222"/>
      <c r="DA73" s="222"/>
      <c r="DB73" s="222"/>
      <c r="DC73" s="222"/>
      <c r="DD73" s="222"/>
      <c r="DE73" s="222"/>
      <c r="DF73" s="222"/>
      <c r="DG73" s="222"/>
      <c r="DH73" s="223"/>
      <c r="DI73" s="223"/>
      <c r="DJ73" s="223"/>
      <c r="DK73" s="223"/>
      <c r="DL73" s="223"/>
      <c r="DM73" s="223"/>
      <c r="DN73" s="223"/>
      <c r="DO73" s="223"/>
      <c r="DP73" s="223"/>
      <c r="DQ73" s="223"/>
      <c r="DR73" s="223"/>
    </row>
    <row r="74" spans="2:122" s="219" customFormat="1" x14ac:dyDescent="0.2">
      <c r="B74" s="1585" t="str">
        <f t="shared" si="33"/>
        <v>Investitionsgut 4</v>
      </c>
      <c r="C74" s="1586"/>
      <c r="D74" s="1528">
        <f t="shared" si="27"/>
        <v>0</v>
      </c>
      <c r="E74" s="1529">
        <f t="shared" si="29"/>
        <v>0</v>
      </c>
      <c r="F74" s="1529">
        <f t="shared" si="28"/>
        <v>0</v>
      </c>
      <c r="G74" s="1529">
        <f t="shared" si="26"/>
        <v>0</v>
      </c>
      <c r="H74" s="1529">
        <f t="shared" si="30"/>
        <v>0</v>
      </c>
      <c r="I74" s="1529">
        <f t="shared" si="31"/>
        <v>0</v>
      </c>
      <c r="J74" s="1509">
        <f t="shared" si="32"/>
        <v>0</v>
      </c>
      <c r="K74" s="467"/>
      <c r="L74" s="250"/>
      <c r="M74" s="467"/>
      <c r="N74" s="250"/>
      <c r="S74" s="256"/>
      <c r="CQ74" s="222"/>
      <c r="CR74" s="222"/>
      <c r="CS74" s="222"/>
      <c r="CT74" s="222"/>
      <c r="CU74" s="223"/>
      <c r="CV74" s="233"/>
      <c r="CW74" s="223"/>
      <c r="CX74" s="222"/>
      <c r="CY74" s="222"/>
      <c r="CZ74" s="222"/>
      <c r="DA74" s="222"/>
      <c r="DB74" s="222"/>
      <c r="DC74" s="222"/>
      <c r="DD74" s="222"/>
      <c r="DE74" s="222"/>
      <c r="DF74" s="222"/>
      <c r="DG74" s="222"/>
      <c r="DH74" s="223"/>
      <c r="DI74" s="223"/>
      <c r="DJ74" s="223"/>
      <c r="DK74" s="223"/>
      <c r="DL74" s="223"/>
      <c r="DM74" s="223"/>
      <c r="DN74" s="223"/>
      <c r="DO74" s="223"/>
      <c r="DP74" s="223"/>
      <c r="DQ74" s="223"/>
      <c r="DR74" s="223"/>
    </row>
    <row r="75" spans="2:122" s="219" customFormat="1" x14ac:dyDescent="0.2">
      <c r="B75" s="1585" t="str">
        <f t="shared" si="33"/>
        <v>Investitionsgut 5</v>
      </c>
      <c r="C75" s="1586"/>
      <c r="D75" s="1528">
        <f t="shared" si="27"/>
        <v>0</v>
      </c>
      <c r="E75" s="1529">
        <f t="shared" si="29"/>
        <v>0</v>
      </c>
      <c r="F75" s="1529">
        <f t="shared" si="28"/>
        <v>0</v>
      </c>
      <c r="G75" s="1529">
        <f t="shared" si="26"/>
        <v>0</v>
      </c>
      <c r="H75" s="1529">
        <f t="shared" si="30"/>
        <v>0</v>
      </c>
      <c r="I75" s="1529">
        <f t="shared" si="31"/>
        <v>0</v>
      </c>
      <c r="J75" s="1509">
        <f t="shared" si="32"/>
        <v>0</v>
      </c>
      <c r="K75" s="467"/>
      <c r="L75" s="250"/>
      <c r="M75" s="467"/>
      <c r="N75" s="250"/>
      <c r="S75" s="256"/>
      <c r="CQ75" s="222"/>
      <c r="CR75" s="222"/>
      <c r="CS75" s="222"/>
      <c r="CT75" s="222"/>
      <c r="CU75" s="223"/>
      <c r="CV75" s="233"/>
      <c r="CW75" s="223"/>
      <c r="CX75" s="222"/>
      <c r="CY75" s="222"/>
      <c r="CZ75" s="222"/>
      <c r="DA75" s="222"/>
      <c r="DB75" s="222"/>
      <c r="DC75" s="222"/>
      <c r="DD75" s="222"/>
      <c r="DE75" s="222"/>
      <c r="DF75" s="222"/>
      <c r="DG75" s="222"/>
      <c r="DH75" s="223"/>
      <c r="DI75" s="223"/>
      <c r="DJ75" s="223"/>
      <c r="DK75" s="223"/>
      <c r="DL75" s="223"/>
      <c r="DM75" s="223"/>
      <c r="DN75" s="223"/>
      <c r="DO75" s="223"/>
      <c r="DP75" s="223"/>
      <c r="DQ75" s="223"/>
      <c r="DR75" s="223"/>
    </row>
    <row r="76" spans="2:122" s="219" customFormat="1" x14ac:dyDescent="0.2">
      <c r="B76" s="1585" t="str">
        <f t="shared" si="33"/>
        <v>Investitionsgut 6</v>
      </c>
      <c r="C76" s="1586"/>
      <c r="D76" s="1528">
        <f t="shared" si="27"/>
        <v>0</v>
      </c>
      <c r="E76" s="1529">
        <f t="shared" si="29"/>
        <v>0</v>
      </c>
      <c r="F76" s="1529">
        <f t="shared" si="28"/>
        <v>0</v>
      </c>
      <c r="G76" s="1529">
        <f t="shared" si="26"/>
        <v>0</v>
      </c>
      <c r="H76" s="1529">
        <f t="shared" si="30"/>
        <v>0</v>
      </c>
      <c r="I76" s="1529">
        <f t="shared" si="31"/>
        <v>0</v>
      </c>
      <c r="J76" s="1509">
        <f t="shared" si="32"/>
        <v>0</v>
      </c>
      <c r="K76" s="467"/>
      <c r="L76" s="250"/>
      <c r="M76" s="467"/>
      <c r="N76" s="250"/>
      <c r="S76" s="256"/>
      <c r="CQ76" s="222"/>
      <c r="CR76" s="222"/>
      <c r="CS76" s="222"/>
      <c r="CT76" s="222"/>
      <c r="CU76" s="223"/>
      <c r="CV76" s="233"/>
      <c r="CW76" s="223"/>
      <c r="CX76" s="222"/>
      <c r="CY76" s="222"/>
      <c r="CZ76" s="222"/>
      <c r="DA76" s="222"/>
      <c r="DB76" s="222"/>
      <c r="DC76" s="222"/>
      <c r="DD76" s="222"/>
      <c r="DE76" s="222"/>
      <c r="DF76" s="222"/>
      <c r="DG76" s="222"/>
      <c r="DH76" s="223"/>
      <c r="DI76" s="223"/>
      <c r="DJ76" s="223"/>
      <c r="DK76" s="223"/>
      <c r="DL76" s="223"/>
      <c r="DM76" s="223"/>
      <c r="DN76" s="223"/>
      <c r="DO76" s="223"/>
      <c r="DP76" s="223"/>
      <c r="DQ76" s="223"/>
      <c r="DR76" s="223"/>
    </row>
    <row r="77" spans="2:122" s="219" customFormat="1" x14ac:dyDescent="0.2">
      <c r="B77" s="1585" t="str">
        <f t="shared" si="33"/>
        <v>Investitionsgut 7</v>
      </c>
      <c r="C77" s="1586"/>
      <c r="D77" s="1530">
        <f t="shared" si="27"/>
        <v>0</v>
      </c>
      <c r="E77" s="1531">
        <f t="shared" si="29"/>
        <v>0</v>
      </c>
      <c r="F77" s="1531">
        <f t="shared" si="28"/>
        <v>0</v>
      </c>
      <c r="G77" s="1531">
        <f t="shared" si="26"/>
        <v>0</v>
      </c>
      <c r="H77" s="1531">
        <f t="shared" si="30"/>
        <v>0</v>
      </c>
      <c r="I77" s="1531">
        <f t="shared" si="31"/>
        <v>0</v>
      </c>
      <c r="J77" s="1510">
        <f t="shared" si="32"/>
        <v>0</v>
      </c>
      <c r="K77" s="467"/>
      <c r="L77" s="250"/>
      <c r="M77" s="467"/>
      <c r="N77" s="250"/>
      <c r="S77" s="256"/>
      <c r="CQ77" s="222"/>
      <c r="CR77" s="222"/>
      <c r="CS77" s="222"/>
      <c r="CT77" s="222"/>
      <c r="CU77" s="223"/>
      <c r="CV77" s="233"/>
      <c r="CW77" s="223"/>
      <c r="CX77" s="222"/>
      <c r="CY77" s="222"/>
      <c r="CZ77" s="222"/>
      <c r="DA77" s="222"/>
      <c r="DB77" s="222"/>
      <c r="DC77" s="222"/>
      <c r="DD77" s="222"/>
      <c r="DE77" s="222"/>
      <c r="DF77" s="222"/>
      <c r="DG77" s="222"/>
      <c r="DH77" s="223"/>
      <c r="DI77" s="223"/>
      <c r="DJ77" s="223"/>
      <c r="DK77" s="223"/>
      <c r="DL77" s="223"/>
      <c r="DM77" s="223"/>
      <c r="DN77" s="223"/>
      <c r="DO77" s="223"/>
      <c r="DP77" s="223"/>
      <c r="DQ77" s="223"/>
      <c r="DR77" s="223"/>
    </row>
    <row r="78" spans="2:122" s="219" customFormat="1" ht="15" thickBot="1" x14ac:dyDescent="0.25">
      <c r="B78" s="1587" t="s">
        <v>750</v>
      </c>
      <c r="C78" s="1588"/>
      <c r="D78" s="1532">
        <f>E27</f>
        <v>0</v>
      </c>
      <c r="E78" s="1534">
        <f>F78</f>
        <v>1</v>
      </c>
      <c r="F78" s="1534">
        <f t="shared" ref="F78" si="34">F13</f>
        <v>1</v>
      </c>
      <c r="G78" s="1535">
        <v>5</v>
      </c>
      <c r="H78" s="1533">
        <f>D78/60</f>
        <v>0</v>
      </c>
      <c r="I78" s="1535" t="str">
        <f>IF(D78&gt;0,F78+G78*12-1,"")</f>
        <v/>
      </c>
      <c r="J78" s="1523"/>
      <c r="K78" s="467"/>
      <c r="L78" s="250"/>
      <c r="M78" s="467"/>
      <c r="N78" s="250"/>
      <c r="S78" s="256"/>
      <c r="CQ78" s="222"/>
      <c r="CR78" s="222"/>
      <c r="CS78" s="222"/>
      <c r="CT78" s="222"/>
      <c r="CU78" s="223"/>
      <c r="CV78" s="233"/>
      <c r="CW78" s="223"/>
      <c r="CX78" s="222"/>
      <c r="CY78" s="222"/>
      <c r="CZ78" s="222"/>
      <c r="DA78" s="222"/>
      <c r="DB78" s="222"/>
      <c r="DC78" s="222"/>
      <c r="DD78" s="222"/>
      <c r="DE78" s="222"/>
      <c r="DF78" s="222"/>
      <c r="DG78" s="222"/>
      <c r="DH78" s="223"/>
      <c r="DI78" s="223"/>
      <c r="DJ78" s="223"/>
      <c r="DK78" s="223"/>
      <c r="DL78" s="223"/>
      <c r="DM78" s="223"/>
      <c r="DN78" s="223"/>
      <c r="DO78" s="223"/>
      <c r="DP78" s="223"/>
      <c r="DQ78" s="223"/>
      <c r="DR78" s="223"/>
    </row>
    <row r="79" spans="2:122" s="219" customFormat="1" ht="15.75" thickTop="1" thickBot="1" x14ac:dyDescent="0.25">
      <c r="B79" s="1511" t="s">
        <v>150</v>
      </c>
      <c r="C79" s="1524"/>
      <c r="D79" s="1525">
        <f>SUM(D71:D78)-J79</f>
        <v>0</v>
      </c>
      <c r="H79" s="1525">
        <f>SUM(H71:H78)</f>
        <v>0</v>
      </c>
      <c r="J79" s="1525">
        <f>SUM(J71:J78)</f>
        <v>0</v>
      </c>
      <c r="K79" s="467"/>
      <c r="L79" s="250"/>
      <c r="M79" s="467"/>
      <c r="N79" s="250"/>
      <c r="S79" s="256"/>
      <c r="CQ79" s="222"/>
      <c r="CR79" s="222"/>
      <c r="CS79" s="222"/>
      <c r="CT79" s="222"/>
      <c r="CU79" s="223"/>
      <c r="CV79" s="233"/>
      <c r="CW79" s="223"/>
      <c r="CX79" s="222"/>
      <c r="CY79" s="222"/>
      <c r="CZ79" s="222"/>
      <c r="DA79" s="222"/>
      <c r="DB79" s="222"/>
      <c r="DC79" s="222"/>
      <c r="DD79" s="222"/>
      <c r="DE79" s="222"/>
      <c r="DF79" s="222"/>
      <c r="DG79" s="222"/>
      <c r="DH79" s="223"/>
      <c r="DI79" s="223"/>
      <c r="DJ79" s="223"/>
      <c r="DK79" s="223"/>
      <c r="DL79" s="223"/>
      <c r="DM79" s="223"/>
      <c r="DN79" s="223"/>
      <c r="DO79" s="223"/>
      <c r="DP79" s="223"/>
      <c r="DQ79" s="223"/>
      <c r="DR79" s="223"/>
    </row>
    <row r="80" spans="2:122" s="219" customFormat="1" ht="15" thickBot="1" x14ac:dyDescent="0.25">
      <c r="C80" s="250"/>
      <c r="E80" s="456"/>
      <c r="G80" s="456"/>
      <c r="I80" s="456"/>
      <c r="K80" s="467"/>
      <c r="L80" s="250"/>
      <c r="M80" s="467"/>
      <c r="N80" s="250"/>
      <c r="S80" s="256"/>
      <c r="CQ80" s="222"/>
      <c r="CR80" s="222"/>
      <c r="CS80" s="222"/>
      <c r="CT80" s="222"/>
      <c r="CU80" s="283"/>
      <c r="CV80" s="233"/>
      <c r="CW80" s="223"/>
      <c r="CX80" s="222"/>
      <c r="CY80" s="222"/>
      <c r="CZ80" s="222"/>
      <c r="DA80" s="222"/>
      <c r="DB80" s="222"/>
      <c r="DC80" s="222"/>
      <c r="DD80" s="222"/>
      <c r="DE80" s="222"/>
      <c r="DF80" s="222"/>
      <c r="DG80" s="222"/>
      <c r="DH80" s="223"/>
      <c r="DI80" s="223"/>
      <c r="DJ80" s="223"/>
      <c r="DK80" s="223"/>
      <c r="DL80" s="223"/>
      <c r="DM80" s="223"/>
      <c r="DN80" s="223"/>
      <c r="DO80" s="223"/>
      <c r="DP80" s="223"/>
      <c r="DQ80" s="223"/>
      <c r="DR80" s="223"/>
    </row>
    <row r="81" spans="2:122" s="219" customFormat="1" ht="14.45" customHeight="1" thickBot="1" x14ac:dyDescent="0.25">
      <c r="B81" s="1583" t="s">
        <v>241</v>
      </c>
      <c r="C81" s="1584"/>
      <c r="D81" s="1498">
        <v>1</v>
      </c>
      <c r="E81" s="1499">
        <f>D81+1</f>
        <v>2</v>
      </c>
      <c r="F81" s="1499">
        <f t="shared" ref="F81:O81" si="35">E81+1</f>
        <v>3</v>
      </c>
      <c r="G81" s="1499">
        <f t="shared" si="35"/>
        <v>4</v>
      </c>
      <c r="H81" s="1499">
        <f t="shared" si="35"/>
        <v>5</v>
      </c>
      <c r="I81" s="1499">
        <f t="shared" si="35"/>
        <v>6</v>
      </c>
      <c r="J81" s="1499">
        <f t="shared" si="35"/>
        <v>7</v>
      </c>
      <c r="K81" s="1499">
        <f t="shared" si="35"/>
        <v>8</v>
      </c>
      <c r="L81" s="1499">
        <f t="shared" si="35"/>
        <v>9</v>
      </c>
      <c r="M81" s="1499">
        <f t="shared" si="35"/>
        <v>10</v>
      </c>
      <c r="N81" s="1499">
        <f t="shared" si="35"/>
        <v>11</v>
      </c>
      <c r="O81" s="1499">
        <f t="shared" si="35"/>
        <v>12</v>
      </c>
      <c r="P81" s="1500"/>
      <c r="S81" s="256"/>
      <c r="CQ81" s="222"/>
      <c r="CR81" s="222"/>
      <c r="CS81" s="222"/>
      <c r="CT81" s="222"/>
      <c r="CU81" s="283"/>
      <c r="CV81" s="233"/>
      <c r="CW81" s="223"/>
      <c r="CX81" s="222"/>
      <c r="CY81" s="222"/>
      <c r="CZ81" s="222"/>
      <c r="DA81" s="222"/>
      <c r="DB81" s="222"/>
      <c r="DC81" s="222"/>
      <c r="DD81" s="222"/>
      <c r="DE81" s="222"/>
      <c r="DF81" s="222"/>
      <c r="DG81" s="222"/>
      <c r="DH81" s="223"/>
      <c r="DI81" s="223"/>
      <c r="DJ81" s="223"/>
      <c r="DK81" s="223"/>
      <c r="DL81" s="223"/>
      <c r="DM81" s="223"/>
      <c r="DN81" s="223"/>
      <c r="DO81" s="223"/>
      <c r="DP81" s="223"/>
      <c r="DQ81" s="223"/>
      <c r="DR81" s="223"/>
    </row>
    <row r="82" spans="2:122" s="219" customFormat="1" ht="15" thickBot="1" x14ac:dyDescent="0.25">
      <c r="B82" s="1583">
        <f ca="1">'1 Pers.Ausgaben|Pers Expenses'!C4</f>
        <v>2017</v>
      </c>
      <c r="C82" s="1584"/>
      <c r="D82" s="56" t="s">
        <v>1</v>
      </c>
      <c r="E82" s="51" t="s">
        <v>2</v>
      </c>
      <c r="F82" s="51" t="s">
        <v>3</v>
      </c>
      <c r="G82" s="51" t="s">
        <v>4</v>
      </c>
      <c r="H82" s="51" t="s">
        <v>5</v>
      </c>
      <c r="I82" s="51" t="s">
        <v>6</v>
      </c>
      <c r="J82" s="51" t="s">
        <v>7</v>
      </c>
      <c r="K82" s="51" t="s">
        <v>8</v>
      </c>
      <c r="L82" s="51" t="s">
        <v>9</v>
      </c>
      <c r="M82" s="51" t="s">
        <v>10</v>
      </c>
      <c r="N82" s="51" t="s">
        <v>11</v>
      </c>
      <c r="O82" s="51" t="s">
        <v>12</v>
      </c>
      <c r="P82" s="52" t="s">
        <v>747</v>
      </c>
      <c r="S82" s="256"/>
      <c r="CQ82" s="222"/>
      <c r="CR82" s="222"/>
      <c r="CS82" s="222"/>
      <c r="CT82" s="222"/>
      <c r="CU82" s="283"/>
      <c r="CV82" s="233"/>
      <c r="CW82" s="223"/>
      <c r="CX82" s="222"/>
      <c r="CY82" s="222"/>
      <c r="CZ82" s="222"/>
      <c r="DA82" s="222"/>
      <c r="DB82" s="222"/>
      <c r="DC82" s="222"/>
      <c r="DD82" s="222"/>
      <c r="DE82" s="222"/>
      <c r="DF82" s="222"/>
      <c r="DG82" s="222"/>
      <c r="DH82" s="223"/>
      <c r="DI82" s="223"/>
      <c r="DJ82" s="223"/>
      <c r="DK82" s="223"/>
      <c r="DL82" s="223"/>
      <c r="DM82" s="223"/>
      <c r="DN82" s="223"/>
      <c r="DO82" s="223"/>
      <c r="DP82" s="223"/>
      <c r="DQ82" s="223"/>
      <c r="DR82" s="223"/>
    </row>
    <row r="83" spans="2:122" s="219" customFormat="1" x14ac:dyDescent="0.2">
      <c r="B83" s="1577" t="str">
        <f t="shared" ref="B83:B89" si="36">B71</f>
        <v>Investitionsgut 1</v>
      </c>
      <c r="C83" s="1578"/>
      <c r="D83" s="1503">
        <f>IF($G71="x",0,IF($E71&lt;=D$81,$H71,IF($I71&gt;D$81,"","")))</f>
        <v>0</v>
      </c>
      <c r="E83" s="1503">
        <f t="shared" ref="E83:O83" si="37">IF($G71="x",0,IF($E71&lt;=E$81,$H71,IF($I71&gt;E$81,"","")))</f>
        <v>0</v>
      </c>
      <c r="F83" s="1503">
        <f t="shared" si="37"/>
        <v>0</v>
      </c>
      <c r="G83" s="1503">
        <f t="shared" si="37"/>
        <v>0</v>
      </c>
      <c r="H83" s="1503">
        <f t="shared" si="37"/>
        <v>0</v>
      </c>
      <c r="I83" s="1503">
        <f t="shared" si="37"/>
        <v>0</v>
      </c>
      <c r="J83" s="1503">
        <f t="shared" si="37"/>
        <v>0</v>
      </c>
      <c r="K83" s="1503">
        <f t="shared" si="37"/>
        <v>0</v>
      </c>
      <c r="L83" s="1503">
        <f t="shared" si="37"/>
        <v>0</v>
      </c>
      <c r="M83" s="1503">
        <f t="shared" si="37"/>
        <v>0</v>
      </c>
      <c r="N83" s="1503">
        <f t="shared" si="37"/>
        <v>0</v>
      </c>
      <c r="O83" s="1503">
        <f t="shared" si="37"/>
        <v>0</v>
      </c>
      <c r="P83" s="1502">
        <f>SUM(D83:O83)</f>
        <v>0</v>
      </c>
      <c r="S83" s="256"/>
      <c r="CQ83" s="222"/>
      <c r="CR83" s="222"/>
      <c r="CS83" s="222"/>
      <c r="CT83" s="222"/>
      <c r="CU83" s="283"/>
      <c r="CV83" s="233"/>
      <c r="CW83" s="223"/>
      <c r="CX83" s="222"/>
      <c r="CY83" s="222"/>
      <c r="CZ83" s="222"/>
      <c r="DA83" s="222"/>
      <c r="DB83" s="222"/>
      <c r="DC83" s="222"/>
      <c r="DD83" s="222"/>
      <c r="DE83" s="222"/>
      <c r="DF83" s="222"/>
      <c r="DG83" s="222"/>
      <c r="DH83" s="223"/>
      <c r="DI83" s="223"/>
      <c r="DJ83" s="223"/>
      <c r="DK83" s="223"/>
      <c r="DL83" s="223"/>
      <c r="DM83" s="223"/>
      <c r="DN83" s="223"/>
      <c r="DO83" s="223"/>
      <c r="DP83" s="223"/>
      <c r="DQ83" s="223"/>
      <c r="DR83" s="223"/>
    </row>
    <row r="84" spans="2:122" s="219" customFormat="1" x14ac:dyDescent="0.2">
      <c r="B84" s="1577" t="str">
        <f t="shared" si="36"/>
        <v>Investitionsgut 2</v>
      </c>
      <c r="C84" s="1578"/>
      <c r="D84" s="1503">
        <f t="shared" ref="D84:O84" si="38">IF($G72="x",0,IF($E72&lt;=D$81,$H72,IF($I72&gt;D$81,"","")))</f>
        <v>0</v>
      </c>
      <c r="E84" s="1503">
        <f t="shared" si="38"/>
        <v>0</v>
      </c>
      <c r="F84" s="1503">
        <f t="shared" si="38"/>
        <v>0</v>
      </c>
      <c r="G84" s="1503">
        <f t="shared" si="38"/>
        <v>0</v>
      </c>
      <c r="H84" s="1503">
        <f t="shared" si="38"/>
        <v>0</v>
      </c>
      <c r="I84" s="1503">
        <f t="shared" si="38"/>
        <v>0</v>
      </c>
      <c r="J84" s="1503">
        <f t="shared" si="38"/>
        <v>0</v>
      </c>
      <c r="K84" s="1503">
        <f t="shared" si="38"/>
        <v>0</v>
      </c>
      <c r="L84" s="1503">
        <f t="shared" si="38"/>
        <v>0</v>
      </c>
      <c r="M84" s="1503">
        <f t="shared" si="38"/>
        <v>0</v>
      </c>
      <c r="N84" s="1503">
        <f t="shared" si="38"/>
        <v>0</v>
      </c>
      <c r="O84" s="1503">
        <f t="shared" si="38"/>
        <v>0</v>
      </c>
      <c r="P84" s="1504">
        <f t="shared" ref="P84:P90" si="39">SUM(D84:O84)</f>
        <v>0</v>
      </c>
      <c r="S84" s="256"/>
      <c r="CQ84" s="222"/>
      <c r="CR84" s="222"/>
      <c r="CS84" s="222"/>
      <c r="CT84" s="222"/>
      <c r="CU84" s="283"/>
      <c r="CV84" s="233"/>
      <c r="CW84" s="223"/>
      <c r="CX84" s="222"/>
      <c r="CY84" s="222"/>
      <c r="CZ84" s="222"/>
      <c r="DA84" s="222"/>
      <c r="DB84" s="222"/>
      <c r="DC84" s="222"/>
      <c r="DD84" s="222"/>
      <c r="DE84" s="222"/>
      <c r="DF84" s="222"/>
      <c r="DG84" s="222"/>
      <c r="DH84" s="223"/>
      <c r="DI84" s="223"/>
      <c r="DJ84" s="223"/>
      <c r="DK84" s="223"/>
      <c r="DL84" s="223"/>
      <c r="DM84" s="223"/>
      <c r="DN84" s="223"/>
      <c r="DO84" s="223"/>
      <c r="DP84" s="223"/>
      <c r="DQ84" s="223"/>
      <c r="DR84" s="223"/>
    </row>
    <row r="85" spans="2:122" s="219" customFormat="1" x14ac:dyDescent="0.2">
      <c r="B85" s="1577" t="str">
        <f t="shared" si="36"/>
        <v>Investitionsgut 3</v>
      </c>
      <c r="C85" s="1578"/>
      <c r="D85" s="1503">
        <f t="shared" ref="D85:O85" si="40">IF($G73="x",0,IF($E73&lt;=D$81,$H73,IF($I73&gt;D$81,"","")))</f>
        <v>0</v>
      </c>
      <c r="E85" s="1503">
        <f t="shared" si="40"/>
        <v>0</v>
      </c>
      <c r="F85" s="1503">
        <f t="shared" si="40"/>
        <v>0</v>
      </c>
      <c r="G85" s="1503">
        <f t="shared" si="40"/>
        <v>0</v>
      </c>
      <c r="H85" s="1503">
        <f t="shared" si="40"/>
        <v>0</v>
      </c>
      <c r="I85" s="1503">
        <f t="shared" si="40"/>
        <v>0</v>
      </c>
      <c r="J85" s="1503">
        <f t="shared" si="40"/>
        <v>0</v>
      </c>
      <c r="K85" s="1503">
        <f t="shared" si="40"/>
        <v>0</v>
      </c>
      <c r="L85" s="1503">
        <f t="shared" si="40"/>
        <v>0</v>
      </c>
      <c r="M85" s="1503">
        <f t="shared" si="40"/>
        <v>0</v>
      </c>
      <c r="N85" s="1503">
        <f t="shared" si="40"/>
        <v>0</v>
      </c>
      <c r="O85" s="1503">
        <f t="shared" si="40"/>
        <v>0</v>
      </c>
      <c r="P85" s="1504">
        <f t="shared" si="39"/>
        <v>0</v>
      </c>
      <c r="S85" s="256"/>
      <c r="CQ85" s="222"/>
      <c r="CR85" s="222"/>
      <c r="CS85" s="222"/>
      <c r="CT85" s="222"/>
      <c r="CU85" s="283"/>
      <c r="CV85" s="233"/>
      <c r="CW85" s="223"/>
      <c r="CX85" s="222"/>
      <c r="CY85" s="222"/>
      <c r="CZ85" s="222"/>
      <c r="DA85" s="222"/>
      <c r="DB85" s="222"/>
      <c r="DC85" s="222"/>
      <c r="DD85" s="222"/>
      <c r="DE85" s="222"/>
      <c r="DF85" s="222"/>
      <c r="DG85" s="222"/>
      <c r="DH85" s="223"/>
      <c r="DI85" s="223"/>
      <c r="DJ85" s="223"/>
      <c r="DK85" s="223"/>
      <c r="DL85" s="223"/>
      <c r="DM85" s="223"/>
      <c r="DN85" s="223"/>
      <c r="DO85" s="223"/>
      <c r="DP85" s="223"/>
      <c r="DQ85" s="223"/>
      <c r="DR85" s="223"/>
    </row>
    <row r="86" spans="2:122" s="219" customFormat="1" x14ac:dyDescent="0.2">
      <c r="B86" s="1577" t="str">
        <f t="shared" si="36"/>
        <v>Investitionsgut 4</v>
      </c>
      <c r="C86" s="1578"/>
      <c r="D86" s="1503">
        <f t="shared" ref="D86:O86" si="41">IF($G74="x",0,IF($E74&lt;=D$81,$H74,IF($I74&gt;D$81,"","")))</f>
        <v>0</v>
      </c>
      <c r="E86" s="1503">
        <f t="shared" si="41"/>
        <v>0</v>
      </c>
      <c r="F86" s="1503">
        <f t="shared" si="41"/>
        <v>0</v>
      </c>
      <c r="G86" s="1503">
        <f t="shared" si="41"/>
        <v>0</v>
      </c>
      <c r="H86" s="1503">
        <f t="shared" si="41"/>
        <v>0</v>
      </c>
      <c r="I86" s="1503">
        <f t="shared" si="41"/>
        <v>0</v>
      </c>
      <c r="J86" s="1503">
        <f t="shared" si="41"/>
        <v>0</v>
      </c>
      <c r="K86" s="1503">
        <f t="shared" si="41"/>
        <v>0</v>
      </c>
      <c r="L86" s="1503">
        <f t="shared" si="41"/>
        <v>0</v>
      </c>
      <c r="M86" s="1503">
        <f t="shared" si="41"/>
        <v>0</v>
      </c>
      <c r="N86" s="1503">
        <f t="shared" si="41"/>
        <v>0</v>
      </c>
      <c r="O86" s="1503">
        <f t="shared" si="41"/>
        <v>0</v>
      </c>
      <c r="P86" s="1504">
        <f t="shared" si="39"/>
        <v>0</v>
      </c>
      <c r="S86" s="256"/>
      <c r="CQ86" s="222"/>
      <c r="CR86" s="222"/>
      <c r="CS86" s="222"/>
      <c r="CT86" s="222"/>
      <c r="CU86" s="283"/>
      <c r="CV86" s="233"/>
      <c r="CW86" s="223"/>
      <c r="CX86" s="222"/>
      <c r="CY86" s="222"/>
      <c r="CZ86" s="222"/>
      <c r="DA86" s="222"/>
      <c r="DB86" s="222"/>
      <c r="DC86" s="222"/>
      <c r="DD86" s="222"/>
      <c r="DE86" s="222"/>
      <c r="DF86" s="222"/>
      <c r="DG86" s="222"/>
      <c r="DH86" s="223"/>
      <c r="DI86" s="223"/>
      <c r="DJ86" s="223"/>
      <c r="DK86" s="223"/>
      <c r="DL86" s="223"/>
      <c r="DM86" s="223"/>
      <c r="DN86" s="223"/>
      <c r="DO86" s="223"/>
      <c r="DP86" s="223"/>
      <c r="DQ86" s="223"/>
      <c r="DR86" s="223"/>
    </row>
    <row r="87" spans="2:122" s="219" customFormat="1" x14ac:dyDescent="0.2">
      <c r="B87" s="1577" t="str">
        <f t="shared" si="36"/>
        <v>Investitionsgut 5</v>
      </c>
      <c r="C87" s="1578"/>
      <c r="D87" s="1503">
        <f t="shared" ref="D87:O87" si="42">IF($G75="x",0,IF($E75&lt;=D$81,$H75,IF($I75&gt;D$81,"","")))</f>
        <v>0</v>
      </c>
      <c r="E87" s="1503">
        <f t="shared" si="42"/>
        <v>0</v>
      </c>
      <c r="F87" s="1503">
        <f t="shared" si="42"/>
        <v>0</v>
      </c>
      <c r="G87" s="1503">
        <f t="shared" si="42"/>
        <v>0</v>
      </c>
      <c r="H87" s="1503">
        <f t="shared" si="42"/>
        <v>0</v>
      </c>
      <c r="I87" s="1503">
        <f t="shared" si="42"/>
        <v>0</v>
      </c>
      <c r="J87" s="1503">
        <f t="shared" si="42"/>
        <v>0</v>
      </c>
      <c r="K87" s="1503">
        <f t="shared" si="42"/>
        <v>0</v>
      </c>
      <c r="L87" s="1503">
        <f t="shared" si="42"/>
        <v>0</v>
      </c>
      <c r="M87" s="1503">
        <f t="shared" si="42"/>
        <v>0</v>
      </c>
      <c r="N87" s="1503">
        <f t="shared" si="42"/>
        <v>0</v>
      </c>
      <c r="O87" s="1503">
        <f t="shared" si="42"/>
        <v>0</v>
      </c>
      <c r="P87" s="1504">
        <f t="shared" si="39"/>
        <v>0</v>
      </c>
      <c r="S87" s="256"/>
      <c r="CQ87" s="222"/>
      <c r="CR87" s="222"/>
      <c r="CS87" s="222"/>
      <c r="CT87" s="222"/>
      <c r="CU87" s="283"/>
      <c r="CV87" s="233"/>
      <c r="CW87" s="223"/>
      <c r="CX87" s="222"/>
      <c r="CY87" s="222"/>
      <c r="CZ87" s="222"/>
      <c r="DA87" s="222"/>
      <c r="DB87" s="222"/>
      <c r="DC87" s="222"/>
      <c r="DD87" s="222"/>
      <c r="DE87" s="222"/>
      <c r="DF87" s="222"/>
      <c r="DG87" s="222"/>
      <c r="DH87" s="223"/>
      <c r="DI87" s="223"/>
      <c r="DJ87" s="223"/>
      <c r="DK87" s="223"/>
      <c r="DL87" s="223"/>
      <c r="DM87" s="223"/>
      <c r="DN87" s="223"/>
      <c r="DO87" s="223"/>
      <c r="DP87" s="223"/>
      <c r="DQ87" s="223"/>
      <c r="DR87" s="223"/>
    </row>
    <row r="88" spans="2:122" s="219" customFormat="1" x14ac:dyDescent="0.2">
      <c r="B88" s="1577" t="str">
        <f t="shared" si="36"/>
        <v>Investitionsgut 6</v>
      </c>
      <c r="C88" s="1578"/>
      <c r="D88" s="1503">
        <f t="shared" ref="D88:O88" si="43">IF($G76="x",0,IF($E76&lt;=D$81,$H76,IF($I76&gt;D$81,"","")))</f>
        <v>0</v>
      </c>
      <c r="E88" s="1503">
        <f t="shared" si="43"/>
        <v>0</v>
      </c>
      <c r="F88" s="1503">
        <f t="shared" si="43"/>
        <v>0</v>
      </c>
      <c r="G88" s="1503">
        <f t="shared" si="43"/>
        <v>0</v>
      </c>
      <c r="H88" s="1503">
        <f t="shared" si="43"/>
        <v>0</v>
      </c>
      <c r="I88" s="1503">
        <f t="shared" si="43"/>
        <v>0</v>
      </c>
      <c r="J88" s="1503">
        <f t="shared" si="43"/>
        <v>0</v>
      </c>
      <c r="K88" s="1503">
        <f t="shared" si="43"/>
        <v>0</v>
      </c>
      <c r="L88" s="1503">
        <f t="shared" si="43"/>
        <v>0</v>
      </c>
      <c r="M88" s="1503">
        <f t="shared" si="43"/>
        <v>0</v>
      </c>
      <c r="N88" s="1503">
        <f t="shared" si="43"/>
        <v>0</v>
      </c>
      <c r="O88" s="1503">
        <f t="shared" si="43"/>
        <v>0</v>
      </c>
      <c r="P88" s="1504">
        <f t="shared" si="39"/>
        <v>0</v>
      </c>
      <c r="S88" s="256"/>
      <c r="CQ88" s="222"/>
      <c r="CR88" s="222"/>
      <c r="CS88" s="222"/>
      <c r="CT88" s="222"/>
      <c r="CU88" s="283"/>
      <c r="CV88" s="233"/>
      <c r="CW88" s="223"/>
      <c r="CX88" s="222"/>
      <c r="CY88" s="222"/>
      <c r="CZ88" s="222"/>
      <c r="DA88" s="222"/>
      <c r="DB88" s="222"/>
      <c r="DC88" s="222"/>
      <c r="DD88" s="222"/>
      <c r="DE88" s="222"/>
      <c r="DF88" s="222"/>
      <c r="DG88" s="222"/>
      <c r="DH88" s="223"/>
      <c r="DI88" s="223"/>
      <c r="DJ88" s="223"/>
      <c r="DK88" s="223"/>
      <c r="DL88" s="223"/>
      <c r="DM88" s="223"/>
      <c r="DN88" s="223"/>
      <c r="DO88" s="223"/>
      <c r="DP88" s="223"/>
      <c r="DQ88" s="223"/>
      <c r="DR88" s="223"/>
    </row>
    <row r="89" spans="2:122" s="219" customFormat="1" x14ac:dyDescent="0.2">
      <c r="B89" s="1579" t="str">
        <f t="shared" si="36"/>
        <v>Investitionsgut 7</v>
      </c>
      <c r="C89" s="1580"/>
      <c r="D89" s="1503">
        <f t="shared" ref="D89:O89" si="44">IF($G77="x",0,IF($E77&lt;=D$81,$H77,IF($I77&gt;D$81,"","")))</f>
        <v>0</v>
      </c>
      <c r="E89" s="1503">
        <f t="shared" si="44"/>
        <v>0</v>
      </c>
      <c r="F89" s="1503">
        <f t="shared" si="44"/>
        <v>0</v>
      </c>
      <c r="G89" s="1503">
        <f t="shared" si="44"/>
        <v>0</v>
      </c>
      <c r="H89" s="1503">
        <f t="shared" si="44"/>
        <v>0</v>
      </c>
      <c r="I89" s="1503">
        <f t="shared" si="44"/>
        <v>0</v>
      </c>
      <c r="J89" s="1503">
        <f t="shared" si="44"/>
        <v>0</v>
      </c>
      <c r="K89" s="1503">
        <f t="shared" si="44"/>
        <v>0</v>
      </c>
      <c r="L89" s="1503">
        <f t="shared" si="44"/>
        <v>0</v>
      </c>
      <c r="M89" s="1503">
        <f t="shared" si="44"/>
        <v>0</v>
      </c>
      <c r="N89" s="1503">
        <f t="shared" si="44"/>
        <v>0</v>
      </c>
      <c r="O89" s="1503">
        <f t="shared" si="44"/>
        <v>0</v>
      </c>
      <c r="P89" s="1513">
        <f t="shared" si="39"/>
        <v>0</v>
      </c>
      <c r="S89" s="256"/>
      <c r="CQ89" s="222"/>
      <c r="CR89" s="222"/>
      <c r="CS89" s="222"/>
      <c r="CT89" s="222"/>
      <c r="CU89" s="283"/>
      <c r="CV89" s="233"/>
      <c r="CW89" s="223"/>
      <c r="CX89" s="222"/>
      <c r="CY89" s="222"/>
      <c r="CZ89" s="222"/>
      <c r="DA89" s="222"/>
      <c r="DB89" s="222"/>
      <c r="DC89" s="222"/>
      <c r="DD89" s="222"/>
      <c r="DE89" s="222"/>
      <c r="DF89" s="222"/>
      <c r="DG89" s="222"/>
      <c r="DH89" s="223"/>
      <c r="DI89" s="223"/>
      <c r="DJ89" s="223"/>
      <c r="DK89" s="223"/>
      <c r="DL89" s="223"/>
      <c r="DM89" s="223"/>
      <c r="DN89" s="223"/>
      <c r="DO89" s="223"/>
      <c r="DP89" s="223"/>
      <c r="DQ89" s="223"/>
      <c r="DR89" s="223"/>
    </row>
    <row r="90" spans="2:122" s="219" customFormat="1" x14ac:dyDescent="0.2">
      <c r="B90" s="1581" t="s">
        <v>750</v>
      </c>
      <c r="C90" s="1582"/>
      <c r="D90" s="1516">
        <f t="shared" ref="D90:O90" si="45">IF($F78&lt;=D$81,$H78,0)</f>
        <v>0</v>
      </c>
      <c r="E90" s="1516">
        <f t="shared" si="45"/>
        <v>0</v>
      </c>
      <c r="F90" s="1516">
        <f t="shared" si="45"/>
        <v>0</v>
      </c>
      <c r="G90" s="1516">
        <f t="shared" si="45"/>
        <v>0</v>
      </c>
      <c r="H90" s="1516">
        <f t="shared" si="45"/>
        <v>0</v>
      </c>
      <c r="I90" s="1516">
        <f t="shared" si="45"/>
        <v>0</v>
      </c>
      <c r="J90" s="1516">
        <f t="shared" si="45"/>
        <v>0</v>
      </c>
      <c r="K90" s="1516">
        <f t="shared" si="45"/>
        <v>0</v>
      </c>
      <c r="L90" s="1516">
        <f t="shared" si="45"/>
        <v>0</v>
      </c>
      <c r="M90" s="1516">
        <f t="shared" si="45"/>
        <v>0</v>
      </c>
      <c r="N90" s="1516">
        <f t="shared" si="45"/>
        <v>0</v>
      </c>
      <c r="O90" s="1516">
        <f t="shared" si="45"/>
        <v>0</v>
      </c>
      <c r="P90" s="1517">
        <f t="shared" si="39"/>
        <v>0</v>
      </c>
      <c r="S90" s="256"/>
      <c r="CQ90" s="222"/>
      <c r="CR90" s="222"/>
      <c r="CS90" s="222"/>
      <c r="CT90" s="222"/>
      <c r="CU90" s="283"/>
      <c r="CV90" s="233"/>
      <c r="CW90" s="223"/>
      <c r="CX90" s="222"/>
      <c r="CY90" s="222"/>
      <c r="CZ90" s="222"/>
      <c r="DA90" s="222"/>
      <c r="DB90" s="222"/>
      <c r="DC90" s="222"/>
      <c r="DD90" s="222"/>
      <c r="DE90" s="222"/>
      <c r="DF90" s="222"/>
      <c r="DG90" s="222"/>
      <c r="DH90" s="223"/>
      <c r="DI90" s="223"/>
      <c r="DJ90" s="223"/>
      <c r="DK90" s="223"/>
      <c r="DL90" s="223"/>
      <c r="DM90" s="223"/>
      <c r="DN90" s="223"/>
      <c r="DO90" s="223"/>
      <c r="DP90" s="223"/>
      <c r="DQ90" s="223"/>
      <c r="DR90" s="223"/>
    </row>
    <row r="91" spans="2:122" s="219" customFormat="1" ht="15" thickBot="1" x14ac:dyDescent="0.25">
      <c r="B91" s="1518" t="str">
        <f>"Summe" &amp;" "&amp;B90</f>
        <v>Summe Sammelposten</v>
      </c>
      <c r="C91" s="1519"/>
      <c r="D91" s="1520">
        <f>D90</f>
        <v>0</v>
      </c>
      <c r="E91" s="1521">
        <f>E90</f>
        <v>0</v>
      </c>
      <c r="F91" s="1521">
        <f t="shared" ref="F91:O91" si="46">F90</f>
        <v>0</v>
      </c>
      <c r="G91" s="1521">
        <f t="shared" si="46"/>
        <v>0</v>
      </c>
      <c r="H91" s="1521">
        <f t="shared" si="46"/>
        <v>0</v>
      </c>
      <c r="I91" s="1521">
        <f t="shared" si="46"/>
        <v>0</v>
      </c>
      <c r="J91" s="1521">
        <f t="shared" si="46"/>
        <v>0</v>
      </c>
      <c r="K91" s="1521">
        <f t="shared" si="46"/>
        <v>0</v>
      </c>
      <c r="L91" s="1521">
        <f t="shared" si="46"/>
        <v>0</v>
      </c>
      <c r="M91" s="1521">
        <f t="shared" si="46"/>
        <v>0</v>
      </c>
      <c r="N91" s="1521">
        <f t="shared" si="46"/>
        <v>0</v>
      </c>
      <c r="O91" s="1521">
        <f t="shared" si="46"/>
        <v>0</v>
      </c>
      <c r="P91" s="1522">
        <f>SUM(D91:O91)</f>
        <v>0</v>
      </c>
      <c r="S91" s="256"/>
      <c r="CQ91" s="222"/>
      <c r="CR91" s="222"/>
      <c r="CS91" s="222"/>
      <c r="CT91" s="222"/>
      <c r="CU91" s="283"/>
      <c r="CV91" s="233"/>
      <c r="CW91" s="223"/>
      <c r="CX91" s="222"/>
      <c r="CY91" s="222"/>
      <c r="CZ91" s="222"/>
      <c r="DA91" s="222"/>
      <c r="DB91" s="222"/>
      <c r="DC91" s="222"/>
      <c r="DD91" s="222"/>
      <c r="DE91" s="222"/>
      <c r="DF91" s="222"/>
      <c r="DG91" s="222"/>
      <c r="DH91" s="223"/>
      <c r="DI91" s="223"/>
      <c r="DJ91" s="223"/>
      <c r="DK91" s="223"/>
      <c r="DL91" s="223"/>
      <c r="DM91" s="223"/>
      <c r="DN91" s="223"/>
      <c r="DO91" s="223"/>
      <c r="DP91" s="223"/>
      <c r="DQ91" s="223"/>
      <c r="DR91" s="223"/>
    </row>
    <row r="92" spans="2:122" s="219" customFormat="1" ht="15.75" thickTop="1" thickBot="1" x14ac:dyDescent="0.25">
      <c r="B92" s="1589" t="s">
        <v>749</v>
      </c>
      <c r="C92" s="1590"/>
      <c r="D92" s="1514">
        <f>SUM(D83:D89)+D91</f>
        <v>0</v>
      </c>
      <c r="E92" s="1514">
        <f t="shared" ref="E92:O92" si="47">SUM(E83:E89)+E91</f>
        <v>0</v>
      </c>
      <c r="F92" s="1514">
        <f t="shared" si="47"/>
        <v>0</v>
      </c>
      <c r="G92" s="1514">
        <f t="shared" si="47"/>
        <v>0</v>
      </c>
      <c r="H92" s="1514">
        <f t="shared" si="47"/>
        <v>0</v>
      </c>
      <c r="I92" s="1514">
        <f t="shared" si="47"/>
        <v>0</v>
      </c>
      <c r="J92" s="1514">
        <f t="shared" si="47"/>
        <v>0</v>
      </c>
      <c r="K92" s="1514">
        <f t="shared" si="47"/>
        <v>0</v>
      </c>
      <c r="L92" s="1514">
        <f t="shared" si="47"/>
        <v>0</v>
      </c>
      <c r="M92" s="1514">
        <f t="shared" si="47"/>
        <v>0</v>
      </c>
      <c r="N92" s="1514">
        <f t="shared" si="47"/>
        <v>0</v>
      </c>
      <c r="O92" s="1514">
        <f t="shared" si="47"/>
        <v>0</v>
      </c>
      <c r="P92" s="1515">
        <f>SUM(D92:O92)</f>
        <v>0</v>
      </c>
      <c r="S92" s="256"/>
      <c r="CQ92" s="222"/>
      <c r="CR92" s="222"/>
      <c r="CS92" s="222"/>
      <c r="CT92" s="222"/>
      <c r="CU92" s="283"/>
      <c r="CV92" s="233"/>
      <c r="CW92" s="223"/>
      <c r="CX92" s="222"/>
      <c r="CY92" s="222"/>
      <c r="CZ92" s="222"/>
      <c r="DA92" s="222"/>
      <c r="DB92" s="222"/>
      <c r="DC92" s="222"/>
      <c r="DD92" s="222"/>
      <c r="DE92" s="222"/>
      <c r="DF92" s="222"/>
      <c r="DG92" s="222"/>
      <c r="DH92" s="223"/>
      <c r="DI92" s="223"/>
      <c r="DJ92" s="223"/>
      <c r="DK92" s="223"/>
      <c r="DL92" s="223"/>
      <c r="DM92" s="223"/>
      <c r="DN92" s="223"/>
      <c r="DO92" s="223"/>
      <c r="DP92" s="223"/>
      <c r="DQ92" s="223"/>
      <c r="DR92" s="223"/>
    </row>
    <row r="93" spans="2:122" s="219" customFormat="1" x14ac:dyDescent="0.2">
      <c r="B93" s="250"/>
      <c r="C93" s="250"/>
      <c r="E93" s="456"/>
      <c r="G93" s="456"/>
      <c r="I93" s="456"/>
      <c r="K93" s="467"/>
      <c r="L93" s="250"/>
      <c r="M93" s="467"/>
      <c r="N93" s="250"/>
      <c r="S93" s="256"/>
      <c r="CQ93" s="222"/>
      <c r="CR93" s="222"/>
      <c r="CS93" s="222"/>
      <c r="CT93" s="222"/>
      <c r="CU93" s="233"/>
      <c r="CV93" s="233"/>
      <c r="CW93" s="223"/>
      <c r="CX93" s="222"/>
      <c r="CY93" s="222"/>
      <c r="CZ93" s="222"/>
      <c r="DA93" s="222"/>
      <c r="DB93" s="222"/>
      <c r="DC93" s="222"/>
      <c r="DD93" s="222"/>
      <c r="DE93" s="222"/>
      <c r="DF93" s="222"/>
      <c r="DG93" s="222"/>
      <c r="DH93" s="223"/>
      <c r="DI93" s="223"/>
      <c r="DJ93" s="223"/>
      <c r="DK93" s="223"/>
      <c r="DL93" s="223"/>
      <c r="DM93" s="223"/>
      <c r="DN93" s="223"/>
      <c r="DO93" s="223"/>
      <c r="DP93" s="223"/>
      <c r="DQ93" s="223"/>
      <c r="DR93" s="223"/>
    </row>
    <row r="94" spans="2:122" s="219" customFormat="1" x14ac:dyDescent="0.2">
      <c r="B94" s="250"/>
      <c r="C94" s="250"/>
      <c r="E94" s="456"/>
      <c r="G94" s="456"/>
      <c r="I94" s="456"/>
      <c r="K94" s="467"/>
      <c r="L94" s="250"/>
      <c r="M94" s="467"/>
      <c r="N94" s="250"/>
      <c r="S94" s="256"/>
      <c r="CQ94" s="222"/>
      <c r="CR94" s="222"/>
      <c r="CS94" s="222"/>
      <c r="CT94" s="222"/>
      <c r="CU94" s="233"/>
      <c r="CV94" s="233"/>
      <c r="CW94" s="223"/>
      <c r="CX94" s="222"/>
      <c r="CY94" s="222"/>
      <c r="CZ94" s="222"/>
      <c r="DA94" s="222"/>
      <c r="DB94" s="222"/>
      <c r="DC94" s="222"/>
      <c r="DD94" s="222"/>
      <c r="DE94" s="222"/>
      <c r="DF94" s="222"/>
      <c r="DG94" s="222"/>
      <c r="DH94" s="223"/>
      <c r="DI94" s="223"/>
      <c r="DJ94" s="223"/>
      <c r="DK94" s="223"/>
      <c r="DL94" s="223"/>
      <c r="DM94" s="223"/>
      <c r="DN94" s="223"/>
      <c r="DO94" s="223"/>
      <c r="DP94" s="223"/>
      <c r="DQ94" s="223"/>
      <c r="DR94" s="223"/>
    </row>
    <row r="95" spans="2:122" s="219" customFormat="1" ht="15" thickBot="1" x14ac:dyDescent="0.25">
      <c r="B95" s="250"/>
      <c r="C95" s="250"/>
      <c r="E95" s="456"/>
      <c r="G95" s="456"/>
      <c r="I95" s="456"/>
      <c r="K95" s="467"/>
      <c r="L95" s="250"/>
      <c r="M95" s="467"/>
      <c r="N95" s="250"/>
      <c r="S95" s="256"/>
      <c r="CQ95" s="222"/>
      <c r="CR95" s="222"/>
      <c r="CS95" s="222"/>
      <c r="CT95" s="222"/>
      <c r="CU95" s="233"/>
      <c r="CV95" s="233"/>
      <c r="CW95" s="223"/>
      <c r="CX95" s="222"/>
      <c r="CY95" s="222"/>
      <c r="CZ95" s="222"/>
      <c r="DA95" s="222"/>
      <c r="DB95" s="222"/>
      <c r="DC95" s="222"/>
      <c r="DD95" s="222"/>
      <c r="DE95" s="222"/>
      <c r="DF95" s="222"/>
      <c r="DG95" s="222"/>
      <c r="DH95" s="223"/>
      <c r="DI95" s="223"/>
      <c r="DJ95" s="223"/>
      <c r="DK95" s="223"/>
      <c r="DL95" s="223"/>
      <c r="DM95" s="223"/>
      <c r="DN95" s="223"/>
      <c r="DO95" s="223"/>
      <c r="DP95" s="223"/>
      <c r="DQ95" s="223"/>
      <c r="DR95" s="223"/>
    </row>
    <row r="96" spans="2:122" s="219" customFormat="1" ht="28.15" customHeight="1" thickBot="1" x14ac:dyDescent="0.25">
      <c r="B96" s="1583" t="str">
        <f t="shared" ref="B96:B105" si="48">B70</f>
        <v>Anschaffungen</v>
      </c>
      <c r="C96" s="1584"/>
      <c r="D96" s="1505" t="str">
        <f ca="1">IF($C$2="English","Value      ","Betrag    ")&amp;'1 Pers.Ausgaben|Pers Expenses'!$C$4+1</f>
        <v>Betrag    2018</v>
      </c>
      <c r="E96" s="1506" t="str">
        <f>E70</f>
        <v>Investmonat</v>
      </c>
      <c r="F96" s="1507" t="str">
        <f ca="1">$E$70&amp;"   "&amp;B108</f>
        <v>Investmonat   2018</v>
      </c>
      <c r="G96" s="1507" t="str">
        <f t="shared" ref="G96:G104" si="49">P5</f>
        <v>Jahre der
Abschreibung</v>
      </c>
      <c r="H96" s="1507" t="s">
        <v>746</v>
      </c>
      <c r="I96" s="1507" t="s">
        <v>748</v>
      </c>
      <c r="J96" s="1507" t="s">
        <v>752</v>
      </c>
      <c r="K96" s="467"/>
      <c r="L96" s="250"/>
      <c r="M96" s="467"/>
      <c r="N96" s="250"/>
      <c r="S96" s="256"/>
      <c r="CQ96" s="222"/>
      <c r="CR96" s="222"/>
      <c r="CS96" s="222"/>
      <c r="CT96" s="222"/>
      <c r="CU96" s="233"/>
      <c r="CV96" s="233"/>
      <c r="CW96" s="223"/>
      <c r="CX96" s="222"/>
      <c r="CY96" s="222"/>
      <c r="CZ96" s="222"/>
      <c r="DA96" s="222"/>
      <c r="DB96" s="222"/>
      <c r="DC96" s="222"/>
      <c r="DD96" s="222"/>
      <c r="DE96" s="222"/>
      <c r="DF96" s="222"/>
      <c r="DG96" s="222"/>
      <c r="DH96" s="223"/>
      <c r="DI96" s="223"/>
      <c r="DJ96" s="223"/>
      <c r="DK96" s="223"/>
      <c r="DL96" s="223"/>
      <c r="DM96" s="223"/>
      <c r="DN96" s="223"/>
      <c r="DO96" s="223"/>
      <c r="DP96" s="223"/>
      <c r="DQ96" s="223"/>
      <c r="DR96" s="223"/>
    </row>
    <row r="97" spans="2:122" s="219" customFormat="1" x14ac:dyDescent="0.2">
      <c r="B97" s="1633" t="str">
        <f t="shared" si="48"/>
        <v>Investitionsgut 1</v>
      </c>
      <c r="C97" s="1634"/>
      <c r="D97" s="1526">
        <f t="shared" ref="D97:D103" si="50">G6</f>
        <v>0</v>
      </c>
      <c r="E97" s="1529">
        <f>E71+F97</f>
        <v>0</v>
      </c>
      <c r="F97" s="1527">
        <f t="shared" ref="F97:F103" si="51">IF(D97&gt;0,H6+($B$108-$B$82)*12,0)</f>
        <v>0</v>
      </c>
      <c r="G97" s="1527">
        <f t="shared" si="49"/>
        <v>0</v>
      </c>
      <c r="H97" s="1527">
        <f>IF(G97="x",0,IF(D97&gt;0,D97/(12*G97),IF(E97&gt;0,H71,0)))</f>
        <v>0</v>
      </c>
      <c r="I97" s="1527">
        <f>IF(G97="x",0,IF(D97&gt;0,E97+G97*12-1,IF(E97&gt;0,I71,0)))</f>
        <v>0</v>
      </c>
      <c r="J97" s="1508">
        <f>IF(G97="x",IF(D97&gt;0,D97,0),0)</f>
        <v>0</v>
      </c>
      <c r="K97" s="467"/>
      <c r="L97" s="250"/>
      <c r="M97" s="467"/>
      <c r="N97" s="250"/>
      <c r="S97" s="256"/>
      <c r="CQ97" s="222"/>
      <c r="CR97" s="222"/>
      <c r="CS97" s="222"/>
      <c r="CT97" s="222"/>
      <c r="CU97" s="233"/>
      <c r="CV97" s="233"/>
      <c r="CW97" s="223"/>
      <c r="CX97" s="222"/>
      <c r="CY97" s="222"/>
      <c r="CZ97" s="222"/>
      <c r="DA97" s="222"/>
      <c r="DB97" s="222"/>
      <c r="DC97" s="222"/>
      <c r="DD97" s="222"/>
      <c r="DE97" s="222"/>
      <c r="DF97" s="222"/>
      <c r="DG97" s="222"/>
      <c r="DH97" s="223"/>
      <c r="DI97" s="223"/>
      <c r="DJ97" s="223"/>
      <c r="DK97" s="223"/>
      <c r="DL97" s="223"/>
      <c r="DM97" s="223"/>
      <c r="DN97" s="223"/>
      <c r="DO97" s="223"/>
      <c r="DP97" s="223"/>
      <c r="DQ97" s="223"/>
      <c r="DR97" s="223"/>
    </row>
    <row r="98" spans="2:122" s="219" customFormat="1" x14ac:dyDescent="0.2">
      <c r="B98" s="1585" t="str">
        <f t="shared" si="48"/>
        <v>Investitionsgut 2</v>
      </c>
      <c r="C98" s="1586"/>
      <c r="D98" s="1528">
        <f t="shared" si="50"/>
        <v>0</v>
      </c>
      <c r="E98" s="1529">
        <f>E72+F98</f>
        <v>0</v>
      </c>
      <c r="F98" s="1529">
        <f t="shared" si="51"/>
        <v>0</v>
      </c>
      <c r="G98" s="1529">
        <f t="shared" si="49"/>
        <v>0</v>
      </c>
      <c r="H98" s="1529">
        <f t="shared" ref="H98:H103" si="52">IF(G98="x",0,IF(D98&gt;0,D98/(12*G98),IF(E98&gt;0,H72,0)))</f>
        <v>0</v>
      </c>
      <c r="I98" s="1529">
        <f t="shared" ref="I98:I103" si="53">IF(G98="x",0,IF(D98&gt;0,E98+G98*12-1,IF(E98&gt;0,I72,0)))</f>
        <v>0</v>
      </c>
      <c r="J98" s="1509">
        <f t="shared" ref="J98:J103" si="54">IF(G98="x",IF(D98&gt;0,D98,0),0)</f>
        <v>0</v>
      </c>
      <c r="K98" s="467"/>
      <c r="L98" s="250"/>
      <c r="M98" s="467"/>
      <c r="N98" s="250"/>
      <c r="S98" s="256"/>
      <c r="CQ98" s="222"/>
      <c r="CR98" s="222"/>
      <c r="CS98" s="222"/>
      <c r="CT98" s="222"/>
      <c r="CU98" s="233"/>
      <c r="CV98" s="233"/>
      <c r="CW98" s="223"/>
      <c r="CX98" s="222"/>
      <c r="CY98" s="222"/>
      <c r="CZ98" s="222"/>
      <c r="DA98" s="222"/>
      <c r="DB98" s="222"/>
      <c r="DC98" s="222"/>
      <c r="DD98" s="222"/>
      <c r="DE98" s="222"/>
      <c r="DF98" s="222"/>
      <c r="DG98" s="222"/>
      <c r="DH98" s="223"/>
      <c r="DI98" s="223"/>
      <c r="DJ98" s="223"/>
      <c r="DK98" s="223"/>
      <c r="DL98" s="223"/>
      <c r="DM98" s="223"/>
      <c r="DN98" s="223"/>
      <c r="DO98" s="223"/>
      <c r="DP98" s="223"/>
      <c r="DQ98" s="223"/>
      <c r="DR98" s="223"/>
    </row>
    <row r="99" spans="2:122" s="219" customFormat="1" x14ac:dyDescent="0.2">
      <c r="B99" s="1585" t="str">
        <f t="shared" si="48"/>
        <v>Investitionsgut 3</v>
      </c>
      <c r="C99" s="1586"/>
      <c r="D99" s="1528">
        <f t="shared" si="50"/>
        <v>0</v>
      </c>
      <c r="E99" s="1529">
        <f t="shared" ref="E99:E103" si="55">E73+F99</f>
        <v>0</v>
      </c>
      <c r="F99" s="1529">
        <f t="shared" si="51"/>
        <v>0</v>
      </c>
      <c r="G99" s="1529">
        <f t="shared" si="49"/>
        <v>0</v>
      </c>
      <c r="H99" s="1529">
        <f t="shared" si="52"/>
        <v>0</v>
      </c>
      <c r="I99" s="1529">
        <f t="shared" si="53"/>
        <v>0</v>
      </c>
      <c r="J99" s="1509">
        <f t="shared" si="54"/>
        <v>0</v>
      </c>
      <c r="K99" s="467"/>
      <c r="L99" s="250"/>
      <c r="M99" s="467"/>
      <c r="N99" s="250"/>
      <c r="S99" s="256"/>
      <c r="CQ99" s="222"/>
      <c r="CR99" s="222"/>
      <c r="CS99" s="222"/>
      <c r="CT99" s="222"/>
      <c r="CU99" s="233"/>
      <c r="CV99" s="233"/>
      <c r="CW99" s="223"/>
      <c r="CX99" s="222"/>
      <c r="CY99" s="222"/>
      <c r="CZ99" s="222"/>
      <c r="DA99" s="222"/>
      <c r="DB99" s="222"/>
      <c r="DC99" s="222"/>
      <c r="DD99" s="222"/>
      <c r="DE99" s="222"/>
      <c r="DF99" s="222"/>
      <c r="DG99" s="222"/>
      <c r="DH99" s="223"/>
      <c r="DI99" s="223"/>
      <c r="DJ99" s="223"/>
      <c r="DK99" s="223"/>
      <c r="DL99" s="223"/>
      <c r="DM99" s="223"/>
      <c r="DN99" s="223"/>
      <c r="DO99" s="223"/>
      <c r="DP99" s="223"/>
      <c r="DQ99" s="223"/>
      <c r="DR99" s="223"/>
    </row>
    <row r="100" spans="2:122" s="219" customFormat="1" x14ac:dyDescent="0.2">
      <c r="B100" s="1585" t="str">
        <f t="shared" si="48"/>
        <v>Investitionsgut 4</v>
      </c>
      <c r="C100" s="1586"/>
      <c r="D100" s="1528">
        <f t="shared" si="50"/>
        <v>0</v>
      </c>
      <c r="E100" s="1529">
        <f>E74+F100</f>
        <v>0</v>
      </c>
      <c r="F100" s="1529">
        <f t="shared" si="51"/>
        <v>0</v>
      </c>
      <c r="G100" s="1529">
        <f t="shared" si="49"/>
        <v>0</v>
      </c>
      <c r="H100" s="1529">
        <f t="shared" si="52"/>
        <v>0</v>
      </c>
      <c r="I100" s="1529">
        <f t="shared" si="53"/>
        <v>0</v>
      </c>
      <c r="J100" s="1509">
        <f t="shared" si="54"/>
        <v>0</v>
      </c>
      <c r="K100" s="467"/>
      <c r="L100" s="250"/>
      <c r="M100" s="467"/>
      <c r="N100" s="250"/>
      <c r="S100" s="256"/>
      <c r="CQ100" s="222"/>
      <c r="CR100" s="222"/>
      <c r="CS100" s="222"/>
      <c r="CT100" s="222"/>
      <c r="CU100" s="233"/>
      <c r="CV100" s="233"/>
      <c r="CW100" s="223"/>
      <c r="CX100" s="222"/>
      <c r="CY100" s="222"/>
      <c r="CZ100" s="222"/>
      <c r="DA100" s="222"/>
      <c r="DB100" s="222"/>
      <c r="DC100" s="222"/>
      <c r="DD100" s="222"/>
      <c r="DE100" s="222"/>
      <c r="DF100" s="222"/>
      <c r="DG100" s="222"/>
      <c r="DH100" s="223"/>
      <c r="DI100" s="223"/>
      <c r="DJ100" s="223"/>
      <c r="DK100" s="223"/>
      <c r="DL100" s="223"/>
      <c r="DM100" s="223"/>
      <c r="DN100" s="223"/>
      <c r="DO100" s="223"/>
      <c r="DP100" s="223"/>
      <c r="DQ100" s="223"/>
      <c r="DR100" s="223"/>
    </row>
    <row r="101" spans="2:122" s="219" customFormat="1" x14ac:dyDescent="0.2">
      <c r="B101" s="1585" t="str">
        <f t="shared" si="48"/>
        <v>Investitionsgut 5</v>
      </c>
      <c r="C101" s="1586"/>
      <c r="D101" s="1528">
        <f t="shared" si="50"/>
        <v>0</v>
      </c>
      <c r="E101" s="1529">
        <f t="shared" si="55"/>
        <v>0</v>
      </c>
      <c r="F101" s="1529">
        <f t="shared" si="51"/>
        <v>0</v>
      </c>
      <c r="G101" s="1529">
        <f t="shared" si="49"/>
        <v>0</v>
      </c>
      <c r="H101" s="1529">
        <f t="shared" si="52"/>
        <v>0</v>
      </c>
      <c r="I101" s="1529">
        <f t="shared" si="53"/>
        <v>0</v>
      </c>
      <c r="J101" s="1509">
        <f t="shared" si="54"/>
        <v>0</v>
      </c>
      <c r="K101" s="467"/>
      <c r="L101" s="250"/>
      <c r="M101" s="467"/>
      <c r="N101" s="250"/>
      <c r="S101" s="256"/>
      <c r="CQ101" s="222"/>
      <c r="CR101" s="222"/>
      <c r="CS101" s="222"/>
      <c r="CT101" s="222"/>
      <c r="CU101" s="233"/>
      <c r="CV101" s="233"/>
      <c r="CW101" s="223"/>
      <c r="CX101" s="222"/>
      <c r="CY101" s="222"/>
      <c r="CZ101" s="222"/>
      <c r="DA101" s="222"/>
      <c r="DB101" s="222"/>
      <c r="DC101" s="222"/>
      <c r="DD101" s="222"/>
      <c r="DE101" s="222"/>
      <c r="DF101" s="222"/>
      <c r="DG101" s="222"/>
      <c r="DH101" s="223"/>
      <c r="DI101" s="223"/>
      <c r="DJ101" s="223"/>
      <c r="DK101" s="223"/>
      <c r="DL101" s="223"/>
      <c r="DM101" s="223"/>
      <c r="DN101" s="223"/>
      <c r="DO101" s="223"/>
      <c r="DP101" s="223"/>
      <c r="DQ101" s="223"/>
      <c r="DR101" s="223"/>
    </row>
    <row r="102" spans="2:122" s="219" customFormat="1" x14ac:dyDescent="0.2">
      <c r="B102" s="1585" t="str">
        <f t="shared" si="48"/>
        <v>Investitionsgut 6</v>
      </c>
      <c r="C102" s="1586"/>
      <c r="D102" s="1528">
        <f t="shared" si="50"/>
        <v>0</v>
      </c>
      <c r="E102" s="1529">
        <f t="shared" si="55"/>
        <v>0</v>
      </c>
      <c r="F102" s="1529">
        <f t="shared" si="51"/>
        <v>0</v>
      </c>
      <c r="G102" s="1529">
        <f t="shared" si="49"/>
        <v>0</v>
      </c>
      <c r="H102" s="1529">
        <f t="shared" si="52"/>
        <v>0</v>
      </c>
      <c r="I102" s="1529">
        <f t="shared" si="53"/>
        <v>0</v>
      </c>
      <c r="J102" s="1509">
        <f t="shared" si="54"/>
        <v>0</v>
      </c>
      <c r="K102" s="467"/>
      <c r="L102" s="250"/>
      <c r="M102" s="467"/>
      <c r="N102" s="250"/>
      <c r="S102" s="256"/>
      <c r="CQ102" s="222"/>
      <c r="CR102" s="222"/>
      <c r="CS102" s="222"/>
      <c r="CT102" s="222"/>
      <c r="CU102" s="233"/>
      <c r="CV102" s="233"/>
      <c r="CW102" s="223"/>
      <c r="CX102" s="222"/>
      <c r="CY102" s="222"/>
      <c r="CZ102" s="222"/>
      <c r="DA102" s="222"/>
      <c r="DB102" s="222"/>
      <c r="DC102" s="222"/>
      <c r="DD102" s="222"/>
      <c r="DE102" s="222"/>
      <c r="DF102" s="222"/>
      <c r="DG102" s="222"/>
      <c r="DH102" s="223"/>
      <c r="DI102" s="223"/>
      <c r="DJ102" s="223"/>
      <c r="DK102" s="223"/>
      <c r="DL102" s="223"/>
      <c r="DM102" s="223"/>
      <c r="DN102" s="223"/>
      <c r="DO102" s="223"/>
      <c r="DP102" s="223"/>
      <c r="DQ102" s="223"/>
      <c r="DR102" s="223"/>
    </row>
    <row r="103" spans="2:122" s="219" customFormat="1" x14ac:dyDescent="0.2">
      <c r="B103" s="1585" t="str">
        <f t="shared" si="48"/>
        <v>Investitionsgut 7</v>
      </c>
      <c r="C103" s="1586"/>
      <c r="D103" s="1530">
        <f t="shared" si="50"/>
        <v>0</v>
      </c>
      <c r="E103" s="1529">
        <f t="shared" si="55"/>
        <v>0</v>
      </c>
      <c r="F103" s="1531">
        <f t="shared" si="51"/>
        <v>0</v>
      </c>
      <c r="G103" s="1531">
        <f t="shared" si="49"/>
        <v>0</v>
      </c>
      <c r="H103" s="1531">
        <f t="shared" si="52"/>
        <v>0</v>
      </c>
      <c r="I103" s="1531">
        <f t="shared" si="53"/>
        <v>0</v>
      </c>
      <c r="J103" s="1510">
        <f t="shared" si="54"/>
        <v>0</v>
      </c>
      <c r="K103" s="467"/>
      <c r="L103" s="250"/>
      <c r="M103" s="467"/>
      <c r="N103" s="250"/>
      <c r="S103" s="256"/>
      <c r="CQ103" s="222"/>
      <c r="CR103" s="222"/>
      <c r="CS103" s="222"/>
      <c r="CT103" s="222"/>
      <c r="CU103" s="233"/>
      <c r="CV103" s="233"/>
      <c r="CW103" s="223"/>
      <c r="CX103" s="222"/>
      <c r="CY103" s="222"/>
      <c r="CZ103" s="222"/>
      <c r="DA103" s="222"/>
      <c r="DB103" s="222"/>
      <c r="DC103" s="222"/>
      <c r="DD103" s="222"/>
      <c r="DE103" s="222"/>
      <c r="DF103" s="222"/>
      <c r="DG103" s="222"/>
      <c r="DH103" s="223"/>
      <c r="DI103" s="223"/>
      <c r="DJ103" s="223"/>
      <c r="DK103" s="223"/>
      <c r="DL103" s="223"/>
      <c r="DM103" s="223"/>
      <c r="DN103" s="223"/>
      <c r="DO103" s="223"/>
      <c r="DP103" s="223"/>
      <c r="DQ103" s="223"/>
      <c r="DR103" s="223"/>
    </row>
    <row r="104" spans="2:122" s="219" customFormat="1" ht="15" thickBot="1" x14ac:dyDescent="0.25">
      <c r="B104" s="1587" t="str">
        <f t="shared" si="48"/>
        <v>Sammelposten</v>
      </c>
      <c r="C104" s="1588"/>
      <c r="D104" s="1532">
        <f>H27</f>
        <v>0</v>
      </c>
      <c r="E104" s="1534">
        <f ca="1">F104</f>
        <v>13</v>
      </c>
      <c r="F104" s="1534">
        <f ca="1">H13+($B$108-$B$82)*12</f>
        <v>13</v>
      </c>
      <c r="G104" s="1535">
        <f t="shared" si="49"/>
        <v>5</v>
      </c>
      <c r="H104" s="1533">
        <f>D104/60</f>
        <v>0</v>
      </c>
      <c r="I104" s="1535" t="str">
        <f>IF(D104&gt;0,F104+G104*12-1,"")</f>
        <v/>
      </c>
      <c r="J104" s="1523"/>
      <c r="K104" s="467"/>
      <c r="L104" s="250"/>
      <c r="M104" s="467"/>
      <c r="N104" s="250"/>
      <c r="O104" s="255"/>
      <c r="P104" s="255"/>
      <c r="S104" s="256"/>
      <c r="CQ104" s="222"/>
      <c r="CR104" s="222"/>
      <c r="CS104" s="222"/>
      <c r="CT104" s="222"/>
      <c r="CU104" s="233"/>
      <c r="CV104" s="233"/>
      <c r="CW104" s="223"/>
      <c r="CX104" s="222"/>
      <c r="CY104" s="222"/>
      <c r="CZ104" s="222"/>
      <c r="DA104" s="222"/>
      <c r="DB104" s="222"/>
      <c r="DC104" s="222"/>
      <c r="DD104" s="222"/>
      <c r="DE104" s="222"/>
      <c r="DF104" s="222"/>
      <c r="DG104" s="222"/>
      <c r="DH104" s="223"/>
      <c r="DI104" s="223"/>
      <c r="DJ104" s="223"/>
      <c r="DK104" s="223"/>
      <c r="DL104" s="223"/>
      <c r="DM104" s="223"/>
      <c r="DN104" s="223"/>
      <c r="DO104" s="223"/>
      <c r="DP104" s="223"/>
      <c r="DQ104" s="223"/>
      <c r="DR104" s="223"/>
    </row>
    <row r="105" spans="2:122" s="544" customFormat="1" ht="15.75" thickTop="1" thickBot="1" x14ac:dyDescent="0.25">
      <c r="B105" s="1511" t="str">
        <f t="shared" si="48"/>
        <v>Summe Anschaffungen</v>
      </c>
      <c r="C105" s="1524"/>
      <c r="D105" s="1525">
        <f>SUM(D97:D104)-J105</f>
        <v>0</v>
      </c>
      <c r="E105" s="219"/>
      <c r="F105" s="219"/>
      <c r="G105" s="219"/>
      <c r="H105" s="1525">
        <f>SUM(H97:H104)</f>
        <v>0</v>
      </c>
      <c r="I105" s="219"/>
      <c r="J105" s="1525">
        <f>SUM(J97:J104)</f>
        <v>0</v>
      </c>
      <c r="K105" s="467"/>
      <c r="L105" s="250"/>
      <c r="M105" s="467"/>
      <c r="N105" s="250"/>
      <c r="O105" s="1288"/>
      <c r="P105" s="1288"/>
      <c r="S105" s="546"/>
      <c r="CQ105" s="454"/>
      <c r="CR105" s="454"/>
      <c r="CS105" s="454"/>
      <c r="CT105" s="454"/>
      <c r="CU105" s="290"/>
      <c r="CV105" s="233"/>
      <c r="CW105" s="223"/>
      <c r="CX105" s="454"/>
      <c r="CY105" s="454"/>
      <c r="CZ105" s="454"/>
      <c r="DA105" s="454"/>
      <c r="DB105" s="454"/>
      <c r="DC105" s="454"/>
      <c r="DD105" s="454"/>
      <c r="DE105" s="454"/>
      <c r="DF105" s="454"/>
      <c r="DG105" s="454"/>
      <c r="DH105" s="454"/>
      <c r="DI105" s="454"/>
      <c r="DJ105" s="454"/>
      <c r="DK105" s="454"/>
      <c r="DL105" s="454"/>
      <c r="DM105" s="454"/>
      <c r="DN105" s="454"/>
      <c r="DO105" s="454"/>
      <c r="DP105" s="454"/>
      <c r="DQ105" s="454"/>
      <c r="DR105" s="454"/>
    </row>
    <row r="106" spans="2:122" s="544" customFormat="1" ht="15" thickBot="1" x14ac:dyDescent="0.25">
      <c r="B106" s="219"/>
      <c r="C106" s="250"/>
      <c r="D106" s="219"/>
      <c r="E106" s="456"/>
      <c r="F106" s="219"/>
      <c r="G106" s="456"/>
      <c r="H106" s="219"/>
      <c r="I106" s="456"/>
      <c r="J106" s="219"/>
      <c r="K106" s="467"/>
      <c r="L106" s="250"/>
      <c r="M106" s="467"/>
      <c r="N106" s="250"/>
      <c r="O106" s="1288"/>
      <c r="P106" s="1288"/>
      <c r="S106" s="547"/>
      <c r="T106" s="545"/>
      <c r="U106" s="545"/>
      <c r="V106" s="545"/>
      <c r="W106" s="545"/>
      <c r="X106" s="545"/>
      <c r="Y106" s="545"/>
      <c r="Z106" s="545"/>
      <c r="AA106" s="545"/>
      <c r="AB106" s="545"/>
      <c r="CQ106" s="454"/>
      <c r="CR106" s="454"/>
      <c r="CS106" s="454"/>
      <c r="CT106" s="454"/>
      <c r="CU106" s="290"/>
      <c r="CV106" s="233"/>
      <c r="CW106" s="223"/>
      <c r="CX106" s="454"/>
      <c r="CY106" s="454"/>
      <c r="CZ106" s="454"/>
      <c r="DA106" s="454"/>
      <c r="DB106" s="454"/>
      <c r="DC106" s="454"/>
      <c r="DD106" s="454"/>
      <c r="DE106" s="454"/>
      <c r="DF106" s="454"/>
      <c r="DG106" s="454"/>
      <c r="DH106" s="454"/>
      <c r="DI106" s="454"/>
      <c r="DJ106" s="454"/>
      <c r="DK106" s="454"/>
      <c r="DL106" s="454"/>
      <c r="DM106" s="454"/>
      <c r="DN106" s="454"/>
      <c r="DO106" s="454"/>
      <c r="DP106" s="454"/>
      <c r="DQ106" s="454"/>
      <c r="DR106" s="454"/>
    </row>
    <row r="107" spans="2:122" s="544" customFormat="1" ht="14.45" customHeight="1" thickBot="1" x14ac:dyDescent="0.25">
      <c r="B107" s="1583" t="str">
        <f>B81</f>
        <v>laufender Monat</v>
      </c>
      <c r="C107" s="1584"/>
      <c r="D107" s="1498">
        <f ca="1">1+($B$108-$B$82)*12</f>
        <v>13</v>
      </c>
      <c r="E107" s="1499">
        <f ca="1">D107+1</f>
        <v>14</v>
      </c>
      <c r="F107" s="1499">
        <f t="shared" ref="F107:O107" ca="1" si="56">E107+1</f>
        <v>15</v>
      </c>
      <c r="G107" s="1499">
        <f t="shared" ca="1" si="56"/>
        <v>16</v>
      </c>
      <c r="H107" s="1499">
        <f t="shared" ca="1" si="56"/>
        <v>17</v>
      </c>
      <c r="I107" s="1499">
        <f t="shared" ca="1" si="56"/>
        <v>18</v>
      </c>
      <c r="J107" s="1499">
        <f t="shared" ca="1" si="56"/>
        <v>19</v>
      </c>
      <c r="K107" s="1499">
        <f t="shared" ca="1" si="56"/>
        <v>20</v>
      </c>
      <c r="L107" s="1499">
        <f t="shared" ca="1" si="56"/>
        <v>21</v>
      </c>
      <c r="M107" s="1499">
        <f t="shared" ca="1" si="56"/>
        <v>22</v>
      </c>
      <c r="N107" s="1499">
        <f t="shared" ca="1" si="56"/>
        <v>23</v>
      </c>
      <c r="O107" s="1499">
        <f t="shared" ca="1" si="56"/>
        <v>24</v>
      </c>
      <c r="P107" s="1500"/>
      <c r="S107" s="547"/>
      <c r="T107" s="545"/>
      <c r="U107" s="545"/>
      <c r="V107" s="545"/>
      <c r="W107" s="545"/>
      <c r="X107" s="545"/>
      <c r="Y107" s="545"/>
      <c r="Z107" s="545"/>
      <c r="AA107" s="545"/>
      <c r="AB107" s="545"/>
      <c r="CQ107" s="454"/>
      <c r="CR107" s="454"/>
      <c r="CS107" s="454"/>
      <c r="CT107" s="454"/>
      <c r="CU107" s="290"/>
      <c r="CV107" s="233"/>
      <c r="CW107" s="223"/>
      <c r="CX107" s="454"/>
      <c r="CY107" s="454"/>
      <c r="CZ107" s="454"/>
      <c r="DA107" s="454"/>
      <c r="DB107" s="454"/>
      <c r="DC107" s="454"/>
      <c r="DD107" s="454"/>
      <c r="DE107" s="454"/>
      <c r="DF107" s="454"/>
      <c r="DG107" s="454"/>
      <c r="DH107" s="454"/>
      <c r="DI107" s="454"/>
      <c r="DJ107" s="454"/>
      <c r="DK107" s="454"/>
      <c r="DL107" s="454"/>
      <c r="DM107" s="454"/>
      <c r="DN107" s="454"/>
      <c r="DO107" s="454"/>
      <c r="DP107" s="454"/>
      <c r="DQ107" s="454"/>
      <c r="DR107" s="454"/>
    </row>
    <row r="108" spans="2:122" s="544" customFormat="1" ht="15" thickBot="1" x14ac:dyDescent="0.25">
      <c r="B108" s="1583">
        <f ca="1">'1 Pers.Ausgaben|Pers Expenses'!C4+1</f>
        <v>2018</v>
      </c>
      <c r="C108" s="1584"/>
      <c r="D108" s="56" t="s">
        <v>1</v>
      </c>
      <c r="E108" s="51" t="s">
        <v>2</v>
      </c>
      <c r="F108" s="51" t="s">
        <v>3</v>
      </c>
      <c r="G108" s="51" t="s">
        <v>4</v>
      </c>
      <c r="H108" s="51" t="s">
        <v>5</v>
      </c>
      <c r="I108" s="51" t="s">
        <v>6</v>
      </c>
      <c r="J108" s="51" t="s">
        <v>7</v>
      </c>
      <c r="K108" s="51" t="s">
        <v>8</v>
      </c>
      <c r="L108" s="51" t="s">
        <v>9</v>
      </c>
      <c r="M108" s="51" t="s">
        <v>10</v>
      </c>
      <c r="N108" s="51" t="s">
        <v>11</v>
      </c>
      <c r="O108" s="51" t="s">
        <v>12</v>
      </c>
      <c r="P108" s="52" t="s">
        <v>747</v>
      </c>
      <c r="S108" s="547"/>
      <c r="T108" s="545"/>
      <c r="U108" s="545"/>
      <c r="V108" s="545"/>
      <c r="W108" s="545"/>
      <c r="X108" s="545"/>
      <c r="Y108" s="545"/>
      <c r="Z108" s="545"/>
      <c r="AA108" s="545"/>
      <c r="AB108" s="545"/>
      <c r="CQ108" s="454"/>
      <c r="CR108" s="454"/>
      <c r="CS108" s="454"/>
      <c r="CT108" s="454"/>
      <c r="CU108" s="290"/>
      <c r="CV108" s="233"/>
      <c r="CW108" s="223"/>
      <c r="CX108" s="454"/>
      <c r="CY108" s="454"/>
      <c r="CZ108" s="454"/>
      <c r="DA108" s="454"/>
      <c r="DB108" s="454"/>
      <c r="DC108" s="454"/>
      <c r="DD108" s="454"/>
      <c r="DE108" s="454"/>
      <c r="DF108" s="454"/>
      <c r="DG108" s="454"/>
      <c r="DH108" s="454"/>
      <c r="DI108" s="454"/>
      <c r="DJ108" s="454"/>
      <c r="DK108" s="454"/>
      <c r="DL108" s="454"/>
      <c r="DM108" s="454"/>
      <c r="DN108" s="454"/>
      <c r="DO108" s="454"/>
      <c r="DP108" s="454"/>
      <c r="DQ108" s="454"/>
      <c r="DR108" s="454"/>
    </row>
    <row r="109" spans="2:122" s="544" customFormat="1" x14ac:dyDescent="0.2">
      <c r="B109" s="1577" t="str">
        <f>B97</f>
        <v>Investitionsgut 1</v>
      </c>
      <c r="C109" s="1578"/>
      <c r="D109" s="1503">
        <f ca="1">IF($G97="x",0,IF(OR(D$107&lt;$E97,D$107&gt;$I97),0,$H97))</f>
        <v>0</v>
      </c>
      <c r="E109" s="1503">
        <f t="shared" ref="E109:O109" ca="1" si="57">IF($G97="x",0,IF(OR(E$107&lt;$E97,E$107&gt;$I97),0,$H97))</f>
        <v>0</v>
      </c>
      <c r="F109" s="1503">
        <f t="shared" ca="1" si="57"/>
        <v>0</v>
      </c>
      <c r="G109" s="1503">
        <f t="shared" ca="1" si="57"/>
        <v>0</v>
      </c>
      <c r="H109" s="1503">
        <f t="shared" ca="1" si="57"/>
        <v>0</v>
      </c>
      <c r="I109" s="1503">
        <f t="shared" ca="1" si="57"/>
        <v>0</v>
      </c>
      <c r="J109" s="1503">
        <f t="shared" ca="1" si="57"/>
        <v>0</v>
      </c>
      <c r="K109" s="1503">
        <f t="shared" ca="1" si="57"/>
        <v>0</v>
      </c>
      <c r="L109" s="1503">
        <f t="shared" ca="1" si="57"/>
        <v>0</v>
      </c>
      <c r="M109" s="1503">
        <f t="shared" ca="1" si="57"/>
        <v>0</v>
      </c>
      <c r="N109" s="1503">
        <f t="shared" ca="1" si="57"/>
        <v>0</v>
      </c>
      <c r="O109" s="1503">
        <f t="shared" ca="1" si="57"/>
        <v>0</v>
      </c>
      <c r="P109" s="1502">
        <f ca="1">SUM(D109:O109)</f>
        <v>0</v>
      </c>
      <c r="S109" s="547"/>
      <c r="T109" s="545"/>
      <c r="U109" s="545"/>
      <c r="V109" s="545"/>
      <c r="W109" s="545"/>
      <c r="X109" s="545"/>
      <c r="Y109" s="545"/>
      <c r="Z109" s="545"/>
      <c r="AA109" s="545"/>
      <c r="AB109" s="545"/>
      <c r="CQ109" s="454"/>
      <c r="CR109" s="454"/>
      <c r="CS109" s="454"/>
      <c r="CT109" s="454"/>
      <c r="CU109" s="290"/>
      <c r="CV109" s="233"/>
      <c r="CW109" s="223"/>
      <c r="CX109" s="454"/>
      <c r="CY109" s="454"/>
      <c r="CZ109" s="454"/>
      <c r="DA109" s="454"/>
      <c r="DB109" s="454"/>
      <c r="DC109" s="454"/>
      <c r="DD109" s="454"/>
      <c r="DE109" s="454"/>
      <c r="DF109" s="454"/>
      <c r="DG109" s="454"/>
      <c r="DH109" s="454"/>
      <c r="DI109" s="454"/>
      <c r="DJ109" s="454"/>
      <c r="DK109" s="454"/>
      <c r="DL109" s="454"/>
      <c r="DM109" s="454"/>
      <c r="DN109" s="454"/>
      <c r="DO109" s="454"/>
      <c r="DP109" s="454"/>
      <c r="DQ109" s="454"/>
      <c r="DR109" s="454"/>
    </row>
    <row r="110" spans="2:122" s="546" customFormat="1" x14ac:dyDescent="0.2">
      <c r="B110" s="1577" t="str">
        <f t="shared" ref="B110:B115" si="58">B98</f>
        <v>Investitionsgut 2</v>
      </c>
      <c r="C110" s="1578"/>
      <c r="D110" s="1503">
        <f t="shared" ref="D110:O110" ca="1" si="59">IF($G98="x",0,IF(OR(D$107&lt;$E98,D$107&gt;$I98),0,$H98))</f>
        <v>0</v>
      </c>
      <c r="E110" s="1503">
        <f t="shared" ca="1" si="59"/>
        <v>0</v>
      </c>
      <c r="F110" s="1503">
        <f t="shared" ca="1" si="59"/>
        <v>0</v>
      </c>
      <c r="G110" s="1503">
        <f t="shared" ca="1" si="59"/>
        <v>0</v>
      </c>
      <c r="H110" s="1503">
        <f t="shared" ca="1" si="59"/>
        <v>0</v>
      </c>
      <c r="I110" s="1503">
        <f t="shared" ca="1" si="59"/>
        <v>0</v>
      </c>
      <c r="J110" s="1503">
        <f t="shared" ca="1" si="59"/>
        <v>0</v>
      </c>
      <c r="K110" s="1503">
        <f t="shared" ca="1" si="59"/>
        <v>0</v>
      </c>
      <c r="L110" s="1503">
        <f t="shared" ca="1" si="59"/>
        <v>0</v>
      </c>
      <c r="M110" s="1503">
        <f t="shared" ca="1" si="59"/>
        <v>0</v>
      </c>
      <c r="N110" s="1503">
        <f t="shared" ca="1" si="59"/>
        <v>0</v>
      </c>
      <c r="O110" s="1503">
        <f t="shared" ca="1" si="59"/>
        <v>0</v>
      </c>
      <c r="P110" s="1504">
        <f t="shared" ref="P110:P114" ca="1" si="60">SUM(D110:O110)</f>
        <v>0</v>
      </c>
      <c r="S110" s="547"/>
      <c r="T110" s="547"/>
      <c r="U110" s="547"/>
      <c r="V110" s="547"/>
      <c r="W110" s="547"/>
      <c r="X110" s="547"/>
      <c r="Y110" s="547"/>
      <c r="Z110" s="547"/>
      <c r="AA110" s="547"/>
      <c r="AB110" s="547"/>
      <c r="CQ110" s="462"/>
      <c r="CR110" s="462"/>
      <c r="CS110" s="462"/>
      <c r="CT110" s="462"/>
      <c r="CU110" s="549"/>
      <c r="CV110" s="634"/>
      <c r="CW110" s="446"/>
      <c r="CX110" s="462"/>
      <c r="CY110" s="462"/>
      <c r="CZ110" s="462"/>
      <c r="DA110" s="462"/>
      <c r="DB110" s="462"/>
      <c r="DC110" s="462"/>
      <c r="DD110" s="462"/>
      <c r="DE110" s="462"/>
      <c r="DF110" s="462"/>
      <c r="DG110" s="462"/>
      <c r="DH110" s="462"/>
      <c r="DI110" s="462"/>
      <c r="DJ110" s="462"/>
      <c r="DK110" s="462"/>
      <c r="DL110" s="462"/>
      <c r="DM110" s="462"/>
      <c r="DN110" s="462"/>
      <c r="DO110" s="462"/>
      <c r="DP110" s="462"/>
      <c r="DQ110" s="462"/>
      <c r="DR110" s="462"/>
    </row>
    <row r="111" spans="2:122" s="258" customFormat="1" x14ac:dyDescent="0.2">
      <c r="B111" s="1577" t="str">
        <f t="shared" si="58"/>
        <v>Investitionsgut 3</v>
      </c>
      <c r="C111" s="1578"/>
      <c r="D111" s="1503">
        <f t="shared" ref="D111:O111" ca="1" si="61">IF($G99="x",0,IF(OR(D$107&lt;$E99,D$107&gt;$I99),0,$H99))</f>
        <v>0</v>
      </c>
      <c r="E111" s="1503">
        <f t="shared" ca="1" si="61"/>
        <v>0</v>
      </c>
      <c r="F111" s="1503">
        <f t="shared" ca="1" si="61"/>
        <v>0</v>
      </c>
      <c r="G111" s="1503">
        <f t="shared" ca="1" si="61"/>
        <v>0</v>
      </c>
      <c r="H111" s="1503">
        <f t="shared" ca="1" si="61"/>
        <v>0</v>
      </c>
      <c r="I111" s="1503">
        <f t="shared" ca="1" si="61"/>
        <v>0</v>
      </c>
      <c r="J111" s="1503">
        <f t="shared" ca="1" si="61"/>
        <v>0</v>
      </c>
      <c r="K111" s="1503">
        <f t="shared" ca="1" si="61"/>
        <v>0</v>
      </c>
      <c r="L111" s="1503">
        <f t="shared" ca="1" si="61"/>
        <v>0</v>
      </c>
      <c r="M111" s="1503">
        <f t="shared" ca="1" si="61"/>
        <v>0</v>
      </c>
      <c r="N111" s="1503">
        <f t="shared" ca="1" si="61"/>
        <v>0</v>
      </c>
      <c r="O111" s="1503">
        <f t="shared" ca="1" si="61"/>
        <v>0</v>
      </c>
      <c r="P111" s="1504">
        <f t="shared" ca="1" si="60"/>
        <v>0</v>
      </c>
      <c r="S111" s="1247"/>
      <c r="T111" s="1247"/>
      <c r="U111" s="1247"/>
      <c r="V111" s="1247"/>
      <c r="W111" s="1247"/>
      <c r="X111" s="1247"/>
      <c r="Y111" s="1247"/>
      <c r="Z111" s="1247"/>
      <c r="AA111" s="1247"/>
      <c r="AB111" s="1247"/>
      <c r="CQ111" s="446"/>
      <c r="CR111" s="446"/>
      <c r="CS111" s="446"/>
      <c r="CT111" s="446"/>
      <c r="CU111" s="634"/>
      <c r="CV111" s="634"/>
      <c r="CW111" s="446"/>
      <c r="CX111" s="446"/>
      <c r="CY111" s="446"/>
      <c r="CZ111" s="446"/>
      <c r="DA111" s="446"/>
      <c r="DB111" s="446"/>
      <c r="DC111" s="446"/>
      <c r="DD111" s="446"/>
      <c r="DE111" s="446"/>
      <c r="DF111" s="446"/>
      <c r="DG111" s="446"/>
      <c r="DH111" s="446"/>
      <c r="DI111" s="446"/>
      <c r="DJ111" s="446"/>
      <c r="DK111" s="446"/>
      <c r="DL111" s="446"/>
      <c r="DM111" s="446"/>
      <c r="DN111" s="446"/>
      <c r="DO111" s="446"/>
      <c r="DP111" s="446"/>
      <c r="DQ111" s="446"/>
      <c r="DR111" s="446"/>
    </row>
    <row r="112" spans="2:122" s="258" customFormat="1" x14ac:dyDescent="0.2">
      <c r="B112" s="1577" t="str">
        <f t="shared" si="58"/>
        <v>Investitionsgut 4</v>
      </c>
      <c r="C112" s="1578"/>
      <c r="D112" s="1503">
        <f t="shared" ref="D112:O112" ca="1" si="62">IF($G100="x",0,IF(OR(D$107&lt;$E100,D$107&gt;$I100),0,$H100))</f>
        <v>0</v>
      </c>
      <c r="E112" s="1503">
        <f t="shared" ca="1" si="62"/>
        <v>0</v>
      </c>
      <c r="F112" s="1503">
        <f t="shared" ca="1" si="62"/>
        <v>0</v>
      </c>
      <c r="G112" s="1503">
        <f t="shared" ca="1" si="62"/>
        <v>0</v>
      </c>
      <c r="H112" s="1503">
        <f t="shared" ca="1" si="62"/>
        <v>0</v>
      </c>
      <c r="I112" s="1503">
        <f t="shared" ca="1" si="62"/>
        <v>0</v>
      </c>
      <c r="J112" s="1503">
        <f t="shared" ca="1" si="62"/>
        <v>0</v>
      </c>
      <c r="K112" s="1503">
        <f t="shared" ca="1" si="62"/>
        <v>0</v>
      </c>
      <c r="L112" s="1503">
        <f t="shared" ca="1" si="62"/>
        <v>0</v>
      </c>
      <c r="M112" s="1503">
        <f t="shared" ca="1" si="62"/>
        <v>0</v>
      </c>
      <c r="N112" s="1503">
        <f t="shared" ca="1" si="62"/>
        <v>0</v>
      </c>
      <c r="O112" s="1503">
        <f t="shared" ca="1" si="62"/>
        <v>0</v>
      </c>
      <c r="P112" s="1504">
        <f t="shared" ca="1" si="60"/>
        <v>0</v>
      </c>
      <c r="S112" s="1247"/>
      <c r="T112" s="1247"/>
      <c r="U112" s="1247"/>
      <c r="V112" s="1247"/>
      <c r="W112" s="1247"/>
      <c r="X112" s="1247"/>
      <c r="Y112" s="1247"/>
      <c r="Z112" s="1247"/>
      <c r="AA112" s="1247"/>
      <c r="AB112" s="1247"/>
      <c r="CQ112" s="446"/>
      <c r="CR112" s="446"/>
      <c r="CS112" s="446"/>
      <c r="CT112" s="446"/>
      <c r="CU112" s="634"/>
      <c r="CV112" s="634"/>
      <c r="CW112" s="446"/>
      <c r="CX112" s="446"/>
      <c r="CY112" s="446"/>
      <c r="CZ112" s="446"/>
      <c r="DA112" s="446"/>
      <c r="DB112" s="446"/>
      <c r="DC112" s="446"/>
      <c r="DD112" s="446"/>
      <c r="DE112" s="446"/>
      <c r="DF112" s="446"/>
      <c r="DG112" s="446"/>
      <c r="DH112" s="446"/>
      <c r="DI112" s="446"/>
      <c r="DJ112" s="446"/>
      <c r="DK112" s="446"/>
      <c r="DL112" s="446"/>
      <c r="DM112" s="446"/>
      <c r="DN112" s="446"/>
      <c r="DO112" s="446"/>
      <c r="DP112" s="446"/>
      <c r="DQ112" s="446"/>
      <c r="DR112" s="446"/>
    </row>
    <row r="113" spans="1:122" s="258" customFormat="1" x14ac:dyDescent="0.2">
      <c r="B113" s="1577" t="str">
        <f t="shared" si="58"/>
        <v>Investitionsgut 5</v>
      </c>
      <c r="C113" s="1578"/>
      <c r="D113" s="1503">
        <f t="shared" ref="D113:O113" ca="1" si="63">IF($G101="x",0,IF(OR(D$107&lt;$E101,D$107&gt;$I101),0,$H101))</f>
        <v>0</v>
      </c>
      <c r="E113" s="1503">
        <f t="shared" ca="1" si="63"/>
        <v>0</v>
      </c>
      <c r="F113" s="1503">
        <f t="shared" ca="1" si="63"/>
        <v>0</v>
      </c>
      <c r="G113" s="1503">
        <f t="shared" ca="1" si="63"/>
        <v>0</v>
      </c>
      <c r="H113" s="1503">
        <f t="shared" ca="1" si="63"/>
        <v>0</v>
      </c>
      <c r="I113" s="1503">
        <f t="shared" ca="1" si="63"/>
        <v>0</v>
      </c>
      <c r="J113" s="1503">
        <f t="shared" ca="1" si="63"/>
        <v>0</v>
      </c>
      <c r="K113" s="1503">
        <f t="shared" ca="1" si="63"/>
        <v>0</v>
      </c>
      <c r="L113" s="1503">
        <f t="shared" ca="1" si="63"/>
        <v>0</v>
      </c>
      <c r="M113" s="1503">
        <f t="shared" ca="1" si="63"/>
        <v>0</v>
      </c>
      <c r="N113" s="1503">
        <f t="shared" ca="1" si="63"/>
        <v>0</v>
      </c>
      <c r="O113" s="1503">
        <f t="shared" ca="1" si="63"/>
        <v>0</v>
      </c>
      <c r="P113" s="1504">
        <f t="shared" ca="1" si="60"/>
        <v>0</v>
      </c>
      <c r="S113" s="1247"/>
      <c r="T113" s="1247"/>
      <c r="U113" s="1247"/>
      <c r="V113" s="1247"/>
      <c r="W113" s="1247"/>
      <c r="X113" s="1247"/>
      <c r="Y113" s="1247"/>
      <c r="Z113" s="1247"/>
      <c r="AA113" s="1247"/>
      <c r="AB113" s="1247"/>
      <c r="CQ113" s="446"/>
      <c r="CR113" s="446"/>
      <c r="CS113" s="446"/>
      <c r="CT113" s="446"/>
      <c r="CU113" s="634"/>
      <c r="CV113" s="634"/>
      <c r="CW113" s="446"/>
      <c r="CX113" s="446"/>
      <c r="CY113" s="446"/>
      <c r="CZ113" s="446"/>
      <c r="DA113" s="446"/>
      <c r="DB113" s="446"/>
      <c r="DC113" s="446"/>
      <c r="DD113" s="446"/>
      <c r="DE113" s="446"/>
      <c r="DF113" s="446"/>
      <c r="DG113" s="446"/>
      <c r="DH113" s="446"/>
      <c r="DI113" s="446"/>
      <c r="DJ113" s="446"/>
      <c r="DK113" s="446"/>
      <c r="DL113" s="446"/>
      <c r="DM113" s="446"/>
      <c r="DN113" s="446"/>
      <c r="DO113" s="446"/>
      <c r="DP113" s="446"/>
      <c r="DQ113" s="446"/>
      <c r="DR113" s="446"/>
    </row>
    <row r="114" spans="1:122" s="546" customFormat="1" ht="17.25" customHeight="1" x14ac:dyDescent="0.2">
      <c r="B114" s="1577" t="str">
        <f t="shared" si="58"/>
        <v>Investitionsgut 6</v>
      </c>
      <c r="C114" s="1578"/>
      <c r="D114" s="1503">
        <f t="shared" ref="D114:O114" ca="1" si="64">IF($G102="x",0,IF(OR(D$107&lt;$E102,D$107&gt;$I102),0,$H102))</f>
        <v>0</v>
      </c>
      <c r="E114" s="1503">
        <f t="shared" ca="1" si="64"/>
        <v>0</v>
      </c>
      <c r="F114" s="1503">
        <f t="shared" ca="1" si="64"/>
        <v>0</v>
      </c>
      <c r="G114" s="1503">
        <f t="shared" ca="1" si="64"/>
        <v>0</v>
      </c>
      <c r="H114" s="1503">
        <f t="shared" ca="1" si="64"/>
        <v>0</v>
      </c>
      <c r="I114" s="1503">
        <f t="shared" ca="1" si="64"/>
        <v>0</v>
      </c>
      <c r="J114" s="1503">
        <f t="shared" ca="1" si="64"/>
        <v>0</v>
      </c>
      <c r="K114" s="1503">
        <f t="shared" ca="1" si="64"/>
        <v>0</v>
      </c>
      <c r="L114" s="1503">
        <f t="shared" ca="1" si="64"/>
        <v>0</v>
      </c>
      <c r="M114" s="1503">
        <f t="shared" ca="1" si="64"/>
        <v>0</v>
      </c>
      <c r="N114" s="1503">
        <f t="shared" ca="1" si="64"/>
        <v>0</v>
      </c>
      <c r="O114" s="1503">
        <f t="shared" ca="1" si="64"/>
        <v>0</v>
      </c>
      <c r="P114" s="1504">
        <f t="shared" ca="1" si="60"/>
        <v>0</v>
      </c>
      <c r="S114" s="547"/>
      <c r="T114" s="547"/>
      <c r="U114" s="547"/>
      <c r="V114" s="547"/>
      <c r="W114" s="547"/>
      <c r="X114" s="547"/>
      <c r="Y114" s="547"/>
      <c r="Z114" s="547"/>
      <c r="AA114" s="547"/>
      <c r="AB114" s="547"/>
      <c r="CQ114" s="462"/>
      <c r="CR114" s="462"/>
      <c r="CS114" s="462"/>
      <c r="CT114" s="462"/>
      <c r="CU114" s="549"/>
      <c r="CV114" s="549"/>
      <c r="CW114" s="462"/>
      <c r="CX114" s="462"/>
      <c r="CY114" s="462"/>
      <c r="CZ114" s="462"/>
      <c r="DA114" s="462"/>
      <c r="DB114" s="462"/>
      <c r="DC114" s="462"/>
      <c r="DD114" s="462"/>
      <c r="DE114" s="462"/>
      <c r="DF114" s="462"/>
      <c r="DG114" s="462"/>
      <c r="DH114" s="462"/>
      <c r="DI114" s="462"/>
      <c r="DJ114" s="462"/>
      <c r="DK114" s="462"/>
      <c r="DL114" s="462"/>
      <c r="DM114" s="462"/>
      <c r="DN114" s="462"/>
      <c r="DO114" s="462"/>
      <c r="DP114" s="462"/>
      <c r="DQ114" s="462"/>
      <c r="DR114" s="462"/>
    </row>
    <row r="115" spans="1:122" s="546" customFormat="1" x14ac:dyDescent="0.2">
      <c r="B115" s="1579" t="str">
        <f t="shared" si="58"/>
        <v>Investitionsgut 7</v>
      </c>
      <c r="C115" s="1580"/>
      <c r="D115" s="1503">
        <f t="shared" ref="D115:O115" ca="1" si="65">IF($G103="x",0,IF(OR(D$107&lt;$E103,D$107&gt;$I103),0,$H103))</f>
        <v>0</v>
      </c>
      <c r="E115" s="1503">
        <f t="shared" ca="1" si="65"/>
        <v>0</v>
      </c>
      <c r="F115" s="1503">
        <f t="shared" ca="1" si="65"/>
        <v>0</v>
      </c>
      <c r="G115" s="1503">
        <f t="shared" ca="1" si="65"/>
        <v>0</v>
      </c>
      <c r="H115" s="1503">
        <f t="shared" ca="1" si="65"/>
        <v>0</v>
      </c>
      <c r="I115" s="1503">
        <f t="shared" ca="1" si="65"/>
        <v>0</v>
      </c>
      <c r="J115" s="1503">
        <f t="shared" ca="1" si="65"/>
        <v>0</v>
      </c>
      <c r="K115" s="1503">
        <f t="shared" ca="1" si="65"/>
        <v>0</v>
      </c>
      <c r="L115" s="1503">
        <f t="shared" ca="1" si="65"/>
        <v>0</v>
      </c>
      <c r="M115" s="1503">
        <f t="shared" ca="1" si="65"/>
        <v>0</v>
      </c>
      <c r="N115" s="1503">
        <f t="shared" ca="1" si="65"/>
        <v>0</v>
      </c>
      <c r="O115" s="1503">
        <f t="shared" ca="1" si="65"/>
        <v>0</v>
      </c>
      <c r="P115" s="1513">
        <f ca="1">SUM(D115:O115)</f>
        <v>0</v>
      </c>
      <c r="Q115" s="1290"/>
      <c r="R115" s="1290"/>
      <c r="S115" s="1291"/>
      <c r="T115" s="547"/>
      <c r="U115" s="547"/>
      <c r="V115" s="547"/>
      <c r="W115" s="547"/>
      <c r="X115" s="547"/>
      <c r="Y115" s="547"/>
      <c r="Z115" s="547"/>
      <c r="AA115" s="547"/>
      <c r="AB115" s="547"/>
      <c r="CQ115" s="462"/>
      <c r="CR115" s="462"/>
      <c r="CS115" s="462"/>
      <c r="CT115" s="462"/>
      <c r="CU115" s="549"/>
      <c r="CV115" s="549"/>
      <c r="CW115" s="462"/>
      <c r="CX115" s="462"/>
      <c r="CY115" s="462"/>
      <c r="CZ115" s="462"/>
      <c r="DA115" s="462"/>
      <c r="DB115" s="462"/>
      <c r="DC115" s="462"/>
      <c r="DD115" s="462"/>
      <c r="DE115" s="462"/>
      <c r="DF115" s="462"/>
      <c r="DG115" s="462"/>
      <c r="DH115" s="462"/>
      <c r="DI115" s="462"/>
      <c r="DJ115" s="462"/>
      <c r="DK115" s="462"/>
      <c r="DL115" s="462"/>
      <c r="DM115" s="462"/>
      <c r="DN115" s="462"/>
      <c r="DO115" s="462"/>
      <c r="DP115" s="462"/>
      <c r="DQ115" s="462"/>
      <c r="DR115" s="462"/>
    </row>
    <row r="116" spans="1:122" s="546" customFormat="1" x14ac:dyDescent="0.2">
      <c r="B116" s="1581" t="str">
        <f>B90</f>
        <v>Sammelposten</v>
      </c>
      <c r="C116" s="1582"/>
      <c r="D116" s="1516">
        <f t="shared" ref="D116:O116" ca="1" si="66">IF($F104&lt;=D$107,$H104,"")</f>
        <v>0</v>
      </c>
      <c r="E116" s="1516">
        <f t="shared" ca="1" si="66"/>
        <v>0</v>
      </c>
      <c r="F116" s="1516">
        <f t="shared" ca="1" si="66"/>
        <v>0</v>
      </c>
      <c r="G116" s="1516">
        <f t="shared" ca="1" si="66"/>
        <v>0</v>
      </c>
      <c r="H116" s="1516">
        <f t="shared" ca="1" si="66"/>
        <v>0</v>
      </c>
      <c r="I116" s="1516">
        <f t="shared" ca="1" si="66"/>
        <v>0</v>
      </c>
      <c r="J116" s="1516">
        <f t="shared" ca="1" si="66"/>
        <v>0</v>
      </c>
      <c r="K116" s="1516">
        <f t="shared" ca="1" si="66"/>
        <v>0</v>
      </c>
      <c r="L116" s="1516">
        <f t="shared" ca="1" si="66"/>
        <v>0</v>
      </c>
      <c r="M116" s="1516">
        <f t="shared" ca="1" si="66"/>
        <v>0</v>
      </c>
      <c r="N116" s="1516">
        <f t="shared" ca="1" si="66"/>
        <v>0</v>
      </c>
      <c r="O116" s="1516">
        <f t="shared" ca="1" si="66"/>
        <v>0</v>
      </c>
      <c r="P116" s="1517">
        <f ca="1">SUM(D116:O116)</f>
        <v>0</v>
      </c>
      <c r="Q116" s="1290"/>
      <c r="R116" s="1290"/>
      <c r="S116" s="1291"/>
      <c r="T116" s="547"/>
      <c r="U116" s="547"/>
      <c r="V116" s="547"/>
      <c r="W116" s="547"/>
      <c r="X116" s="547"/>
      <c r="Y116" s="547"/>
      <c r="Z116" s="547"/>
      <c r="AA116" s="547"/>
      <c r="AB116" s="547"/>
      <c r="CQ116" s="462"/>
      <c r="CR116" s="462"/>
      <c r="CS116" s="462"/>
      <c r="CT116" s="462"/>
      <c r="CU116" s="549"/>
      <c r="CV116" s="549"/>
      <c r="CW116" s="462"/>
      <c r="CX116" s="462"/>
      <c r="CY116" s="462"/>
      <c r="CZ116" s="462"/>
      <c r="DA116" s="462"/>
      <c r="DB116" s="462"/>
      <c r="DC116" s="462"/>
      <c r="DD116" s="462"/>
      <c r="DE116" s="462"/>
      <c r="DF116" s="462"/>
      <c r="DG116" s="462"/>
      <c r="DH116" s="462"/>
      <c r="DI116" s="462"/>
      <c r="DJ116" s="462"/>
      <c r="DK116" s="462"/>
      <c r="DL116" s="462"/>
      <c r="DM116" s="462"/>
      <c r="DN116" s="462"/>
      <c r="DO116" s="462"/>
      <c r="DP116" s="462"/>
      <c r="DQ116" s="462"/>
      <c r="DR116" s="462"/>
    </row>
    <row r="117" spans="1:122" s="219" customFormat="1" ht="15" thickBot="1" x14ac:dyDescent="0.25">
      <c r="B117" s="1518" t="str">
        <f>"Summe" &amp;" "&amp;B116</f>
        <v>Summe Sammelposten</v>
      </c>
      <c r="C117" s="1519"/>
      <c r="D117" s="1520">
        <f ca="1">D116+D91</f>
        <v>0</v>
      </c>
      <c r="E117" s="1520">
        <f t="shared" ref="E117:O117" ca="1" si="67">E116+E91</f>
        <v>0</v>
      </c>
      <c r="F117" s="1520">
        <f t="shared" ca="1" si="67"/>
        <v>0</v>
      </c>
      <c r="G117" s="1520">
        <f t="shared" ca="1" si="67"/>
        <v>0</v>
      </c>
      <c r="H117" s="1520">
        <f t="shared" ca="1" si="67"/>
        <v>0</v>
      </c>
      <c r="I117" s="1520">
        <f t="shared" ca="1" si="67"/>
        <v>0</v>
      </c>
      <c r="J117" s="1520">
        <f t="shared" ca="1" si="67"/>
        <v>0</v>
      </c>
      <c r="K117" s="1520">
        <f t="shared" ca="1" si="67"/>
        <v>0</v>
      </c>
      <c r="L117" s="1520">
        <f t="shared" ca="1" si="67"/>
        <v>0</v>
      </c>
      <c r="M117" s="1520">
        <f t="shared" ca="1" si="67"/>
        <v>0</v>
      </c>
      <c r="N117" s="1520">
        <f t="shared" ca="1" si="67"/>
        <v>0</v>
      </c>
      <c r="O117" s="1520">
        <f t="shared" ca="1" si="67"/>
        <v>0</v>
      </c>
      <c r="P117" s="1522">
        <f ca="1">SUM(D117:O117)</f>
        <v>0</v>
      </c>
      <c r="S117" s="256"/>
      <c r="CQ117" s="222"/>
      <c r="CR117" s="222"/>
      <c r="CS117" s="222"/>
      <c r="CT117" s="222"/>
      <c r="CU117" s="283"/>
      <c r="CV117" s="233"/>
      <c r="CW117" s="223"/>
      <c r="CX117" s="222"/>
      <c r="CY117" s="222"/>
      <c r="CZ117" s="222"/>
      <c r="DA117" s="222"/>
      <c r="DB117" s="222"/>
      <c r="DC117" s="222"/>
      <c r="DD117" s="222"/>
      <c r="DE117" s="222"/>
      <c r="DF117" s="222"/>
      <c r="DG117" s="222"/>
      <c r="DH117" s="223"/>
      <c r="DI117" s="223"/>
      <c r="DJ117" s="223"/>
      <c r="DK117" s="223"/>
      <c r="DL117" s="223"/>
      <c r="DM117" s="223"/>
      <c r="DN117" s="223"/>
      <c r="DO117" s="223"/>
      <c r="DP117" s="223"/>
      <c r="DQ117" s="223"/>
      <c r="DR117" s="223"/>
    </row>
    <row r="118" spans="1:122" s="546" customFormat="1" ht="15.75" thickTop="1" thickBot="1" x14ac:dyDescent="0.25">
      <c r="A118" s="1501"/>
      <c r="B118" s="1589" t="str">
        <f>B92</f>
        <v>Summe Abschreibungen</v>
      </c>
      <c r="C118" s="1590"/>
      <c r="D118" s="1514">
        <f ca="1">SUM(D109:D115)+D117</f>
        <v>0</v>
      </c>
      <c r="E118" s="1514">
        <f t="shared" ref="E118" ca="1" si="68">SUM(E109:E115)+E117</f>
        <v>0</v>
      </c>
      <c r="F118" s="1514">
        <f t="shared" ref="F118" ca="1" si="69">SUM(F109:F115)+F117</f>
        <v>0</v>
      </c>
      <c r="G118" s="1514">
        <f t="shared" ref="G118" ca="1" si="70">SUM(G109:G115)+G117</f>
        <v>0</v>
      </c>
      <c r="H118" s="1514">
        <f t="shared" ref="H118" ca="1" si="71">SUM(H109:H115)+H117</f>
        <v>0</v>
      </c>
      <c r="I118" s="1514">
        <f t="shared" ref="I118" ca="1" si="72">SUM(I109:I115)+I117</f>
        <v>0</v>
      </c>
      <c r="J118" s="1514">
        <f t="shared" ref="J118" ca="1" si="73">SUM(J109:J115)+J117</f>
        <v>0</v>
      </c>
      <c r="K118" s="1514">
        <f t="shared" ref="K118" ca="1" si="74">SUM(K109:K115)+K117</f>
        <v>0</v>
      </c>
      <c r="L118" s="1514">
        <f t="shared" ref="L118" ca="1" si="75">SUM(L109:L115)+L117</f>
        <v>0</v>
      </c>
      <c r="M118" s="1514">
        <f t="shared" ref="M118" ca="1" si="76">SUM(M109:M115)+M117</f>
        <v>0</v>
      </c>
      <c r="N118" s="1514">
        <f t="shared" ref="N118" ca="1" si="77">SUM(N109:N115)+N117</f>
        <v>0</v>
      </c>
      <c r="O118" s="1514">
        <f t="shared" ref="O118" ca="1" si="78">SUM(O109:O115)+O117</f>
        <v>0</v>
      </c>
      <c r="P118" s="1515">
        <f ca="1">SUM(D118:O118)</f>
        <v>0</v>
      </c>
      <c r="Q118" s="1290"/>
      <c r="R118" s="1290"/>
      <c r="S118" s="1291"/>
      <c r="T118" s="547"/>
      <c r="U118" s="547"/>
      <c r="V118" s="547"/>
      <c r="W118" s="547"/>
      <c r="X118" s="547"/>
      <c r="Y118" s="547"/>
      <c r="Z118" s="547"/>
      <c r="AA118" s="547"/>
      <c r="AB118" s="547"/>
      <c r="CQ118" s="462"/>
      <c r="CR118" s="462"/>
      <c r="CS118" s="462"/>
      <c r="CT118" s="462"/>
      <c r="CU118" s="549"/>
      <c r="CV118" s="549"/>
      <c r="CW118" s="462"/>
      <c r="CX118" s="462"/>
      <c r="CY118" s="462"/>
      <c r="CZ118" s="462"/>
      <c r="DA118" s="462"/>
      <c r="DB118" s="462"/>
      <c r="DC118" s="462"/>
      <c r="DD118" s="462"/>
      <c r="DE118" s="462"/>
      <c r="DF118" s="462"/>
      <c r="DG118" s="462"/>
      <c r="DH118" s="462"/>
      <c r="DI118" s="462"/>
      <c r="DJ118" s="462"/>
      <c r="DK118" s="462"/>
      <c r="DL118" s="462"/>
      <c r="DM118" s="462"/>
      <c r="DN118" s="462"/>
      <c r="DO118" s="462"/>
      <c r="DP118" s="462"/>
      <c r="DQ118" s="462"/>
      <c r="DR118" s="462"/>
    </row>
    <row r="119" spans="1:122" s="546" customFormat="1" x14ac:dyDescent="0.2">
      <c r="B119" s="229"/>
      <c r="C119" s="1501"/>
      <c r="D119" s="1501"/>
      <c r="E119" s="1501"/>
      <c r="F119" s="1501"/>
      <c r="G119" s="1501"/>
      <c r="H119" s="1501"/>
      <c r="I119" s="1501"/>
      <c r="J119" s="1501"/>
      <c r="K119" s="1501"/>
      <c r="L119" s="1501"/>
      <c r="M119" s="1501"/>
      <c r="N119" s="1501"/>
      <c r="O119" s="1512"/>
      <c r="P119" s="1288"/>
      <c r="Q119" s="1290"/>
      <c r="R119" s="1290"/>
      <c r="S119" s="1291"/>
      <c r="T119" s="547"/>
      <c r="U119" s="547"/>
      <c r="V119" s="547"/>
      <c r="W119" s="547"/>
      <c r="X119" s="547"/>
      <c r="Y119" s="547"/>
      <c r="Z119" s="547"/>
      <c r="AA119" s="547"/>
      <c r="AB119" s="547"/>
      <c r="CQ119" s="462"/>
      <c r="CR119" s="462"/>
      <c r="CS119" s="462"/>
      <c r="CT119" s="462"/>
      <c r="CU119" s="549"/>
      <c r="CV119" s="549"/>
      <c r="CW119" s="462"/>
      <c r="CX119" s="462"/>
      <c r="CY119" s="462"/>
      <c r="CZ119" s="462"/>
      <c r="DA119" s="462"/>
      <c r="DB119" s="462"/>
      <c r="DC119" s="462"/>
      <c r="DD119" s="462"/>
      <c r="DE119" s="462"/>
      <c r="DF119" s="462"/>
      <c r="DG119" s="462"/>
      <c r="DH119" s="462"/>
      <c r="DI119" s="462"/>
      <c r="DJ119" s="462"/>
      <c r="DK119" s="462"/>
      <c r="DL119" s="462"/>
      <c r="DM119" s="462"/>
      <c r="DN119" s="462"/>
      <c r="DO119" s="462"/>
      <c r="DP119" s="462"/>
      <c r="DQ119" s="462"/>
      <c r="DR119" s="462"/>
    </row>
    <row r="120" spans="1:122" s="546" customFormat="1" x14ac:dyDescent="0.2">
      <c r="B120" s="229"/>
      <c r="C120" s="1501"/>
      <c r="D120" s="1501"/>
      <c r="E120" s="1501"/>
      <c r="F120" s="1501"/>
      <c r="G120" s="1501"/>
      <c r="H120" s="1501"/>
      <c r="I120" s="1501"/>
      <c r="J120" s="1501"/>
      <c r="K120" s="1501"/>
      <c r="L120" s="1501"/>
      <c r="M120" s="1501"/>
      <c r="N120" s="1501"/>
      <c r="O120" s="1512"/>
      <c r="P120" s="1288"/>
      <c r="Q120" s="1290"/>
      <c r="R120" s="1290"/>
      <c r="S120" s="1291"/>
      <c r="T120" s="547"/>
      <c r="U120" s="547"/>
      <c r="V120" s="547"/>
      <c r="W120" s="547"/>
      <c r="X120" s="547"/>
      <c r="Y120" s="547"/>
      <c r="Z120" s="547"/>
      <c r="AA120" s="547"/>
      <c r="AB120" s="547"/>
      <c r="CQ120" s="462"/>
      <c r="CR120" s="462"/>
      <c r="CS120" s="462"/>
      <c r="CT120" s="462"/>
      <c r="CU120" s="549"/>
      <c r="CV120" s="549"/>
      <c r="CW120" s="462"/>
      <c r="CX120" s="462"/>
      <c r="CY120" s="462"/>
      <c r="CZ120" s="462"/>
      <c r="DA120" s="462"/>
      <c r="DB120" s="462"/>
      <c r="DC120" s="462"/>
      <c r="DD120" s="462"/>
      <c r="DE120" s="462"/>
      <c r="DF120" s="462"/>
      <c r="DG120" s="462"/>
      <c r="DH120" s="462"/>
      <c r="DI120" s="462"/>
      <c r="DJ120" s="462"/>
      <c r="DK120" s="462"/>
      <c r="DL120" s="462"/>
      <c r="DM120" s="462"/>
      <c r="DN120" s="462"/>
      <c r="DO120" s="462"/>
      <c r="DP120" s="462"/>
      <c r="DQ120" s="462"/>
      <c r="DR120" s="462"/>
    </row>
    <row r="121" spans="1:122" s="546" customFormat="1" ht="15" thickBot="1" x14ac:dyDescent="0.25">
      <c r="B121" s="229"/>
      <c r="C121" s="1501"/>
      <c r="D121" s="1501"/>
      <c r="E121" s="1501"/>
      <c r="F121" s="1501"/>
      <c r="G121" s="1501"/>
      <c r="H121" s="1501"/>
      <c r="I121" s="1501"/>
      <c r="J121" s="1501"/>
      <c r="K121" s="1501"/>
      <c r="L121" s="1501"/>
      <c r="M121" s="1501"/>
      <c r="N121" s="1501"/>
      <c r="O121" s="1512"/>
      <c r="P121" s="1288"/>
      <c r="Q121" s="1290"/>
      <c r="R121" s="1290"/>
      <c r="S121" s="1291"/>
      <c r="T121" s="547"/>
      <c r="U121" s="547"/>
      <c r="V121" s="547"/>
      <c r="W121" s="547"/>
      <c r="X121" s="547"/>
      <c r="Y121" s="547"/>
      <c r="Z121" s="547"/>
      <c r="AA121" s="547"/>
      <c r="AB121" s="547"/>
      <c r="CQ121" s="462"/>
      <c r="CR121" s="462"/>
      <c r="CS121" s="462"/>
      <c r="CT121" s="462"/>
      <c r="CU121" s="549"/>
      <c r="CV121" s="549"/>
      <c r="CW121" s="462"/>
      <c r="CX121" s="462"/>
      <c r="CY121" s="462"/>
      <c r="CZ121" s="462"/>
      <c r="DA121" s="462"/>
      <c r="DB121" s="462"/>
      <c r="DC121" s="462"/>
      <c r="DD121" s="462"/>
      <c r="DE121" s="462"/>
      <c r="DF121" s="462"/>
      <c r="DG121" s="462"/>
      <c r="DH121" s="462"/>
      <c r="DI121" s="462"/>
      <c r="DJ121" s="462"/>
      <c r="DK121" s="462"/>
      <c r="DL121" s="462"/>
      <c r="DM121" s="462"/>
      <c r="DN121" s="462"/>
      <c r="DO121" s="462"/>
      <c r="DP121" s="462"/>
      <c r="DQ121" s="462"/>
      <c r="DR121" s="462"/>
    </row>
    <row r="122" spans="1:122" s="546" customFormat="1" ht="28.15" customHeight="1" thickBot="1" x14ac:dyDescent="0.25">
      <c r="B122" s="1583" t="str">
        <f t="shared" ref="B122:B131" si="79">B96</f>
        <v>Anschaffungen</v>
      </c>
      <c r="C122" s="1584"/>
      <c r="D122" s="1505" t="str">
        <f ca="1">IF($C$2="English","Value      ","Betrag    ")&amp;'1 Pers.Ausgaben|Pers Expenses'!$C$4+2</f>
        <v>Betrag    2019</v>
      </c>
      <c r="E122" s="1506" t="str">
        <f>E96</f>
        <v>Investmonat</v>
      </c>
      <c r="F122" s="1507" t="str">
        <f ca="1">$E$70&amp;"   "&amp;B134</f>
        <v>Investmonat   2019</v>
      </c>
      <c r="G122" s="1507" t="str">
        <f>G96</f>
        <v>Jahre der
Abschreibung</v>
      </c>
      <c r="H122" s="1507" t="s">
        <v>746</v>
      </c>
      <c r="I122" s="1507" t="s">
        <v>748</v>
      </c>
      <c r="J122" s="1507" t="s">
        <v>752</v>
      </c>
      <c r="K122" s="467"/>
      <c r="L122" s="250"/>
      <c r="M122" s="467"/>
      <c r="N122" s="250"/>
      <c r="O122" s="1512"/>
      <c r="P122" s="1288"/>
      <c r="Q122" s="1290"/>
      <c r="R122" s="1290"/>
      <c r="S122" s="1291"/>
      <c r="T122" s="547"/>
      <c r="U122" s="547"/>
      <c r="V122" s="547"/>
      <c r="W122" s="547"/>
      <c r="X122" s="547"/>
      <c r="Y122" s="547"/>
      <c r="Z122" s="547"/>
      <c r="AA122" s="547"/>
      <c r="AB122" s="547"/>
      <c r="CQ122" s="462"/>
      <c r="CR122" s="462"/>
      <c r="CS122" s="462"/>
      <c r="CT122" s="462"/>
      <c r="CU122" s="549"/>
      <c r="CV122" s="549"/>
      <c r="CW122" s="462"/>
      <c r="CX122" s="462"/>
      <c r="CY122" s="462"/>
      <c r="CZ122" s="462"/>
      <c r="DA122" s="462"/>
      <c r="DB122" s="462"/>
      <c r="DC122" s="462"/>
      <c r="DD122" s="462"/>
      <c r="DE122" s="462"/>
      <c r="DF122" s="462"/>
      <c r="DG122" s="462"/>
      <c r="DH122" s="462"/>
      <c r="DI122" s="462"/>
      <c r="DJ122" s="462"/>
      <c r="DK122" s="462"/>
      <c r="DL122" s="462"/>
      <c r="DM122" s="462"/>
      <c r="DN122" s="462"/>
      <c r="DO122" s="462"/>
      <c r="DP122" s="462"/>
      <c r="DQ122" s="462"/>
      <c r="DR122" s="462"/>
    </row>
    <row r="123" spans="1:122" s="546" customFormat="1" x14ac:dyDescent="0.2">
      <c r="B123" s="1633" t="str">
        <f t="shared" si="79"/>
        <v>Investitionsgut 1</v>
      </c>
      <c r="C123" s="1634"/>
      <c r="D123" s="1526">
        <f t="shared" ref="D123:D129" si="80">I6</f>
        <v>0</v>
      </c>
      <c r="E123" s="1529">
        <f t="shared" ref="E123:E129" si="81">E97+F123</f>
        <v>0</v>
      </c>
      <c r="F123" s="1529">
        <f>IF(D123&gt;0,J6+($B$134-$B$82)*12,0)</f>
        <v>0</v>
      </c>
      <c r="G123" s="1527">
        <f t="shared" ref="G123:G129" si="82">P6</f>
        <v>0</v>
      </c>
      <c r="H123" s="1529">
        <f>IF(G123="x",0,IF(AND(E123&gt;0,D123=0),H97,IF(D123&gt;0,D123/(12*G123),0)))</f>
        <v>0</v>
      </c>
      <c r="I123" s="1527">
        <f>IF(G123="x",0,IF(D123&gt;0,E123+G123*12-1,IF(E123&gt;0,I97,0)))</f>
        <v>0</v>
      </c>
      <c r="J123" s="1508">
        <f>IF(G123="x",IF(D123&gt;0,D123,0),0)</f>
        <v>0</v>
      </c>
      <c r="K123" s="467"/>
      <c r="L123" s="250"/>
      <c r="M123" s="467"/>
      <c r="N123" s="250"/>
      <c r="O123" s="1512"/>
      <c r="P123" s="1288"/>
      <c r="Q123" s="1290"/>
      <c r="R123" s="1290"/>
      <c r="S123" s="1291"/>
      <c r="T123" s="547"/>
      <c r="U123" s="547"/>
      <c r="V123" s="547"/>
      <c r="W123" s="547"/>
      <c r="X123" s="547"/>
      <c r="Y123" s="547"/>
      <c r="Z123" s="547"/>
      <c r="AA123" s="547"/>
      <c r="AB123" s="547"/>
      <c r="CQ123" s="462"/>
      <c r="CR123" s="462"/>
      <c r="CS123" s="462"/>
      <c r="CT123" s="462"/>
      <c r="CU123" s="549"/>
      <c r="CV123" s="549"/>
      <c r="CW123" s="462"/>
      <c r="CX123" s="462"/>
      <c r="CY123" s="462"/>
      <c r="CZ123" s="462"/>
      <c r="DA123" s="462"/>
      <c r="DB123" s="462"/>
      <c r="DC123" s="462"/>
      <c r="DD123" s="462"/>
      <c r="DE123" s="462"/>
      <c r="DF123" s="462"/>
      <c r="DG123" s="462"/>
      <c r="DH123" s="462"/>
      <c r="DI123" s="462"/>
      <c r="DJ123" s="462"/>
      <c r="DK123" s="462"/>
      <c r="DL123" s="462"/>
      <c r="DM123" s="462"/>
      <c r="DN123" s="462"/>
      <c r="DO123" s="462"/>
      <c r="DP123" s="462"/>
      <c r="DQ123" s="462"/>
      <c r="DR123" s="462"/>
    </row>
    <row r="124" spans="1:122" s="546" customFormat="1" x14ac:dyDescent="0.2">
      <c r="B124" s="1585" t="str">
        <f t="shared" si="79"/>
        <v>Investitionsgut 2</v>
      </c>
      <c r="C124" s="1586"/>
      <c r="D124" s="1528">
        <f t="shared" si="80"/>
        <v>0</v>
      </c>
      <c r="E124" s="1529">
        <f t="shared" si="81"/>
        <v>0</v>
      </c>
      <c r="F124" s="1529">
        <f>IF(D124&gt;0,J7+($B$134-$B$82)*12,0)</f>
        <v>0</v>
      </c>
      <c r="G124" s="1529">
        <f t="shared" si="82"/>
        <v>0</v>
      </c>
      <c r="H124" s="1529">
        <f>IF(G124="x",0,IF(AND(E124&gt;0,D124=0),H98,IF(D124&gt;0,D124/(12*G124),0)))</f>
        <v>0</v>
      </c>
      <c r="I124" s="1529">
        <f t="shared" ref="I124:I129" si="83">IF(G124="x",0,IF(D124&gt;0,E124+G124*12-1,IF(E124&gt;0,I98,0)))</f>
        <v>0</v>
      </c>
      <c r="J124" s="1509">
        <f t="shared" ref="J124:J129" si="84">IF(G124="x",IF(D124&gt;0,D124,0),0)</f>
        <v>0</v>
      </c>
      <c r="K124" s="467"/>
      <c r="L124" s="250"/>
      <c r="M124" s="467"/>
      <c r="N124" s="250"/>
      <c r="O124" s="1512"/>
      <c r="P124" s="1288"/>
      <c r="Q124" s="1290"/>
      <c r="R124" s="1290"/>
      <c r="S124" s="1291"/>
      <c r="T124" s="547"/>
      <c r="U124" s="547"/>
      <c r="V124" s="547"/>
      <c r="W124" s="547"/>
      <c r="X124" s="547"/>
      <c r="Y124" s="547"/>
      <c r="Z124" s="547"/>
      <c r="AA124" s="547"/>
      <c r="AB124" s="547"/>
      <c r="CQ124" s="462"/>
      <c r="CR124" s="462"/>
      <c r="CS124" s="462"/>
      <c r="CT124" s="462"/>
      <c r="CU124" s="549"/>
      <c r="CV124" s="549"/>
      <c r="CW124" s="462"/>
      <c r="CX124" s="462"/>
      <c r="CY124" s="462"/>
      <c r="CZ124" s="462"/>
      <c r="DA124" s="462"/>
      <c r="DB124" s="462"/>
      <c r="DC124" s="462"/>
      <c r="DD124" s="462"/>
      <c r="DE124" s="462"/>
      <c r="DF124" s="462"/>
      <c r="DG124" s="462"/>
      <c r="DH124" s="462"/>
      <c r="DI124" s="462"/>
      <c r="DJ124" s="462"/>
      <c r="DK124" s="462"/>
      <c r="DL124" s="462"/>
      <c r="DM124" s="462"/>
      <c r="DN124" s="462"/>
      <c r="DO124" s="462"/>
      <c r="DP124" s="462"/>
      <c r="DQ124" s="462"/>
      <c r="DR124" s="462"/>
    </row>
    <row r="125" spans="1:122" s="546" customFormat="1" x14ac:dyDescent="0.2">
      <c r="B125" s="1585" t="str">
        <f t="shared" si="79"/>
        <v>Investitionsgut 3</v>
      </c>
      <c r="C125" s="1586"/>
      <c r="D125" s="1528">
        <f t="shared" si="80"/>
        <v>0</v>
      </c>
      <c r="E125" s="1529">
        <f>E99+F125</f>
        <v>0</v>
      </c>
      <c r="F125" s="1529">
        <f t="shared" ref="F125:F129" si="85">IF(D125&gt;0,J8+($B$134-$B$82)*12,0)</f>
        <v>0</v>
      </c>
      <c r="G125" s="1529">
        <f t="shared" si="82"/>
        <v>0</v>
      </c>
      <c r="H125" s="1529">
        <f t="shared" ref="H125:H129" si="86">IF(G125="x",0,IF(AND(E125&gt;0,D125=0),H99,IF(D125&gt;0,D125/(12*G125),0)))</f>
        <v>0</v>
      </c>
      <c r="I125" s="1529">
        <f t="shared" si="83"/>
        <v>0</v>
      </c>
      <c r="J125" s="1509">
        <f t="shared" si="84"/>
        <v>0</v>
      </c>
      <c r="K125" s="467"/>
      <c r="L125" s="250"/>
      <c r="M125" s="467"/>
      <c r="N125" s="250"/>
      <c r="O125" s="1512"/>
      <c r="P125" s="1288"/>
      <c r="Q125" s="1290"/>
      <c r="R125" s="1290"/>
      <c r="S125" s="1291"/>
      <c r="T125" s="547"/>
      <c r="U125" s="547"/>
      <c r="V125" s="547"/>
      <c r="W125" s="547"/>
      <c r="X125" s="547"/>
      <c r="Y125" s="547"/>
      <c r="Z125" s="547"/>
      <c r="AA125" s="547"/>
      <c r="AB125" s="547"/>
      <c r="CQ125" s="462"/>
      <c r="CR125" s="462"/>
      <c r="CS125" s="462"/>
      <c r="CT125" s="462"/>
      <c r="CU125" s="549"/>
      <c r="CV125" s="549"/>
      <c r="CW125" s="462"/>
      <c r="CX125" s="462"/>
      <c r="CY125" s="462"/>
      <c r="CZ125" s="462"/>
      <c r="DA125" s="462"/>
      <c r="DB125" s="462"/>
      <c r="DC125" s="462"/>
      <c r="DD125" s="462"/>
      <c r="DE125" s="462"/>
      <c r="DF125" s="462"/>
      <c r="DG125" s="462"/>
      <c r="DH125" s="462"/>
      <c r="DI125" s="462"/>
      <c r="DJ125" s="462"/>
      <c r="DK125" s="462"/>
      <c r="DL125" s="462"/>
      <c r="DM125" s="462"/>
      <c r="DN125" s="462"/>
      <c r="DO125" s="462"/>
      <c r="DP125" s="462"/>
      <c r="DQ125" s="462"/>
      <c r="DR125" s="462"/>
    </row>
    <row r="126" spans="1:122" s="546" customFormat="1" x14ac:dyDescent="0.2">
      <c r="B126" s="1585" t="str">
        <f t="shared" si="79"/>
        <v>Investitionsgut 4</v>
      </c>
      <c r="C126" s="1586"/>
      <c r="D126" s="1528">
        <f t="shared" si="80"/>
        <v>0</v>
      </c>
      <c r="E126" s="1529">
        <f t="shared" si="81"/>
        <v>0</v>
      </c>
      <c r="F126" s="1529">
        <f t="shared" si="85"/>
        <v>0</v>
      </c>
      <c r="G126" s="1529">
        <f t="shared" si="82"/>
        <v>0</v>
      </c>
      <c r="H126" s="1529">
        <f t="shared" si="86"/>
        <v>0</v>
      </c>
      <c r="I126" s="1529">
        <f t="shared" si="83"/>
        <v>0</v>
      </c>
      <c r="J126" s="1509">
        <f t="shared" si="84"/>
        <v>0</v>
      </c>
      <c r="K126" s="467"/>
      <c r="L126" s="250"/>
      <c r="M126" s="467"/>
      <c r="N126" s="250"/>
      <c r="O126" s="1512"/>
      <c r="P126" s="1288"/>
      <c r="Q126" s="1290"/>
      <c r="R126" s="1290"/>
      <c r="S126" s="1291"/>
      <c r="T126" s="547"/>
      <c r="U126" s="547"/>
      <c r="V126" s="547"/>
      <c r="W126" s="547"/>
      <c r="X126" s="547"/>
      <c r="Y126" s="547"/>
      <c r="Z126" s="547"/>
      <c r="AA126" s="547"/>
      <c r="AB126" s="547"/>
      <c r="CQ126" s="462"/>
      <c r="CR126" s="462"/>
      <c r="CS126" s="462"/>
      <c r="CT126" s="462"/>
      <c r="CU126" s="549"/>
      <c r="CV126" s="549"/>
      <c r="CW126" s="462"/>
      <c r="CX126" s="462"/>
      <c r="CY126" s="462"/>
      <c r="CZ126" s="462"/>
      <c r="DA126" s="462"/>
      <c r="DB126" s="462"/>
      <c r="DC126" s="462"/>
      <c r="DD126" s="462"/>
      <c r="DE126" s="462"/>
      <c r="DF126" s="462"/>
      <c r="DG126" s="462"/>
      <c r="DH126" s="462"/>
      <c r="DI126" s="462"/>
      <c r="DJ126" s="462"/>
      <c r="DK126" s="462"/>
      <c r="DL126" s="462"/>
      <c r="DM126" s="462"/>
      <c r="DN126" s="462"/>
      <c r="DO126" s="462"/>
      <c r="DP126" s="462"/>
      <c r="DQ126" s="462"/>
      <c r="DR126" s="462"/>
    </row>
    <row r="127" spans="1:122" s="546" customFormat="1" x14ac:dyDescent="0.2">
      <c r="B127" s="1585" t="str">
        <f t="shared" si="79"/>
        <v>Investitionsgut 5</v>
      </c>
      <c r="C127" s="1586"/>
      <c r="D127" s="1528">
        <f t="shared" si="80"/>
        <v>0</v>
      </c>
      <c r="E127" s="1529">
        <f t="shared" si="81"/>
        <v>0</v>
      </c>
      <c r="F127" s="1529">
        <f t="shared" si="85"/>
        <v>0</v>
      </c>
      <c r="G127" s="1529">
        <f t="shared" si="82"/>
        <v>0</v>
      </c>
      <c r="H127" s="1529">
        <f t="shared" si="86"/>
        <v>0</v>
      </c>
      <c r="I127" s="1529">
        <f>IF(G127="x",0,IF(D127&gt;0,E127+G127*12-1,IF(E127&gt;0,I101,0)))</f>
        <v>0</v>
      </c>
      <c r="J127" s="1509">
        <f t="shared" si="84"/>
        <v>0</v>
      </c>
      <c r="K127" s="467"/>
      <c r="L127" s="250"/>
      <c r="M127" s="467"/>
      <c r="N127" s="250"/>
      <c r="O127" s="1512"/>
      <c r="P127" s="1288"/>
      <c r="Q127" s="1290"/>
      <c r="R127" s="1290"/>
      <c r="S127" s="1291"/>
      <c r="T127" s="547"/>
      <c r="U127" s="547"/>
      <c r="V127" s="547"/>
      <c r="W127" s="547"/>
      <c r="X127" s="547"/>
      <c r="Y127" s="547"/>
      <c r="Z127" s="547"/>
      <c r="AA127" s="547"/>
      <c r="AB127" s="547"/>
      <c r="CQ127" s="462"/>
      <c r="CR127" s="462"/>
      <c r="CS127" s="462"/>
      <c r="CT127" s="462"/>
      <c r="CU127" s="549"/>
      <c r="CV127" s="549"/>
      <c r="CW127" s="462"/>
      <c r="CX127" s="462"/>
      <c r="CY127" s="462"/>
      <c r="CZ127" s="462"/>
      <c r="DA127" s="462"/>
      <c r="DB127" s="462"/>
      <c r="DC127" s="462"/>
      <c r="DD127" s="462"/>
      <c r="DE127" s="462"/>
      <c r="DF127" s="462"/>
      <c r="DG127" s="462"/>
      <c r="DH127" s="462"/>
      <c r="DI127" s="462"/>
      <c r="DJ127" s="462"/>
      <c r="DK127" s="462"/>
      <c r="DL127" s="462"/>
      <c r="DM127" s="462"/>
      <c r="DN127" s="462"/>
      <c r="DO127" s="462"/>
      <c r="DP127" s="462"/>
      <c r="DQ127" s="462"/>
      <c r="DR127" s="462"/>
    </row>
    <row r="128" spans="1:122" s="546" customFormat="1" x14ac:dyDescent="0.2">
      <c r="B128" s="1585" t="str">
        <f t="shared" si="79"/>
        <v>Investitionsgut 6</v>
      </c>
      <c r="C128" s="1586"/>
      <c r="D128" s="1528">
        <f t="shared" si="80"/>
        <v>0</v>
      </c>
      <c r="E128" s="1529">
        <f t="shared" si="81"/>
        <v>0</v>
      </c>
      <c r="F128" s="1529">
        <f t="shared" si="85"/>
        <v>0</v>
      </c>
      <c r="G128" s="1529">
        <f t="shared" si="82"/>
        <v>0</v>
      </c>
      <c r="H128" s="1529">
        <f t="shared" si="86"/>
        <v>0</v>
      </c>
      <c r="I128" s="1529">
        <f t="shared" si="83"/>
        <v>0</v>
      </c>
      <c r="J128" s="1509">
        <f t="shared" si="84"/>
        <v>0</v>
      </c>
      <c r="K128" s="467"/>
      <c r="L128" s="250"/>
      <c r="M128" s="467"/>
      <c r="N128" s="250"/>
      <c r="O128" s="1512"/>
      <c r="P128" s="1288"/>
      <c r="Q128" s="1290"/>
      <c r="R128" s="1290"/>
      <c r="S128" s="1291"/>
      <c r="T128" s="547"/>
      <c r="U128" s="547"/>
      <c r="V128" s="547"/>
      <c r="W128" s="547"/>
      <c r="X128" s="547"/>
      <c r="Y128" s="547"/>
      <c r="Z128" s="547"/>
      <c r="AA128" s="547"/>
      <c r="AB128" s="547"/>
      <c r="CQ128" s="462"/>
      <c r="CR128" s="462"/>
      <c r="CS128" s="462"/>
      <c r="CT128" s="462"/>
      <c r="CU128" s="549"/>
      <c r="CV128" s="549"/>
      <c r="CW128" s="462"/>
      <c r="CX128" s="462"/>
      <c r="CY128" s="462"/>
      <c r="CZ128" s="462"/>
      <c r="DA128" s="462"/>
      <c r="DB128" s="462"/>
      <c r="DC128" s="462"/>
      <c r="DD128" s="462"/>
      <c r="DE128" s="462"/>
      <c r="DF128" s="462"/>
      <c r="DG128" s="462"/>
      <c r="DH128" s="462"/>
      <c r="DI128" s="462"/>
      <c r="DJ128" s="462"/>
      <c r="DK128" s="462"/>
      <c r="DL128" s="462"/>
      <c r="DM128" s="462"/>
      <c r="DN128" s="462"/>
      <c r="DO128" s="462"/>
      <c r="DP128" s="462"/>
      <c r="DQ128" s="462"/>
      <c r="DR128" s="462"/>
    </row>
    <row r="129" spans="1:122" s="546" customFormat="1" x14ac:dyDescent="0.2">
      <c r="B129" s="1585" t="str">
        <f t="shared" si="79"/>
        <v>Investitionsgut 7</v>
      </c>
      <c r="C129" s="1586"/>
      <c r="D129" s="1530">
        <f t="shared" si="80"/>
        <v>0</v>
      </c>
      <c r="E129" s="1529">
        <f t="shared" si="81"/>
        <v>0</v>
      </c>
      <c r="F129" s="1529">
        <f t="shared" si="85"/>
        <v>0</v>
      </c>
      <c r="G129" s="1531">
        <f t="shared" si="82"/>
        <v>0</v>
      </c>
      <c r="H129" s="1529">
        <f t="shared" si="86"/>
        <v>0</v>
      </c>
      <c r="I129" s="1531">
        <f t="shared" si="83"/>
        <v>0</v>
      </c>
      <c r="J129" s="1510">
        <f t="shared" si="84"/>
        <v>0</v>
      </c>
      <c r="K129" s="467"/>
      <c r="L129" s="250"/>
      <c r="M129" s="467"/>
      <c r="N129" s="250"/>
      <c r="O129" s="1512"/>
      <c r="P129" s="1288"/>
      <c r="Q129" s="1290"/>
      <c r="R129" s="1290"/>
      <c r="S129" s="1291"/>
      <c r="T129" s="547"/>
      <c r="U129" s="547"/>
      <c r="V129" s="547"/>
      <c r="W129" s="547"/>
      <c r="X129" s="547"/>
      <c r="Y129" s="547"/>
      <c r="Z129" s="547"/>
      <c r="AA129" s="547"/>
      <c r="AB129" s="547"/>
      <c r="CQ129" s="462"/>
      <c r="CR129" s="462"/>
      <c r="CS129" s="462"/>
      <c r="CT129" s="462"/>
      <c r="CU129" s="549"/>
      <c r="CV129" s="549"/>
      <c r="CW129" s="462"/>
      <c r="CX129" s="462"/>
      <c r="CY129" s="462"/>
      <c r="CZ129" s="462"/>
      <c r="DA129" s="462"/>
      <c r="DB129" s="462"/>
      <c r="DC129" s="462"/>
      <c r="DD129" s="462"/>
      <c r="DE129" s="462"/>
      <c r="DF129" s="462"/>
      <c r="DG129" s="462"/>
      <c r="DH129" s="462"/>
      <c r="DI129" s="462"/>
      <c r="DJ129" s="462"/>
      <c r="DK129" s="462"/>
      <c r="DL129" s="462"/>
      <c r="DM129" s="462"/>
      <c r="DN129" s="462"/>
      <c r="DO129" s="462"/>
      <c r="DP129" s="462"/>
      <c r="DQ129" s="462"/>
      <c r="DR129" s="462"/>
    </row>
    <row r="130" spans="1:122" s="546" customFormat="1" ht="15" thickBot="1" x14ac:dyDescent="0.25">
      <c r="B130" s="1587" t="str">
        <f t="shared" si="79"/>
        <v>Sammelposten</v>
      </c>
      <c r="C130" s="1588"/>
      <c r="D130" s="1532">
        <f>K27</f>
        <v>0</v>
      </c>
      <c r="E130" s="1534">
        <f ca="1">F130</f>
        <v>25</v>
      </c>
      <c r="F130" s="1534">
        <f ca="1">J13+($B$134-$B$82)*12</f>
        <v>25</v>
      </c>
      <c r="G130" s="1535">
        <v>5</v>
      </c>
      <c r="H130" s="1533">
        <f>D130/60</f>
        <v>0</v>
      </c>
      <c r="I130" s="1535" t="str">
        <f>IF(D130&gt;0,F130+G130*12-1,"")</f>
        <v/>
      </c>
      <c r="J130" s="1523"/>
      <c r="K130" s="467"/>
      <c r="L130" s="250"/>
      <c r="M130" s="467"/>
      <c r="N130" s="250"/>
      <c r="O130" s="1512"/>
      <c r="P130" s="1288"/>
      <c r="Q130" s="1290"/>
      <c r="R130" s="1290"/>
      <c r="S130" s="1291"/>
      <c r="T130" s="547"/>
      <c r="U130" s="547"/>
      <c r="V130" s="547"/>
      <c r="W130" s="547"/>
      <c r="X130" s="547"/>
      <c r="Y130" s="547"/>
      <c r="Z130" s="547"/>
      <c r="AA130" s="547"/>
      <c r="AB130" s="547"/>
      <c r="CQ130" s="462"/>
      <c r="CR130" s="462"/>
      <c r="CS130" s="462"/>
      <c r="CT130" s="462"/>
      <c r="CU130" s="549"/>
      <c r="CV130" s="549"/>
      <c r="CW130" s="462"/>
      <c r="CX130" s="462"/>
      <c r="CY130" s="462"/>
      <c r="CZ130" s="462"/>
      <c r="DA130" s="462"/>
      <c r="DB130" s="462"/>
      <c r="DC130" s="462"/>
      <c r="DD130" s="462"/>
      <c r="DE130" s="462"/>
      <c r="DF130" s="462"/>
      <c r="DG130" s="462"/>
      <c r="DH130" s="462"/>
      <c r="DI130" s="462"/>
      <c r="DJ130" s="462"/>
      <c r="DK130" s="462"/>
      <c r="DL130" s="462"/>
      <c r="DM130" s="462"/>
      <c r="DN130" s="462"/>
      <c r="DO130" s="462"/>
      <c r="DP130" s="462"/>
      <c r="DQ130" s="462"/>
      <c r="DR130" s="462"/>
    </row>
    <row r="131" spans="1:122" s="546" customFormat="1" ht="15.75" thickTop="1" thickBot="1" x14ac:dyDescent="0.25">
      <c r="B131" s="1511" t="str">
        <f t="shared" si="79"/>
        <v>Summe Anschaffungen</v>
      </c>
      <c r="C131" s="1524"/>
      <c r="D131" s="1525">
        <f>SUM(D123:D130)-J131</f>
        <v>0</v>
      </c>
      <c r="E131" s="219"/>
      <c r="F131" s="219"/>
      <c r="G131" s="219"/>
      <c r="H131" s="1525">
        <f>SUM(H123:H130)</f>
        <v>0</v>
      </c>
      <c r="I131" s="219"/>
      <c r="J131" s="1525">
        <f>SUM(J123:J130)</f>
        <v>0</v>
      </c>
      <c r="K131" s="467"/>
      <c r="L131" s="250"/>
      <c r="M131" s="467"/>
      <c r="N131" s="250"/>
      <c r="O131" s="1512"/>
      <c r="P131" s="1288"/>
      <c r="Q131" s="1290"/>
      <c r="R131" s="1290"/>
      <c r="S131" s="1291"/>
      <c r="T131" s="547"/>
      <c r="U131" s="547"/>
      <c r="V131" s="547"/>
      <c r="W131" s="547"/>
      <c r="X131" s="547"/>
      <c r="Y131" s="547"/>
      <c r="Z131" s="547"/>
      <c r="AA131" s="547"/>
      <c r="AB131" s="547"/>
      <c r="CQ131" s="462"/>
      <c r="CR131" s="462"/>
      <c r="CS131" s="462"/>
      <c r="CT131" s="462"/>
      <c r="CU131" s="549"/>
      <c r="CV131" s="549"/>
      <c r="CW131" s="462"/>
      <c r="CX131" s="462"/>
      <c r="CY131" s="462"/>
      <c r="CZ131" s="462"/>
      <c r="DA131" s="462"/>
      <c r="DB131" s="462"/>
      <c r="DC131" s="462"/>
      <c r="DD131" s="462"/>
      <c r="DE131" s="462"/>
      <c r="DF131" s="462"/>
      <c r="DG131" s="462"/>
      <c r="DH131" s="462"/>
      <c r="DI131" s="462"/>
      <c r="DJ131" s="462"/>
      <c r="DK131" s="462"/>
      <c r="DL131" s="462"/>
      <c r="DM131" s="462"/>
      <c r="DN131" s="462"/>
      <c r="DO131" s="462"/>
      <c r="DP131" s="462"/>
      <c r="DQ131" s="462"/>
      <c r="DR131" s="462"/>
    </row>
    <row r="132" spans="1:122" s="546" customFormat="1" ht="15" thickBot="1" x14ac:dyDescent="0.25">
      <c r="B132" s="219"/>
      <c r="C132" s="250"/>
      <c r="D132" s="219"/>
      <c r="E132" s="456"/>
      <c r="F132" s="219"/>
      <c r="G132" s="456"/>
      <c r="H132" s="219"/>
      <c r="I132" s="456"/>
      <c r="J132" s="219"/>
      <c r="K132" s="467"/>
      <c r="L132" s="250"/>
      <c r="M132" s="467"/>
      <c r="N132" s="250"/>
      <c r="O132" s="1512"/>
      <c r="P132" s="1288"/>
      <c r="Q132" s="1290"/>
      <c r="R132" s="1290"/>
      <c r="S132" s="1291"/>
      <c r="T132" s="547"/>
      <c r="U132" s="547"/>
      <c r="V132" s="547"/>
      <c r="W132" s="547"/>
      <c r="X132" s="547"/>
      <c r="Y132" s="547"/>
      <c r="Z132" s="547"/>
      <c r="AA132" s="547"/>
      <c r="AB132" s="547"/>
      <c r="CQ132" s="462"/>
      <c r="CR132" s="462"/>
      <c r="CS132" s="462"/>
      <c r="CT132" s="462"/>
      <c r="CU132" s="549"/>
      <c r="CV132" s="549"/>
      <c r="CW132" s="462"/>
      <c r="CX132" s="462"/>
      <c r="CY132" s="462"/>
      <c r="CZ132" s="462"/>
      <c r="DA132" s="462"/>
      <c r="DB132" s="462"/>
      <c r="DC132" s="462"/>
      <c r="DD132" s="462"/>
      <c r="DE132" s="462"/>
      <c r="DF132" s="462"/>
      <c r="DG132" s="462"/>
      <c r="DH132" s="462"/>
      <c r="DI132" s="462"/>
      <c r="DJ132" s="462"/>
      <c r="DK132" s="462"/>
      <c r="DL132" s="462"/>
      <c r="DM132" s="462"/>
      <c r="DN132" s="462"/>
      <c r="DO132" s="462"/>
      <c r="DP132" s="462"/>
      <c r="DQ132" s="462"/>
      <c r="DR132" s="462"/>
    </row>
    <row r="133" spans="1:122" s="546" customFormat="1" ht="14.45" customHeight="1" thickBot="1" x14ac:dyDescent="0.25">
      <c r="B133" s="1583" t="str">
        <f>B107</f>
        <v>laufender Monat</v>
      </c>
      <c r="C133" s="1584"/>
      <c r="D133" s="1498">
        <f ca="1">1+($B$134-$B$82)*12</f>
        <v>25</v>
      </c>
      <c r="E133" s="1499">
        <f ca="1">D133+1</f>
        <v>26</v>
      </c>
      <c r="F133" s="1499">
        <f t="shared" ref="F133:O133" ca="1" si="87">E133+1</f>
        <v>27</v>
      </c>
      <c r="G133" s="1499">
        <f t="shared" ca="1" si="87"/>
        <v>28</v>
      </c>
      <c r="H133" s="1499">
        <f t="shared" ca="1" si="87"/>
        <v>29</v>
      </c>
      <c r="I133" s="1499">
        <f t="shared" ca="1" si="87"/>
        <v>30</v>
      </c>
      <c r="J133" s="1499">
        <f t="shared" ca="1" si="87"/>
        <v>31</v>
      </c>
      <c r="K133" s="1499">
        <f t="shared" ca="1" si="87"/>
        <v>32</v>
      </c>
      <c r="L133" s="1499">
        <f t="shared" ca="1" si="87"/>
        <v>33</v>
      </c>
      <c r="M133" s="1499">
        <f t="shared" ca="1" si="87"/>
        <v>34</v>
      </c>
      <c r="N133" s="1499">
        <f t="shared" ca="1" si="87"/>
        <v>35</v>
      </c>
      <c r="O133" s="1499">
        <f t="shared" ca="1" si="87"/>
        <v>36</v>
      </c>
      <c r="P133" s="1500"/>
      <c r="Q133" s="1290"/>
      <c r="R133" s="1290"/>
      <c r="S133" s="1291"/>
      <c r="T133" s="547"/>
      <c r="U133" s="547"/>
      <c r="V133" s="547"/>
      <c r="W133" s="547"/>
      <c r="X133" s="547"/>
      <c r="Y133" s="547"/>
      <c r="Z133" s="547"/>
      <c r="AA133" s="547"/>
      <c r="AB133" s="547"/>
      <c r="CQ133" s="462"/>
      <c r="CR133" s="462"/>
      <c r="CS133" s="462"/>
      <c r="CT133" s="462"/>
      <c r="CU133" s="549"/>
      <c r="CV133" s="549"/>
      <c r="CW133" s="462"/>
      <c r="CX133" s="462"/>
      <c r="CY133" s="462"/>
      <c r="CZ133" s="462"/>
      <c r="DA133" s="462"/>
      <c r="DB133" s="462"/>
      <c r="DC133" s="462"/>
      <c r="DD133" s="462"/>
      <c r="DE133" s="462"/>
      <c r="DF133" s="462"/>
      <c r="DG133" s="462"/>
      <c r="DH133" s="462"/>
      <c r="DI133" s="462"/>
      <c r="DJ133" s="462"/>
      <c r="DK133" s="462"/>
      <c r="DL133" s="462"/>
      <c r="DM133" s="462"/>
      <c r="DN133" s="462"/>
      <c r="DO133" s="462"/>
      <c r="DP133" s="462"/>
      <c r="DQ133" s="462"/>
      <c r="DR133" s="462"/>
    </row>
    <row r="134" spans="1:122" s="546" customFormat="1" ht="15" thickBot="1" x14ac:dyDescent="0.25">
      <c r="B134" s="1583">
        <f ca="1">'1 Pers.Ausgaben|Pers Expenses'!C4+2</f>
        <v>2019</v>
      </c>
      <c r="C134" s="1584"/>
      <c r="D134" s="56" t="s">
        <v>1</v>
      </c>
      <c r="E134" s="51" t="s">
        <v>2</v>
      </c>
      <c r="F134" s="51" t="s">
        <v>3</v>
      </c>
      <c r="G134" s="51" t="s">
        <v>4</v>
      </c>
      <c r="H134" s="51" t="s">
        <v>5</v>
      </c>
      <c r="I134" s="51" t="s">
        <v>6</v>
      </c>
      <c r="J134" s="51" t="s">
        <v>7</v>
      </c>
      <c r="K134" s="51" t="s">
        <v>8</v>
      </c>
      <c r="L134" s="51" t="s">
        <v>9</v>
      </c>
      <c r="M134" s="51" t="s">
        <v>10</v>
      </c>
      <c r="N134" s="51" t="s">
        <v>11</v>
      </c>
      <c r="O134" s="51" t="s">
        <v>12</v>
      </c>
      <c r="P134" s="52" t="s">
        <v>747</v>
      </c>
      <c r="Q134" s="1290"/>
      <c r="R134" s="1290"/>
      <c r="S134" s="1291"/>
      <c r="T134" s="547"/>
      <c r="U134" s="547"/>
      <c r="V134" s="547"/>
      <c r="W134" s="547"/>
      <c r="X134" s="547"/>
      <c r="Y134" s="547"/>
      <c r="Z134" s="547"/>
      <c r="AA134" s="547"/>
      <c r="AB134" s="547"/>
      <c r="CQ134" s="462"/>
      <c r="CR134" s="462"/>
      <c r="CS134" s="462"/>
      <c r="CT134" s="462"/>
      <c r="CU134" s="549"/>
      <c r="CV134" s="549"/>
      <c r="CW134" s="462"/>
      <c r="CX134" s="462"/>
      <c r="CY134" s="462"/>
      <c r="CZ134" s="462"/>
      <c r="DA134" s="462"/>
      <c r="DB134" s="462"/>
      <c r="DC134" s="462"/>
      <c r="DD134" s="462"/>
      <c r="DE134" s="462"/>
      <c r="DF134" s="462"/>
      <c r="DG134" s="462"/>
      <c r="DH134" s="462"/>
      <c r="DI134" s="462"/>
      <c r="DJ134" s="462"/>
      <c r="DK134" s="462"/>
      <c r="DL134" s="462"/>
      <c r="DM134" s="462"/>
      <c r="DN134" s="462"/>
      <c r="DO134" s="462"/>
      <c r="DP134" s="462"/>
      <c r="DQ134" s="462"/>
      <c r="DR134" s="462"/>
    </row>
    <row r="135" spans="1:122" s="546" customFormat="1" x14ac:dyDescent="0.2">
      <c r="B135" s="1577" t="str">
        <f>B123</f>
        <v>Investitionsgut 1</v>
      </c>
      <c r="C135" s="1578"/>
      <c r="D135" s="1503">
        <f ca="1">IF($G123="x",0,IF(OR(D$133&lt;$E123,D$133&gt;$I123),0,$H123))</f>
        <v>0</v>
      </c>
      <c r="E135" s="1503">
        <f t="shared" ref="E135:O135" ca="1" si="88">IF($G123="x",0,IF(OR(E$133&lt;$E123,E$133&gt;$I123),0,$H123))</f>
        <v>0</v>
      </c>
      <c r="F135" s="1503">
        <f t="shared" ca="1" si="88"/>
        <v>0</v>
      </c>
      <c r="G135" s="1503">
        <f t="shared" ca="1" si="88"/>
        <v>0</v>
      </c>
      <c r="H135" s="1503">
        <f t="shared" ca="1" si="88"/>
        <v>0</v>
      </c>
      <c r="I135" s="1503">
        <f t="shared" ca="1" si="88"/>
        <v>0</v>
      </c>
      <c r="J135" s="1503">
        <f t="shared" ca="1" si="88"/>
        <v>0</v>
      </c>
      <c r="K135" s="1503">
        <f t="shared" ca="1" si="88"/>
        <v>0</v>
      </c>
      <c r="L135" s="1503">
        <f t="shared" ca="1" si="88"/>
        <v>0</v>
      </c>
      <c r="M135" s="1503">
        <f t="shared" ca="1" si="88"/>
        <v>0</v>
      </c>
      <c r="N135" s="1503">
        <f t="shared" ca="1" si="88"/>
        <v>0</v>
      </c>
      <c r="O135" s="1503">
        <f t="shared" ca="1" si="88"/>
        <v>0</v>
      </c>
      <c r="P135" s="1502">
        <f ca="1">SUM(D135:O135)</f>
        <v>0</v>
      </c>
      <c r="Q135" s="1290"/>
      <c r="R135" s="1290"/>
      <c r="S135" s="1291"/>
      <c r="T135" s="547"/>
      <c r="U135" s="547"/>
      <c r="V135" s="547"/>
      <c r="W135" s="547"/>
      <c r="X135" s="547"/>
      <c r="Y135" s="547"/>
      <c r="Z135" s="547"/>
      <c r="AA135" s="547"/>
      <c r="AB135" s="547"/>
      <c r="CQ135" s="462"/>
      <c r="CR135" s="462"/>
      <c r="CS135" s="462"/>
      <c r="CT135" s="462"/>
      <c r="CU135" s="549"/>
      <c r="CV135" s="549"/>
      <c r="CW135" s="462"/>
      <c r="CX135" s="462"/>
      <c r="CY135" s="462"/>
      <c r="CZ135" s="462"/>
      <c r="DA135" s="462"/>
      <c r="DB135" s="462"/>
      <c r="DC135" s="462"/>
      <c r="DD135" s="462"/>
      <c r="DE135" s="462"/>
      <c r="DF135" s="462"/>
      <c r="DG135" s="462"/>
      <c r="DH135" s="462"/>
      <c r="DI135" s="462"/>
      <c r="DJ135" s="462"/>
      <c r="DK135" s="462"/>
      <c r="DL135" s="462"/>
      <c r="DM135" s="462"/>
      <c r="DN135" s="462"/>
      <c r="DO135" s="462"/>
      <c r="DP135" s="462"/>
      <c r="DQ135" s="462"/>
      <c r="DR135" s="462"/>
    </row>
    <row r="136" spans="1:122" s="546" customFormat="1" x14ac:dyDescent="0.2">
      <c r="B136" s="1577" t="str">
        <f t="shared" ref="B136:B141" si="89">B124</f>
        <v>Investitionsgut 2</v>
      </c>
      <c r="C136" s="1578"/>
      <c r="D136" s="1503">
        <f t="shared" ref="D136:O136" ca="1" si="90">IF($G124="x",0,IF(OR(D$133&lt;$E124,D$133&gt;$I124),0,$H124))</f>
        <v>0</v>
      </c>
      <c r="E136" s="1503">
        <f t="shared" ca="1" si="90"/>
        <v>0</v>
      </c>
      <c r="F136" s="1503">
        <f t="shared" ca="1" si="90"/>
        <v>0</v>
      </c>
      <c r="G136" s="1503">
        <f t="shared" ca="1" si="90"/>
        <v>0</v>
      </c>
      <c r="H136" s="1503">
        <f t="shared" ca="1" si="90"/>
        <v>0</v>
      </c>
      <c r="I136" s="1503">
        <f t="shared" ca="1" si="90"/>
        <v>0</v>
      </c>
      <c r="J136" s="1503">
        <f t="shared" ca="1" si="90"/>
        <v>0</v>
      </c>
      <c r="K136" s="1503">
        <f t="shared" ca="1" si="90"/>
        <v>0</v>
      </c>
      <c r="L136" s="1503">
        <f t="shared" ca="1" si="90"/>
        <v>0</v>
      </c>
      <c r="M136" s="1503">
        <f t="shared" ca="1" si="90"/>
        <v>0</v>
      </c>
      <c r="N136" s="1503">
        <f t="shared" ca="1" si="90"/>
        <v>0</v>
      </c>
      <c r="O136" s="1503">
        <f t="shared" ca="1" si="90"/>
        <v>0</v>
      </c>
      <c r="P136" s="1504">
        <f t="shared" ref="P136:P140" ca="1" si="91">SUM(D136:O136)</f>
        <v>0</v>
      </c>
      <c r="Q136" s="1290"/>
      <c r="R136" s="1290"/>
      <c r="S136" s="1291"/>
      <c r="T136" s="547"/>
      <c r="U136" s="547"/>
      <c r="V136" s="547"/>
      <c r="W136" s="547"/>
      <c r="X136" s="547"/>
      <c r="Y136" s="547"/>
      <c r="Z136" s="547"/>
      <c r="AA136" s="547"/>
      <c r="AB136" s="547"/>
      <c r="CQ136" s="462"/>
      <c r="CR136" s="462"/>
      <c r="CS136" s="462"/>
      <c r="CT136" s="462"/>
      <c r="CU136" s="549"/>
      <c r="CV136" s="549"/>
      <c r="CW136" s="462"/>
      <c r="CX136" s="462"/>
      <c r="CY136" s="462"/>
      <c r="CZ136" s="462"/>
      <c r="DA136" s="462"/>
      <c r="DB136" s="462"/>
      <c r="DC136" s="462"/>
      <c r="DD136" s="462"/>
      <c r="DE136" s="462"/>
      <c r="DF136" s="462"/>
      <c r="DG136" s="462"/>
      <c r="DH136" s="462"/>
      <c r="DI136" s="462"/>
      <c r="DJ136" s="462"/>
      <c r="DK136" s="462"/>
      <c r="DL136" s="462"/>
      <c r="DM136" s="462"/>
      <c r="DN136" s="462"/>
      <c r="DO136" s="462"/>
      <c r="DP136" s="462"/>
      <c r="DQ136" s="462"/>
      <c r="DR136" s="462"/>
    </row>
    <row r="137" spans="1:122" s="546" customFormat="1" x14ac:dyDescent="0.2">
      <c r="B137" s="1577" t="str">
        <f t="shared" si="89"/>
        <v>Investitionsgut 3</v>
      </c>
      <c r="C137" s="1578"/>
      <c r="D137" s="1503">
        <f t="shared" ref="D137:O137" ca="1" si="92">IF($G125="x",0,IF(OR(D$133&lt;$E125,D$133&gt;$I125),0,$H125))</f>
        <v>0</v>
      </c>
      <c r="E137" s="1503">
        <f t="shared" ca="1" si="92"/>
        <v>0</v>
      </c>
      <c r="F137" s="1503">
        <f t="shared" ca="1" si="92"/>
        <v>0</v>
      </c>
      <c r="G137" s="1503">
        <f t="shared" ca="1" si="92"/>
        <v>0</v>
      </c>
      <c r="H137" s="1503">
        <f t="shared" ca="1" si="92"/>
        <v>0</v>
      </c>
      <c r="I137" s="1503">
        <f t="shared" ca="1" si="92"/>
        <v>0</v>
      </c>
      <c r="J137" s="1503">
        <f t="shared" ca="1" si="92"/>
        <v>0</v>
      </c>
      <c r="K137" s="1503">
        <f t="shared" ca="1" si="92"/>
        <v>0</v>
      </c>
      <c r="L137" s="1503">
        <f t="shared" ca="1" si="92"/>
        <v>0</v>
      </c>
      <c r="M137" s="1503">
        <f t="shared" ca="1" si="92"/>
        <v>0</v>
      </c>
      <c r="N137" s="1503">
        <f t="shared" ca="1" si="92"/>
        <v>0</v>
      </c>
      <c r="O137" s="1503">
        <f t="shared" ca="1" si="92"/>
        <v>0</v>
      </c>
      <c r="P137" s="1504">
        <f t="shared" ca="1" si="91"/>
        <v>0</v>
      </c>
      <c r="Q137" s="1290"/>
      <c r="R137" s="1290"/>
      <c r="S137" s="1291"/>
      <c r="T137" s="547"/>
      <c r="U137" s="547"/>
      <c r="V137" s="547"/>
      <c r="W137" s="547"/>
      <c r="X137" s="547"/>
      <c r="Y137" s="547"/>
      <c r="Z137" s="547"/>
      <c r="AA137" s="547"/>
      <c r="AB137" s="547"/>
      <c r="CQ137" s="462"/>
      <c r="CR137" s="462"/>
      <c r="CS137" s="462"/>
      <c r="CT137" s="462"/>
      <c r="CU137" s="549"/>
      <c r="CV137" s="549"/>
      <c r="CW137" s="462"/>
      <c r="CX137" s="462"/>
      <c r="CY137" s="462"/>
      <c r="CZ137" s="462"/>
      <c r="DA137" s="462"/>
      <c r="DB137" s="462"/>
      <c r="DC137" s="462"/>
      <c r="DD137" s="462"/>
      <c r="DE137" s="462"/>
      <c r="DF137" s="462"/>
      <c r="DG137" s="462"/>
      <c r="DH137" s="462"/>
      <c r="DI137" s="462"/>
      <c r="DJ137" s="462"/>
      <c r="DK137" s="462"/>
      <c r="DL137" s="462"/>
      <c r="DM137" s="462"/>
      <c r="DN137" s="462"/>
      <c r="DO137" s="462"/>
      <c r="DP137" s="462"/>
      <c r="DQ137" s="462"/>
      <c r="DR137" s="462"/>
    </row>
    <row r="138" spans="1:122" s="546" customFormat="1" x14ac:dyDescent="0.2">
      <c r="B138" s="1577" t="str">
        <f t="shared" si="89"/>
        <v>Investitionsgut 4</v>
      </c>
      <c r="C138" s="1578"/>
      <c r="D138" s="1503">
        <f t="shared" ref="D138:O138" ca="1" si="93">IF($G126="x",0,IF(OR(D$133&lt;$E126,D$133&gt;$I126),0,$H126))</f>
        <v>0</v>
      </c>
      <c r="E138" s="1503">
        <f t="shared" ca="1" si="93"/>
        <v>0</v>
      </c>
      <c r="F138" s="1503">
        <f t="shared" ca="1" si="93"/>
        <v>0</v>
      </c>
      <c r="G138" s="1503">
        <f t="shared" ca="1" si="93"/>
        <v>0</v>
      </c>
      <c r="H138" s="1503">
        <f t="shared" ca="1" si="93"/>
        <v>0</v>
      </c>
      <c r="I138" s="1503">
        <f t="shared" ca="1" si="93"/>
        <v>0</v>
      </c>
      <c r="J138" s="1503">
        <f t="shared" ca="1" si="93"/>
        <v>0</v>
      </c>
      <c r="K138" s="1503">
        <f t="shared" ca="1" si="93"/>
        <v>0</v>
      </c>
      <c r="L138" s="1503">
        <f t="shared" ca="1" si="93"/>
        <v>0</v>
      </c>
      <c r="M138" s="1503">
        <f t="shared" ca="1" si="93"/>
        <v>0</v>
      </c>
      <c r="N138" s="1503">
        <f t="shared" ca="1" si="93"/>
        <v>0</v>
      </c>
      <c r="O138" s="1503">
        <f t="shared" ca="1" si="93"/>
        <v>0</v>
      </c>
      <c r="P138" s="1504">
        <f t="shared" ca="1" si="91"/>
        <v>0</v>
      </c>
      <c r="Q138" s="1290"/>
      <c r="R138" s="1290"/>
      <c r="S138" s="1291"/>
      <c r="T138" s="547"/>
      <c r="U138" s="547"/>
      <c r="V138" s="547"/>
      <c r="W138" s="547"/>
      <c r="X138" s="547"/>
      <c r="Y138" s="547"/>
      <c r="Z138" s="547"/>
      <c r="AA138" s="547"/>
      <c r="AB138" s="547"/>
      <c r="CQ138" s="462"/>
      <c r="CR138" s="462"/>
      <c r="CS138" s="462"/>
      <c r="CT138" s="462"/>
      <c r="CU138" s="549"/>
      <c r="CV138" s="549"/>
      <c r="CW138" s="462"/>
      <c r="CX138" s="462"/>
      <c r="CY138" s="462"/>
      <c r="CZ138" s="462"/>
      <c r="DA138" s="462"/>
      <c r="DB138" s="462"/>
      <c r="DC138" s="462"/>
      <c r="DD138" s="462"/>
      <c r="DE138" s="462"/>
      <c r="DF138" s="462"/>
      <c r="DG138" s="462"/>
      <c r="DH138" s="462"/>
      <c r="DI138" s="462"/>
      <c r="DJ138" s="462"/>
      <c r="DK138" s="462"/>
      <c r="DL138" s="462"/>
      <c r="DM138" s="462"/>
      <c r="DN138" s="462"/>
      <c r="DO138" s="462"/>
      <c r="DP138" s="462"/>
      <c r="DQ138" s="462"/>
      <c r="DR138" s="462"/>
    </row>
    <row r="139" spans="1:122" s="546" customFormat="1" x14ac:dyDescent="0.2">
      <c r="B139" s="1577" t="str">
        <f t="shared" si="89"/>
        <v>Investitionsgut 5</v>
      </c>
      <c r="C139" s="1578"/>
      <c r="D139" s="1503">
        <f t="shared" ref="D139:O139" ca="1" si="94">IF($G127="x",0,IF(OR(D$133&lt;$E127,D$133&gt;$I127),0,$H127))</f>
        <v>0</v>
      </c>
      <c r="E139" s="1503">
        <f t="shared" ca="1" si="94"/>
        <v>0</v>
      </c>
      <c r="F139" s="1503">
        <f t="shared" ca="1" si="94"/>
        <v>0</v>
      </c>
      <c r="G139" s="1503">
        <f t="shared" ca="1" si="94"/>
        <v>0</v>
      </c>
      <c r="H139" s="1503">
        <f t="shared" ca="1" si="94"/>
        <v>0</v>
      </c>
      <c r="I139" s="1503">
        <f t="shared" ca="1" si="94"/>
        <v>0</v>
      </c>
      <c r="J139" s="1503">
        <f t="shared" ca="1" si="94"/>
        <v>0</v>
      </c>
      <c r="K139" s="1503">
        <f t="shared" ca="1" si="94"/>
        <v>0</v>
      </c>
      <c r="L139" s="1503">
        <f t="shared" ca="1" si="94"/>
        <v>0</v>
      </c>
      <c r="M139" s="1503">
        <f t="shared" ca="1" si="94"/>
        <v>0</v>
      </c>
      <c r="N139" s="1503">
        <f t="shared" ca="1" si="94"/>
        <v>0</v>
      </c>
      <c r="O139" s="1503">
        <f t="shared" ca="1" si="94"/>
        <v>0</v>
      </c>
      <c r="P139" s="1504">
        <f t="shared" ca="1" si="91"/>
        <v>0</v>
      </c>
      <c r="Q139" s="1290"/>
      <c r="R139" s="1290"/>
      <c r="S139" s="1291"/>
      <c r="T139" s="547"/>
      <c r="U139" s="547"/>
      <c r="V139" s="547"/>
      <c r="W139" s="547"/>
      <c r="X139" s="547"/>
      <c r="Y139" s="547"/>
      <c r="Z139" s="547"/>
      <c r="AA139" s="547"/>
      <c r="AB139" s="547"/>
      <c r="CQ139" s="462"/>
      <c r="CR139" s="462"/>
      <c r="CS139" s="462"/>
      <c r="CT139" s="462"/>
      <c r="CU139" s="549"/>
      <c r="CV139" s="549"/>
      <c r="CW139" s="462"/>
      <c r="CX139" s="462"/>
      <c r="CY139" s="462"/>
      <c r="CZ139" s="462"/>
      <c r="DA139" s="462"/>
      <c r="DB139" s="462"/>
      <c r="DC139" s="462"/>
      <c r="DD139" s="462"/>
      <c r="DE139" s="462"/>
      <c r="DF139" s="462"/>
      <c r="DG139" s="462"/>
      <c r="DH139" s="462"/>
      <c r="DI139" s="462"/>
      <c r="DJ139" s="462"/>
      <c r="DK139" s="462"/>
      <c r="DL139" s="462"/>
      <c r="DM139" s="462"/>
      <c r="DN139" s="462"/>
      <c r="DO139" s="462"/>
      <c r="DP139" s="462"/>
      <c r="DQ139" s="462"/>
      <c r="DR139" s="462"/>
    </row>
    <row r="140" spans="1:122" s="546" customFormat="1" x14ac:dyDescent="0.2">
      <c r="B140" s="1577" t="str">
        <f t="shared" si="89"/>
        <v>Investitionsgut 6</v>
      </c>
      <c r="C140" s="1578"/>
      <c r="D140" s="1503">
        <f t="shared" ref="D140:O140" ca="1" si="95">IF($G128="x",0,IF(OR(D$133&lt;$E128,D$133&gt;$I128),0,$H128))</f>
        <v>0</v>
      </c>
      <c r="E140" s="1503">
        <f t="shared" ca="1" si="95"/>
        <v>0</v>
      </c>
      <c r="F140" s="1503">
        <f t="shared" ca="1" si="95"/>
        <v>0</v>
      </c>
      <c r="G140" s="1503">
        <f t="shared" ca="1" si="95"/>
        <v>0</v>
      </c>
      <c r="H140" s="1503">
        <f t="shared" ca="1" si="95"/>
        <v>0</v>
      </c>
      <c r="I140" s="1503">
        <f t="shared" ca="1" si="95"/>
        <v>0</v>
      </c>
      <c r="J140" s="1503">
        <f t="shared" ca="1" si="95"/>
        <v>0</v>
      </c>
      <c r="K140" s="1503">
        <f t="shared" ca="1" si="95"/>
        <v>0</v>
      </c>
      <c r="L140" s="1503">
        <f t="shared" ca="1" si="95"/>
        <v>0</v>
      </c>
      <c r="M140" s="1503">
        <f t="shared" ca="1" si="95"/>
        <v>0</v>
      </c>
      <c r="N140" s="1503">
        <f t="shared" ca="1" si="95"/>
        <v>0</v>
      </c>
      <c r="O140" s="1503">
        <f t="shared" ca="1" si="95"/>
        <v>0</v>
      </c>
      <c r="P140" s="1504">
        <f t="shared" ca="1" si="91"/>
        <v>0</v>
      </c>
      <c r="Q140" s="1290"/>
      <c r="R140" s="1290"/>
      <c r="S140" s="1291"/>
      <c r="T140" s="547"/>
      <c r="U140" s="547"/>
      <c r="V140" s="547"/>
      <c r="W140" s="547"/>
      <c r="X140" s="547"/>
      <c r="Y140" s="547"/>
      <c r="Z140" s="547"/>
      <c r="AA140" s="547"/>
      <c r="AB140" s="547"/>
      <c r="CQ140" s="462"/>
      <c r="CR140" s="462"/>
      <c r="CS140" s="462"/>
      <c r="CT140" s="462"/>
      <c r="CU140" s="549"/>
      <c r="CV140" s="549"/>
      <c r="CW140" s="462"/>
      <c r="CX140" s="462"/>
      <c r="CY140" s="462"/>
      <c r="CZ140" s="462"/>
      <c r="DA140" s="462"/>
      <c r="DB140" s="462"/>
      <c r="DC140" s="462"/>
      <c r="DD140" s="462"/>
      <c r="DE140" s="462"/>
      <c r="DF140" s="462"/>
      <c r="DG140" s="462"/>
      <c r="DH140" s="462"/>
      <c r="DI140" s="462"/>
      <c r="DJ140" s="462"/>
      <c r="DK140" s="462"/>
      <c r="DL140" s="462"/>
      <c r="DM140" s="462"/>
      <c r="DN140" s="462"/>
      <c r="DO140" s="462"/>
      <c r="DP140" s="462"/>
      <c r="DQ140" s="462"/>
      <c r="DR140" s="462"/>
    </row>
    <row r="141" spans="1:122" s="546" customFormat="1" x14ac:dyDescent="0.2">
      <c r="B141" s="1579" t="str">
        <f t="shared" si="89"/>
        <v>Investitionsgut 7</v>
      </c>
      <c r="C141" s="1580"/>
      <c r="D141" s="1503">
        <f t="shared" ref="D141:O141" ca="1" si="96">IF($G129="x",0,IF(OR(D$133&lt;$E129,D$133&gt;$I129),0,$H129))</f>
        <v>0</v>
      </c>
      <c r="E141" s="1503">
        <f t="shared" ca="1" si="96"/>
        <v>0</v>
      </c>
      <c r="F141" s="1503">
        <f t="shared" ca="1" si="96"/>
        <v>0</v>
      </c>
      <c r="G141" s="1503">
        <f t="shared" ca="1" si="96"/>
        <v>0</v>
      </c>
      <c r="H141" s="1503">
        <f t="shared" ca="1" si="96"/>
        <v>0</v>
      </c>
      <c r="I141" s="1503">
        <f t="shared" ca="1" si="96"/>
        <v>0</v>
      </c>
      <c r="J141" s="1503">
        <f t="shared" ca="1" si="96"/>
        <v>0</v>
      </c>
      <c r="K141" s="1503">
        <f t="shared" ca="1" si="96"/>
        <v>0</v>
      </c>
      <c r="L141" s="1503">
        <f t="shared" ca="1" si="96"/>
        <v>0</v>
      </c>
      <c r="M141" s="1503">
        <f t="shared" ca="1" si="96"/>
        <v>0</v>
      </c>
      <c r="N141" s="1503">
        <f t="shared" ca="1" si="96"/>
        <v>0</v>
      </c>
      <c r="O141" s="1503">
        <f t="shared" ca="1" si="96"/>
        <v>0</v>
      </c>
      <c r="P141" s="1513">
        <f ca="1">SUM(D141:O141)</f>
        <v>0</v>
      </c>
      <c r="Q141" s="1290"/>
      <c r="R141" s="1290"/>
      <c r="S141" s="1291"/>
      <c r="T141" s="547"/>
      <c r="U141" s="547"/>
      <c r="V141" s="547"/>
      <c r="W141" s="547"/>
      <c r="X141" s="547"/>
      <c r="Y141" s="547"/>
      <c r="Z141" s="547"/>
      <c r="AA141" s="547"/>
      <c r="AB141" s="547"/>
      <c r="CQ141" s="462"/>
      <c r="CR141" s="462"/>
      <c r="CS141" s="462"/>
      <c r="CT141" s="462"/>
      <c r="CU141" s="549"/>
      <c r="CV141" s="549"/>
      <c r="CW141" s="462"/>
      <c r="CX141" s="462"/>
      <c r="CY141" s="462"/>
      <c r="CZ141" s="462"/>
      <c r="DA141" s="462"/>
      <c r="DB141" s="462"/>
      <c r="DC141" s="462"/>
      <c r="DD141" s="462"/>
      <c r="DE141" s="462"/>
      <c r="DF141" s="462"/>
      <c r="DG141" s="462"/>
      <c r="DH141" s="462"/>
      <c r="DI141" s="462"/>
      <c r="DJ141" s="462"/>
      <c r="DK141" s="462"/>
      <c r="DL141" s="462"/>
      <c r="DM141" s="462"/>
      <c r="DN141" s="462"/>
      <c r="DO141" s="462"/>
      <c r="DP141" s="462"/>
      <c r="DQ141" s="462"/>
      <c r="DR141" s="462"/>
    </row>
    <row r="142" spans="1:122" s="546" customFormat="1" x14ac:dyDescent="0.2">
      <c r="B142" s="1581" t="str">
        <f>B116</f>
        <v>Sammelposten</v>
      </c>
      <c r="C142" s="1582"/>
      <c r="D142" s="1516">
        <f t="shared" ref="D142:O142" ca="1" si="97">IF($F130&lt;=D$133,$H130,"")</f>
        <v>0</v>
      </c>
      <c r="E142" s="1516">
        <f t="shared" ca="1" si="97"/>
        <v>0</v>
      </c>
      <c r="F142" s="1516">
        <f t="shared" ca="1" si="97"/>
        <v>0</v>
      </c>
      <c r="G142" s="1516">
        <f t="shared" ca="1" si="97"/>
        <v>0</v>
      </c>
      <c r="H142" s="1516">
        <f t="shared" ca="1" si="97"/>
        <v>0</v>
      </c>
      <c r="I142" s="1516">
        <f t="shared" ca="1" si="97"/>
        <v>0</v>
      </c>
      <c r="J142" s="1516">
        <f t="shared" ca="1" si="97"/>
        <v>0</v>
      </c>
      <c r="K142" s="1516">
        <f t="shared" ca="1" si="97"/>
        <v>0</v>
      </c>
      <c r="L142" s="1516">
        <f t="shared" ca="1" si="97"/>
        <v>0</v>
      </c>
      <c r="M142" s="1516">
        <f t="shared" ca="1" si="97"/>
        <v>0</v>
      </c>
      <c r="N142" s="1516">
        <f t="shared" ca="1" si="97"/>
        <v>0</v>
      </c>
      <c r="O142" s="1516">
        <f t="shared" ca="1" si="97"/>
        <v>0</v>
      </c>
      <c r="P142" s="1517">
        <f ca="1">SUM(D142:O142)</f>
        <v>0</v>
      </c>
      <c r="Q142" s="1290"/>
      <c r="R142" s="1290"/>
      <c r="S142" s="1291"/>
      <c r="T142" s="547"/>
      <c r="U142" s="547"/>
      <c r="V142" s="547"/>
      <c r="W142" s="547"/>
      <c r="X142" s="547"/>
      <c r="Y142" s="547"/>
      <c r="Z142" s="547"/>
      <c r="AA142" s="547"/>
      <c r="AB142" s="547"/>
      <c r="CQ142" s="462"/>
      <c r="CR142" s="462"/>
      <c r="CS142" s="462"/>
      <c r="CT142" s="462"/>
      <c r="CU142" s="549"/>
      <c r="CV142" s="549"/>
      <c r="CW142" s="462"/>
      <c r="CX142" s="462"/>
      <c r="CY142" s="462"/>
      <c r="CZ142" s="462"/>
      <c r="DA142" s="462"/>
      <c r="DB142" s="462"/>
      <c r="DC142" s="462"/>
      <c r="DD142" s="462"/>
      <c r="DE142" s="462"/>
      <c r="DF142" s="462"/>
      <c r="DG142" s="462"/>
      <c r="DH142" s="462"/>
      <c r="DI142" s="462"/>
      <c r="DJ142" s="462"/>
      <c r="DK142" s="462"/>
      <c r="DL142" s="462"/>
      <c r="DM142" s="462"/>
      <c r="DN142" s="462"/>
      <c r="DO142" s="462"/>
      <c r="DP142" s="462"/>
      <c r="DQ142" s="462"/>
      <c r="DR142" s="462"/>
    </row>
    <row r="143" spans="1:122" s="219" customFormat="1" ht="15" thickBot="1" x14ac:dyDescent="0.25">
      <c r="B143" s="1518" t="str">
        <f>"Summe" &amp;" "&amp;B142</f>
        <v>Summe Sammelposten</v>
      </c>
      <c r="C143" s="1519"/>
      <c r="D143" s="1520">
        <f ca="1">D142+D117</f>
        <v>0</v>
      </c>
      <c r="E143" s="1520">
        <f t="shared" ref="E143" ca="1" si="98">E142+E117</f>
        <v>0</v>
      </c>
      <c r="F143" s="1520">
        <f t="shared" ref="F143" ca="1" si="99">F142+F117</f>
        <v>0</v>
      </c>
      <c r="G143" s="1520">
        <f t="shared" ref="G143" ca="1" si="100">G142+G117</f>
        <v>0</v>
      </c>
      <c r="H143" s="1520">
        <f t="shared" ref="H143" ca="1" si="101">H142+H117</f>
        <v>0</v>
      </c>
      <c r="I143" s="1520">
        <f t="shared" ref="I143" ca="1" si="102">I142+I117</f>
        <v>0</v>
      </c>
      <c r="J143" s="1520">
        <f t="shared" ref="J143" ca="1" si="103">J142+J117</f>
        <v>0</v>
      </c>
      <c r="K143" s="1520">
        <f t="shared" ref="K143" ca="1" si="104">K142+K117</f>
        <v>0</v>
      </c>
      <c r="L143" s="1520">
        <f t="shared" ref="L143" ca="1" si="105">L142+L117</f>
        <v>0</v>
      </c>
      <c r="M143" s="1520">
        <f t="shared" ref="M143" ca="1" si="106">M142+M117</f>
        <v>0</v>
      </c>
      <c r="N143" s="1520">
        <f t="shared" ref="N143" ca="1" si="107">N142+N117</f>
        <v>0</v>
      </c>
      <c r="O143" s="1520">
        <f t="shared" ref="O143" ca="1" si="108">O142+O117</f>
        <v>0</v>
      </c>
      <c r="P143" s="1522">
        <f ca="1">SUM(D143:O143)</f>
        <v>0</v>
      </c>
      <c r="S143" s="256"/>
      <c r="CQ143" s="222"/>
      <c r="CR143" s="222"/>
      <c r="CS143" s="222"/>
      <c r="CT143" s="222"/>
      <c r="CU143" s="283"/>
      <c r="CV143" s="233"/>
      <c r="CW143" s="223"/>
      <c r="CX143" s="222"/>
      <c r="CY143" s="222"/>
      <c r="CZ143" s="222"/>
      <c r="DA143" s="222"/>
      <c r="DB143" s="222"/>
      <c r="DC143" s="222"/>
      <c r="DD143" s="222"/>
      <c r="DE143" s="222"/>
      <c r="DF143" s="222"/>
      <c r="DG143" s="222"/>
      <c r="DH143" s="223"/>
      <c r="DI143" s="223"/>
      <c r="DJ143" s="223"/>
      <c r="DK143" s="223"/>
      <c r="DL143" s="223"/>
      <c r="DM143" s="223"/>
      <c r="DN143" s="223"/>
      <c r="DO143" s="223"/>
      <c r="DP143" s="223"/>
      <c r="DQ143" s="223"/>
      <c r="DR143" s="223"/>
    </row>
    <row r="144" spans="1:122" s="546" customFormat="1" ht="15.75" thickTop="1" thickBot="1" x14ac:dyDescent="0.25">
      <c r="A144" s="1501"/>
      <c r="B144" s="1589" t="str">
        <f>B118</f>
        <v>Summe Abschreibungen</v>
      </c>
      <c r="C144" s="1590"/>
      <c r="D144" s="1514">
        <f ca="1">SUM(D135:D141)+D143</f>
        <v>0</v>
      </c>
      <c r="E144" s="1514">
        <f t="shared" ref="E144" ca="1" si="109">SUM(E135:E141)+E143</f>
        <v>0</v>
      </c>
      <c r="F144" s="1514">
        <f t="shared" ref="F144" ca="1" si="110">SUM(F135:F141)+F143</f>
        <v>0</v>
      </c>
      <c r="G144" s="1514">
        <f t="shared" ref="G144" ca="1" si="111">SUM(G135:G141)+G143</f>
        <v>0</v>
      </c>
      <c r="H144" s="1514">
        <f t="shared" ref="H144" ca="1" si="112">SUM(H135:H141)+H143</f>
        <v>0</v>
      </c>
      <c r="I144" s="1514">
        <f t="shared" ref="I144" ca="1" si="113">SUM(I135:I141)+I143</f>
        <v>0</v>
      </c>
      <c r="J144" s="1514">
        <f t="shared" ref="J144" ca="1" si="114">SUM(J135:J141)+J143</f>
        <v>0</v>
      </c>
      <c r="K144" s="1514">
        <f t="shared" ref="K144" ca="1" si="115">SUM(K135:K141)+K143</f>
        <v>0</v>
      </c>
      <c r="L144" s="1514">
        <f t="shared" ref="L144" ca="1" si="116">SUM(L135:L141)+L143</f>
        <v>0</v>
      </c>
      <c r="M144" s="1514">
        <f t="shared" ref="M144" ca="1" si="117">SUM(M135:M141)+M143</f>
        <v>0</v>
      </c>
      <c r="N144" s="1514">
        <f t="shared" ref="N144" ca="1" si="118">SUM(N135:N141)+N143</f>
        <v>0</v>
      </c>
      <c r="O144" s="1514">
        <f t="shared" ref="O144" ca="1" si="119">SUM(O135:O141)+O143</f>
        <v>0</v>
      </c>
      <c r="P144" s="1515">
        <f ca="1">SUM(D144:O144)</f>
        <v>0</v>
      </c>
      <c r="Q144" s="1290"/>
      <c r="R144" s="1290"/>
      <c r="S144" s="1291"/>
      <c r="T144" s="547"/>
      <c r="U144" s="547"/>
      <c r="V144" s="547"/>
      <c r="W144" s="547"/>
      <c r="X144" s="547"/>
      <c r="Y144" s="547"/>
      <c r="Z144" s="547"/>
      <c r="AA144" s="547"/>
      <c r="AB144" s="547"/>
      <c r="CQ144" s="462"/>
      <c r="CR144" s="462"/>
      <c r="CS144" s="462"/>
      <c r="CT144" s="462"/>
      <c r="CU144" s="549"/>
      <c r="CV144" s="549"/>
      <c r="CW144" s="462"/>
      <c r="CX144" s="462"/>
      <c r="CY144" s="462"/>
      <c r="CZ144" s="462"/>
      <c r="DA144" s="462"/>
      <c r="DB144" s="462"/>
      <c r="DC144" s="462"/>
      <c r="DD144" s="462"/>
      <c r="DE144" s="462"/>
      <c r="DF144" s="462"/>
      <c r="DG144" s="462"/>
      <c r="DH144" s="462"/>
      <c r="DI144" s="462"/>
      <c r="DJ144" s="462"/>
      <c r="DK144" s="462"/>
      <c r="DL144" s="462"/>
      <c r="DM144" s="462"/>
      <c r="DN144" s="462"/>
      <c r="DO144" s="462"/>
      <c r="DP144" s="462"/>
      <c r="DQ144" s="462"/>
      <c r="DR144" s="462"/>
    </row>
    <row r="145" spans="2:122" s="546" customFormat="1" x14ac:dyDescent="0.2">
      <c r="B145" s="229"/>
      <c r="C145" s="1501"/>
      <c r="D145" s="1501"/>
      <c r="E145" s="1501"/>
      <c r="F145" s="1501"/>
      <c r="G145" s="1501"/>
      <c r="H145" s="1501"/>
      <c r="I145" s="1501"/>
      <c r="J145" s="1501"/>
      <c r="K145" s="1501"/>
      <c r="L145" s="1501"/>
      <c r="M145" s="1501"/>
      <c r="N145" s="1501"/>
      <c r="O145" s="1512"/>
      <c r="P145" s="1288"/>
      <c r="Q145" s="1290"/>
      <c r="R145" s="1290"/>
      <c r="S145" s="1291"/>
      <c r="T145" s="547"/>
      <c r="U145" s="547"/>
      <c r="V145" s="547"/>
      <c r="W145" s="547"/>
      <c r="X145" s="547"/>
      <c r="Y145" s="547"/>
      <c r="Z145" s="547"/>
      <c r="AA145" s="547"/>
      <c r="AB145" s="547"/>
      <c r="CQ145" s="462"/>
      <c r="CR145" s="462"/>
      <c r="CS145" s="462"/>
      <c r="CT145" s="462"/>
      <c r="CU145" s="549"/>
      <c r="CV145" s="549"/>
      <c r="CW145" s="462"/>
      <c r="CX145" s="462"/>
      <c r="CY145" s="462"/>
      <c r="CZ145" s="462"/>
      <c r="DA145" s="462"/>
      <c r="DB145" s="462"/>
      <c r="DC145" s="462"/>
      <c r="DD145" s="462"/>
      <c r="DE145" s="462"/>
      <c r="DF145" s="462"/>
      <c r="DG145" s="462"/>
      <c r="DH145" s="462"/>
      <c r="DI145" s="462"/>
      <c r="DJ145" s="462"/>
      <c r="DK145" s="462"/>
      <c r="DL145" s="462"/>
      <c r="DM145" s="462"/>
      <c r="DN145" s="462"/>
      <c r="DO145" s="462"/>
      <c r="DP145" s="462"/>
      <c r="DQ145" s="462"/>
      <c r="DR145" s="462"/>
    </row>
    <row r="146" spans="2:122" s="546" customFormat="1" x14ac:dyDescent="0.2">
      <c r="B146" s="229"/>
      <c r="C146" s="1501"/>
      <c r="D146" s="1501"/>
      <c r="E146" s="1501"/>
      <c r="F146" s="1501"/>
      <c r="G146" s="1501"/>
      <c r="H146" s="1501"/>
      <c r="I146" s="1501"/>
      <c r="J146" s="1501"/>
      <c r="K146" s="1501"/>
      <c r="L146" s="1501"/>
      <c r="M146" s="1501"/>
      <c r="N146" s="1501"/>
      <c r="O146" s="1512"/>
      <c r="P146" s="1288"/>
      <c r="Q146" s="1290"/>
      <c r="R146" s="1290"/>
      <c r="S146" s="1291"/>
      <c r="T146" s="547"/>
      <c r="U146" s="547"/>
      <c r="V146" s="547"/>
      <c r="W146" s="547"/>
      <c r="X146" s="547"/>
      <c r="Y146" s="547"/>
      <c r="Z146" s="547"/>
      <c r="AA146" s="547"/>
      <c r="AB146" s="547"/>
      <c r="CQ146" s="462"/>
      <c r="CR146" s="462"/>
      <c r="CS146" s="462"/>
      <c r="CT146" s="462"/>
      <c r="CU146" s="549"/>
      <c r="CV146" s="549"/>
      <c r="CW146" s="462"/>
      <c r="CX146" s="462"/>
      <c r="CY146" s="462"/>
      <c r="CZ146" s="462"/>
      <c r="DA146" s="462"/>
      <c r="DB146" s="462"/>
      <c r="DC146" s="462"/>
      <c r="DD146" s="462"/>
      <c r="DE146" s="462"/>
      <c r="DF146" s="462"/>
      <c r="DG146" s="462"/>
      <c r="DH146" s="462"/>
      <c r="DI146" s="462"/>
      <c r="DJ146" s="462"/>
      <c r="DK146" s="462"/>
      <c r="DL146" s="462"/>
      <c r="DM146" s="462"/>
      <c r="DN146" s="462"/>
      <c r="DO146" s="462"/>
      <c r="DP146" s="462"/>
      <c r="DQ146" s="462"/>
      <c r="DR146" s="462"/>
    </row>
    <row r="147" spans="2:122" s="546" customFormat="1" ht="15" thickBot="1" x14ac:dyDescent="0.25">
      <c r="B147" s="229"/>
      <c r="C147" s="1501"/>
      <c r="D147" s="1501"/>
      <c r="E147" s="1501"/>
      <c r="F147" s="1501"/>
      <c r="G147" s="1501"/>
      <c r="H147" s="1501"/>
      <c r="I147" s="1501"/>
      <c r="J147" s="1501"/>
      <c r="K147" s="1501"/>
      <c r="L147" s="1501"/>
      <c r="M147" s="1501"/>
      <c r="N147" s="1501"/>
      <c r="O147" s="1512"/>
      <c r="P147" s="1288"/>
      <c r="Q147" s="1290"/>
      <c r="R147" s="1290"/>
      <c r="S147" s="1291"/>
      <c r="T147" s="547"/>
      <c r="U147" s="547"/>
      <c r="V147" s="547"/>
      <c r="W147" s="547"/>
      <c r="X147" s="547"/>
      <c r="Y147" s="547"/>
      <c r="Z147" s="547"/>
      <c r="AA147" s="547"/>
      <c r="AB147" s="547"/>
      <c r="CQ147" s="462"/>
      <c r="CR147" s="462"/>
      <c r="CS147" s="462"/>
      <c r="CT147" s="462"/>
      <c r="CU147" s="549"/>
      <c r="CV147" s="549"/>
      <c r="CW147" s="462"/>
      <c r="CX147" s="462"/>
      <c r="CY147" s="462"/>
      <c r="CZ147" s="462"/>
      <c r="DA147" s="462"/>
      <c r="DB147" s="462"/>
      <c r="DC147" s="462"/>
      <c r="DD147" s="462"/>
      <c r="DE147" s="462"/>
      <c r="DF147" s="462"/>
      <c r="DG147" s="462"/>
      <c r="DH147" s="462"/>
      <c r="DI147" s="462"/>
      <c r="DJ147" s="462"/>
      <c r="DK147" s="462"/>
      <c r="DL147" s="462"/>
      <c r="DM147" s="462"/>
      <c r="DN147" s="462"/>
      <c r="DO147" s="462"/>
      <c r="DP147" s="462"/>
      <c r="DQ147" s="462"/>
      <c r="DR147" s="462"/>
    </row>
    <row r="148" spans="2:122" s="546" customFormat="1" ht="28.15" customHeight="1" thickBot="1" x14ac:dyDescent="0.25">
      <c r="B148" s="1583" t="str">
        <f t="shared" ref="B148:B157" si="120">B122</f>
        <v>Anschaffungen</v>
      </c>
      <c r="C148" s="1584"/>
      <c r="D148" s="1505" t="str">
        <f ca="1">IF($C$2="English","Value      ","Betrag    ")&amp;'1 Pers.Ausgaben|Pers Expenses'!$C$4+3</f>
        <v>Betrag    2020</v>
      </c>
      <c r="E148" s="1506" t="str">
        <f>E122</f>
        <v>Investmonat</v>
      </c>
      <c r="F148" s="1507" t="str">
        <f ca="1">$E$70&amp;"   "&amp;B160</f>
        <v>Investmonat   2020</v>
      </c>
      <c r="G148" s="1507" t="str">
        <f t="shared" ref="G148:G155" si="121">G122</f>
        <v>Jahre der
Abschreibung</v>
      </c>
      <c r="H148" s="1507" t="s">
        <v>746</v>
      </c>
      <c r="I148" s="1507" t="s">
        <v>748</v>
      </c>
      <c r="J148" s="1507" t="s">
        <v>752</v>
      </c>
      <c r="K148" s="467"/>
      <c r="L148" s="250"/>
      <c r="M148" s="467"/>
      <c r="N148" s="250"/>
      <c r="O148" s="1512"/>
      <c r="P148" s="1288"/>
      <c r="Q148" s="1290"/>
      <c r="R148" s="1290"/>
      <c r="S148" s="1291"/>
      <c r="T148" s="547"/>
      <c r="U148" s="547"/>
      <c r="V148" s="547"/>
      <c r="W148" s="547"/>
      <c r="X148" s="547"/>
      <c r="Y148" s="547"/>
      <c r="Z148" s="547"/>
      <c r="AA148" s="547"/>
      <c r="AB148" s="547"/>
      <c r="CQ148" s="462"/>
      <c r="CR148" s="462"/>
      <c r="CS148" s="462"/>
      <c r="CT148" s="462"/>
      <c r="CU148" s="549"/>
      <c r="CV148" s="549"/>
      <c r="CW148" s="462"/>
      <c r="CX148" s="462"/>
      <c r="CY148" s="462"/>
      <c r="CZ148" s="462"/>
      <c r="DA148" s="462"/>
      <c r="DB148" s="462"/>
      <c r="DC148" s="462"/>
      <c r="DD148" s="462"/>
      <c r="DE148" s="462"/>
      <c r="DF148" s="462"/>
      <c r="DG148" s="462"/>
      <c r="DH148" s="462"/>
      <c r="DI148" s="462"/>
      <c r="DJ148" s="462"/>
      <c r="DK148" s="462"/>
      <c r="DL148" s="462"/>
      <c r="DM148" s="462"/>
      <c r="DN148" s="462"/>
      <c r="DO148" s="462"/>
      <c r="DP148" s="462"/>
      <c r="DQ148" s="462"/>
      <c r="DR148" s="462"/>
    </row>
    <row r="149" spans="2:122" s="546" customFormat="1" x14ac:dyDescent="0.2">
      <c r="B149" s="1633" t="str">
        <f t="shared" si="120"/>
        <v>Investitionsgut 1</v>
      </c>
      <c r="C149" s="1634"/>
      <c r="D149" s="1526">
        <f t="shared" ref="D149:D155" si="122">K6</f>
        <v>0</v>
      </c>
      <c r="E149" s="1527">
        <f>E123+F149</f>
        <v>0</v>
      </c>
      <c r="F149" s="1527">
        <f t="shared" ref="F149:F155" si="123">IF(D149&gt;0,L6+($B$160-$B$82)*12,0)</f>
        <v>0</v>
      </c>
      <c r="G149" s="1527">
        <f t="shared" si="121"/>
        <v>0</v>
      </c>
      <c r="H149" s="1527">
        <f>IF(G149="x",0,IF(AND(E149&gt;0,D149=0),H123,IF(D149&gt;0,D149/(12*G149),0)))</f>
        <v>0</v>
      </c>
      <c r="I149" s="1527">
        <f>IF(G149="x",0,IF(D149&gt;0,E149+G149*12-1,IF(E149&gt;0,I123,0)))</f>
        <v>0</v>
      </c>
      <c r="J149" s="1508">
        <f>IF(G149="x",IF(D149&gt;0,D149,0),0)</f>
        <v>0</v>
      </c>
      <c r="K149" s="467"/>
      <c r="L149" s="250"/>
      <c r="M149" s="467"/>
      <c r="N149" s="250"/>
      <c r="O149" s="1512"/>
      <c r="P149" s="1288"/>
      <c r="Q149" s="1290"/>
      <c r="R149" s="1290"/>
      <c r="S149" s="1291"/>
      <c r="T149" s="547"/>
      <c r="U149" s="547"/>
      <c r="V149" s="547"/>
      <c r="W149" s="547"/>
      <c r="X149" s="547"/>
      <c r="Y149" s="547"/>
      <c r="Z149" s="547"/>
      <c r="AA149" s="547"/>
      <c r="AB149" s="547"/>
      <c r="CQ149" s="462"/>
      <c r="CR149" s="462"/>
      <c r="CS149" s="462"/>
      <c r="CT149" s="462"/>
      <c r="CU149" s="549"/>
      <c r="CV149" s="549"/>
      <c r="CW149" s="462"/>
      <c r="CX149" s="462"/>
      <c r="CY149" s="462"/>
      <c r="CZ149" s="462"/>
      <c r="DA149" s="462"/>
      <c r="DB149" s="462"/>
      <c r="DC149" s="462"/>
      <c r="DD149" s="462"/>
      <c r="DE149" s="462"/>
      <c r="DF149" s="462"/>
      <c r="DG149" s="462"/>
      <c r="DH149" s="462"/>
      <c r="DI149" s="462"/>
      <c r="DJ149" s="462"/>
      <c r="DK149" s="462"/>
      <c r="DL149" s="462"/>
      <c r="DM149" s="462"/>
      <c r="DN149" s="462"/>
      <c r="DO149" s="462"/>
      <c r="DP149" s="462"/>
      <c r="DQ149" s="462"/>
      <c r="DR149" s="462"/>
    </row>
    <row r="150" spans="2:122" s="546" customFormat="1" x14ac:dyDescent="0.2">
      <c r="B150" s="1585" t="str">
        <f t="shared" si="120"/>
        <v>Investitionsgut 2</v>
      </c>
      <c r="C150" s="1586"/>
      <c r="D150" s="1528">
        <f t="shared" si="122"/>
        <v>0</v>
      </c>
      <c r="E150" s="1529">
        <f t="shared" ref="E150:E155" si="124">E124+F150</f>
        <v>0</v>
      </c>
      <c r="F150" s="1529">
        <f t="shared" si="123"/>
        <v>0</v>
      </c>
      <c r="G150" s="1529">
        <f t="shared" si="121"/>
        <v>0</v>
      </c>
      <c r="H150" s="1529">
        <f t="shared" ref="H150:H155" si="125">IF(G150="x",0,IF(AND(E150&gt;0,D150=0),H124,IF(D150&gt;0,D150/(12*G150),0)))</f>
        <v>0</v>
      </c>
      <c r="I150" s="1529">
        <f t="shared" ref="I150:I155" si="126">IF(G150="x",0,IF(D150&gt;0,E150+G150*12-1,IF(E150&gt;0,I124,0)))</f>
        <v>0</v>
      </c>
      <c r="J150" s="1509">
        <f t="shared" ref="J150:J155" si="127">IF(G150="x",IF(D150&gt;0,D150,0),0)</f>
        <v>0</v>
      </c>
      <c r="K150" s="467"/>
      <c r="L150" s="250"/>
      <c r="M150" s="467"/>
      <c r="N150" s="250"/>
      <c r="O150" s="1512"/>
      <c r="P150" s="1288"/>
      <c r="Q150" s="1290"/>
      <c r="R150" s="1290"/>
      <c r="S150" s="1291"/>
      <c r="T150" s="547"/>
      <c r="U150" s="547"/>
      <c r="V150" s="547"/>
      <c r="W150" s="547"/>
      <c r="X150" s="547"/>
      <c r="Y150" s="547"/>
      <c r="Z150" s="547"/>
      <c r="AA150" s="547"/>
      <c r="AB150" s="547"/>
      <c r="CQ150" s="462"/>
      <c r="CR150" s="462"/>
      <c r="CS150" s="462"/>
      <c r="CT150" s="462"/>
      <c r="CU150" s="549"/>
      <c r="CV150" s="549"/>
      <c r="CW150" s="462"/>
      <c r="CX150" s="462"/>
      <c r="CY150" s="462"/>
      <c r="CZ150" s="462"/>
      <c r="DA150" s="462"/>
      <c r="DB150" s="462"/>
      <c r="DC150" s="462"/>
      <c r="DD150" s="462"/>
      <c r="DE150" s="462"/>
      <c r="DF150" s="462"/>
      <c r="DG150" s="462"/>
      <c r="DH150" s="462"/>
      <c r="DI150" s="462"/>
      <c r="DJ150" s="462"/>
      <c r="DK150" s="462"/>
      <c r="DL150" s="462"/>
      <c r="DM150" s="462"/>
      <c r="DN150" s="462"/>
      <c r="DO150" s="462"/>
      <c r="DP150" s="462"/>
      <c r="DQ150" s="462"/>
      <c r="DR150" s="462"/>
    </row>
    <row r="151" spans="2:122" s="546" customFormat="1" x14ac:dyDescent="0.2">
      <c r="B151" s="1585" t="str">
        <f t="shared" si="120"/>
        <v>Investitionsgut 3</v>
      </c>
      <c r="C151" s="1586"/>
      <c r="D151" s="1528">
        <f t="shared" si="122"/>
        <v>0</v>
      </c>
      <c r="E151" s="1529">
        <f t="shared" si="124"/>
        <v>0</v>
      </c>
      <c r="F151" s="1529">
        <f t="shared" si="123"/>
        <v>0</v>
      </c>
      <c r="G151" s="1529">
        <f t="shared" si="121"/>
        <v>0</v>
      </c>
      <c r="H151" s="1529">
        <f t="shared" si="125"/>
        <v>0</v>
      </c>
      <c r="I151" s="1529">
        <f t="shared" si="126"/>
        <v>0</v>
      </c>
      <c r="J151" s="1509">
        <f t="shared" si="127"/>
        <v>0</v>
      </c>
      <c r="K151" s="467"/>
      <c r="L151" s="250"/>
      <c r="M151" s="467"/>
      <c r="N151" s="250"/>
      <c r="O151" s="1512"/>
      <c r="P151" s="1288"/>
      <c r="Q151" s="1290"/>
      <c r="R151" s="1290"/>
      <c r="S151" s="1291"/>
      <c r="T151" s="547"/>
      <c r="U151" s="547"/>
      <c r="V151" s="547"/>
      <c r="W151" s="547"/>
      <c r="X151" s="547"/>
      <c r="Y151" s="547"/>
      <c r="Z151" s="547"/>
      <c r="AA151" s="547"/>
      <c r="AB151" s="547"/>
      <c r="CQ151" s="462"/>
      <c r="CR151" s="462"/>
      <c r="CS151" s="462"/>
      <c r="CT151" s="462"/>
      <c r="CU151" s="549"/>
      <c r="CV151" s="549"/>
      <c r="CW151" s="462"/>
      <c r="CX151" s="462"/>
      <c r="CY151" s="462"/>
      <c r="CZ151" s="462"/>
      <c r="DA151" s="462"/>
      <c r="DB151" s="462"/>
      <c r="DC151" s="462"/>
      <c r="DD151" s="462"/>
      <c r="DE151" s="462"/>
      <c r="DF151" s="462"/>
      <c r="DG151" s="462"/>
      <c r="DH151" s="462"/>
      <c r="DI151" s="462"/>
      <c r="DJ151" s="462"/>
      <c r="DK151" s="462"/>
      <c r="DL151" s="462"/>
      <c r="DM151" s="462"/>
      <c r="DN151" s="462"/>
      <c r="DO151" s="462"/>
      <c r="DP151" s="462"/>
      <c r="DQ151" s="462"/>
      <c r="DR151" s="462"/>
    </row>
    <row r="152" spans="2:122" s="546" customFormat="1" x14ac:dyDescent="0.2">
      <c r="B152" s="1585" t="str">
        <f t="shared" si="120"/>
        <v>Investitionsgut 4</v>
      </c>
      <c r="C152" s="1586"/>
      <c r="D152" s="1528">
        <f t="shared" si="122"/>
        <v>0</v>
      </c>
      <c r="E152" s="1529">
        <f t="shared" si="124"/>
        <v>0</v>
      </c>
      <c r="F152" s="1529">
        <f t="shared" si="123"/>
        <v>0</v>
      </c>
      <c r="G152" s="1529">
        <f t="shared" si="121"/>
        <v>0</v>
      </c>
      <c r="H152" s="1529">
        <f t="shared" si="125"/>
        <v>0</v>
      </c>
      <c r="I152" s="1529">
        <f t="shared" si="126"/>
        <v>0</v>
      </c>
      <c r="J152" s="1509">
        <f t="shared" si="127"/>
        <v>0</v>
      </c>
      <c r="K152" s="467"/>
      <c r="L152" s="250"/>
      <c r="M152" s="467"/>
      <c r="N152" s="250"/>
      <c r="O152" s="1512"/>
      <c r="P152" s="1288"/>
      <c r="Q152" s="1290"/>
      <c r="R152" s="1290"/>
      <c r="S152" s="1291"/>
      <c r="T152" s="547"/>
      <c r="U152" s="547"/>
      <c r="V152" s="547"/>
      <c r="W152" s="547"/>
      <c r="X152" s="547"/>
      <c r="Y152" s="547"/>
      <c r="Z152" s="547"/>
      <c r="AA152" s="547"/>
      <c r="AB152" s="547"/>
      <c r="CQ152" s="462"/>
      <c r="CR152" s="462"/>
      <c r="CS152" s="462"/>
      <c r="CT152" s="462"/>
      <c r="CU152" s="549"/>
      <c r="CV152" s="549"/>
      <c r="CW152" s="462"/>
      <c r="CX152" s="462"/>
      <c r="CY152" s="462"/>
      <c r="CZ152" s="462"/>
      <c r="DA152" s="462"/>
      <c r="DB152" s="462"/>
      <c r="DC152" s="462"/>
      <c r="DD152" s="462"/>
      <c r="DE152" s="462"/>
      <c r="DF152" s="462"/>
      <c r="DG152" s="462"/>
      <c r="DH152" s="462"/>
      <c r="DI152" s="462"/>
      <c r="DJ152" s="462"/>
      <c r="DK152" s="462"/>
      <c r="DL152" s="462"/>
      <c r="DM152" s="462"/>
      <c r="DN152" s="462"/>
      <c r="DO152" s="462"/>
      <c r="DP152" s="462"/>
      <c r="DQ152" s="462"/>
      <c r="DR152" s="462"/>
    </row>
    <row r="153" spans="2:122" s="546" customFormat="1" x14ac:dyDescent="0.2">
      <c r="B153" s="1585" t="str">
        <f t="shared" si="120"/>
        <v>Investitionsgut 5</v>
      </c>
      <c r="C153" s="1586"/>
      <c r="D153" s="1528">
        <f t="shared" si="122"/>
        <v>0</v>
      </c>
      <c r="E153" s="1529">
        <f t="shared" si="124"/>
        <v>0</v>
      </c>
      <c r="F153" s="1529">
        <f t="shared" si="123"/>
        <v>0</v>
      </c>
      <c r="G153" s="1529">
        <f t="shared" si="121"/>
        <v>0</v>
      </c>
      <c r="H153" s="1529">
        <f>IF(G153="x",0,IF(AND(E153&gt;0,D153=0),H127,IF(D153&gt;0,D153/(12*G153),0)))</f>
        <v>0</v>
      </c>
      <c r="I153" s="1529">
        <f t="shared" si="126"/>
        <v>0</v>
      </c>
      <c r="J153" s="1509">
        <f t="shared" si="127"/>
        <v>0</v>
      </c>
      <c r="K153" s="467"/>
      <c r="L153" s="250"/>
      <c r="M153" s="467"/>
      <c r="N153" s="250"/>
      <c r="O153" s="1512"/>
      <c r="P153" s="1288"/>
      <c r="Q153" s="1290"/>
      <c r="R153" s="1290"/>
      <c r="S153" s="1291"/>
      <c r="T153" s="547"/>
      <c r="U153" s="547"/>
      <c r="V153" s="547"/>
      <c r="W153" s="547"/>
      <c r="X153" s="547"/>
      <c r="Y153" s="547"/>
      <c r="Z153" s="547"/>
      <c r="AA153" s="547"/>
      <c r="AB153" s="547"/>
      <c r="CQ153" s="462"/>
      <c r="CR153" s="462"/>
      <c r="CS153" s="462"/>
      <c r="CT153" s="462"/>
      <c r="CU153" s="549"/>
      <c r="CV153" s="549"/>
      <c r="CW153" s="462"/>
      <c r="CX153" s="462"/>
      <c r="CY153" s="462"/>
      <c r="CZ153" s="462"/>
      <c r="DA153" s="462"/>
      <c r="DB153" s="462"/>
      <c r="DC153" s="462"/>
      <c r="DD153" s="462"/>
      <c r="DE153" s="462"/>
      <c r="DF153" s="462"/>
      <c r="DG153" s="462"/>
      <c r="DH153" s="462"/>
      <c r="DI153" s="462"/>
      <c r="DJ153" s="462"/>
      <c r="DK153" s="462"/>
      <c r="DL153" s="462"/>
      <c r="DM153" s="462"/>
      <c r="DN153" s="462"/>
      <c r="DO153" s="462"/>
      <c r="DP153" s="462"/>
      <c r="DQ153" s="462"/>
      <c r="DR153" s="462"/>
    </row>
    <row r="154" spans="2:122" s="546" customFormat="1" x14ac:dyDescent="0.2">
      <c r="B154" s="1585" t="str">
        <f t="shared" si="120"/>
        <v>Investitionsgut 6</v>
      </c>
      <c r="C154" s="1586"/>
      <c r="D154" s="1528">
        <f t="shared" si="122"/>
        <v>0</v>
      </c>
      <c r="E154" s="1529">
        <f t="shared" si="124"/>
        <v>0</v>
      </c>
      <c r="F154" s="1529">
        <f t="shared" si="123"/>
        <v>0</v>
      </c>
      <c r="G154" s="1529">
        <f t="shared" si="121"/>
        <v>0</v>
      </c>
      <c r="H154" s="1529">
        <f t="shared" si="125"/>
        <v>0</v>
      </c>
      <c r="I154" s="1529">
        <f t="shared" si="126"/>
        <v>0</v>
      </c>
      <c r="J154" s="1509">
        <f t="shared" si="127"/>
        <v>0</v>
      </c>
      <c r="K154" s="467"/>
      <c r="L154" s="250"/>
      <c r="M154" s="467"/>
      <c r="N154" s="250"/>
      <c r="O154" s="1512"/>
      <c r="P154" s="1288"/>
      <c r="Q154" s="1290"/>
      <c r="R154" s="1290"/>
      <c r="S154" s="1291"/>
      <c r="T154" s="547"/>
      <c r="U154" s="547"/>
      <c r="V154" s="547"/>
      <c r="W154" s="547"/>
      <c r="X154" s="547"/>
      <c r="Y154" s="547"/>
      <c r="Z154" s="547"/>
      <c r="AA154" s="547"/>
      <c r="AB154" s="547"/>
      <c r="CQ154" s="462"/>
      <c r="CR154" s="462"/>
      <c r="CS154" s="462"/>
      <c r="CT154" s="462"/>
      <c r="CU154" s="549"/>
      <c r="CV154" s="549"/>
      <c r="CW154" s="462"/>
      <c r="CX154" s="462"/>
      <c r="CY154" s="462"/>
      <c r="CZ154" s="462"/>
      <c r="DA154" s="462"/>
      <c r="DB154" s="462"/>
      <c r="DC154" s="462"/>
      <c r="DD154" s="462"/>
      <c r="DE154" s="462"/>
      <c r="DF154" s="462"/>
      <c r="DG154" s="462"/>
      <c r="DH154" s="462"/>
      <c r="DI154" s="462"/>
      <c r="DJ154" s="462"/>
      <c r="DK154" s="462"/>
      <c r="DL154" s="462"/>
      <c r="DM154" s="462"/>
      <c r="DN154" s="462"/>
      <c r="DO154" s="462"/>
      <c r="DP154" s="462"/>
      <c r="DQ154" s="462"/>
      <c r="DR154" s="462"/>
    </row>
    <row r="155" spans="2:122" s="546" customFormat="1" x14ac:dyDescent="0.2">
      <c r="B155" s="1585" t="str">
        <f t="shared" si="120"/>
        <v>Investitionsgut 7</v>
      </c>
      <c r="C155" s="1586"/>
      <c r="D155" s="1530">
        <f t="shared" si="122"/>
        <v>0</v>
      </c>
      <c r="E155" s="1531">
        <f t="shared" si="124"/>
        <v>0</v>
      </c>
      <c r="F155" s="1531">
        <f t="shared" si="123"/>
        <v>0</v>
      </c>
      <c r="G155" s="1531">
        <f t="shared" si="121"/>
        <v>0</v>
      </c>
      <c r="H155" s="1531">
        <f t="shared" si="125"/>
        <v>0</v>
      </c>
      <c r="I155" s="1531">
        <f t="shared" si="126"/>
        <v>0</v>
      </c>
      <c r="J155" s="1510">
        <f t="shared" si="127"/>
        <v>0</v>
      </c>
      <c r="K155" s="467"/>
      <c r="L155" s="250"/>
      <c r="M155" s="467"/>
      <c r="N155" s="250"/>
      <c r="O155" s="1512"/>
      <c r="P155" s="1288"/>
      <c r="Q155" s="1290"/>
      <c r="R155" s="1290"/>
      <c r="S155" s="1291"/>
      <c r="T155" s="547"/>
      <c r="U155" s="547"/>
      <c r="V155" s="547"/>
      <c r="W155" s="547"/>
      <c r="X155" s="547"/>
      <c r="Y155" s="547"/>
      <c r="Z155" s="547"/>
      <c r="AA155" s="547"/>
      <c r="AB155" s="547"/>
      <c r="CQ155" s="462"/>
      <c r="CR155" s="462"/>
      <c r="CS155" s="462"/>
      <c r="CT155" s="462"/>
      <c r="CU155" s="549"/>
      <c r="CV155" s="549"/>
      <c r="CW155" s="462"/>
      <c r="CX155" s="462"/>
      <c r="CY155" s="462"/>
      <c r="CZ155" s="462"/>
      <c r="DA155" s="462"/>
      <c r="DB155" s="462"/>
      <c r="DC155" s="462"/>
      <c r="DD155" s="462"/>
      <c r="DE155" s="462"/>
      <c r="DF155" s="462"/>
      <c r="DG155" s="462"/>
      <c r="DH155" s="462"/>
      <c r="DI155" s="462"/>
      <c r="DJ155" s="462"/>
      <c r="DK155" s="462"/>
      <c r="DL155" s="462"/>
      <c r="DM155" s="462"/>
      <c r="DN155" s="462"/>
      <c r="DO155" s="462"/>
      <c r="DP155" s="462"/>
      <c r="DQ155" s="462"/>
      <c r="DR155" s="462"/>
    </row>
    <row r="156" spans="2:122" s="546" customFormat="1" ht="15" thickBot="1" x14ac:dyDescent="0.25">
      <c r="B156" s="1587" t="str">
        <f t="shared" si="120"/>
        <v>Sammelposten</v>
      </c>
      <c r="C156" s="1588"/>
      <c r="D156" s="1532">
        <f>N27</f>
        <v>0</v>
      </c>
      <c r="E156" s="1534">
        <f ca="1">F156</f>
        <v>37</v>
      </c>
      <c r="F156" s="1534">
        <f ca="1">L13+($B$160-$B$82)*12</f>
        <v>37</v>
      </c>
      <c r="G156" s="1535">
        <v>5</v>
      </c>
      <c r="H156" s="1533">
        <f>D156/60</f>
        <v>0</v>
      </c>
      <c r="I156" s="1535" t="str">
        <f>IF(D156&gt;0,F156+G156*12-1,"")</f>
        <v/>
      </c>
      <c r="J156" s="1523"/>
      <c r="K156" s="467"/>
      <c r="L156" s="250"/>
      <c r="M156" s="467"/>
      <c r="N156" s="250"/>
      <c r="O156" s="1512"/>
      <c r="P156" s="1288"/>
      <c r="Q156" s="1290"/>
      <c r="R156" s="1290"/>
      <c r="S156" s="1291"/>
      <c r="T156" s="547"/>
      <c r="U156" s="547"/>
      <c r="V156" s="547"/>
      <c r="W156" s="547"/>
      <c r="X156" s="547"/>
      <c r="Y156" s="547"/>
      <c r="Z156" s="547"/>
      <c r="AA156" s="547"/>
      <c r="AB156" s="547"/>
      <c r="CQ156" s="462"/>
      <c r="CR156" s="462"/>
      <c r="CS156" s="462"/>
      <c r="CT156" s="462"/>
      <c r="CU156" s="549"/>
      <c r="CV156" s="549"/>
      <c r="CW156" s="462"/>
      <c r="CX156" s="462"/>
      <c r="CY156" s="462"/>
      <c r="CZ156" s="462"/>
      <c r="DA156" s="462"/>
      <c r="DB156" s="462"/>
      <c r="DC156" s="462"/>
      <c r="DD156" s="462"/>
      <c r="DE156" s="462"/>
      <c r="DF156" s="462"/>
      <c r="DG156" s="462"/>
      <c r="DH156" s="462"/>
      <c r="DI156" s="462"/>
      <c r="DJ156" s="462"/>
      <c r="DK156" s="462"/>
      <c r="DL156" s="462"/>
      <c r="DM156" s="462"/>
      <c r="DN156" s="462"/>
      <c r="DO156" s="462"/>
      <c r="DP156" s="462"/>
      <c r="DQ156" s="462"/>
      <c r="DR156" s="462"/>
    </row>
    <row r="157" spans="2:122" s="546" customFormat="1" ht="15.75" thickTop="1" thickBot="1" x14ac:dyDescent="0.25">
      <c r="B157" s="1511" t="str">
        <f t="shared" si="120"/>
        <v>Summe Anschaffungen</v>
      </c>
      <c r="C157" s="1524"/>
      <c r="D157" s="1525">
        <f>SUM(D149:D156)-J157</f>
        <v>0</v>
      </c>
      <c r="E157" s="219"/>
      <c r="F157" s="219"/>
      <c r="G157" s="219"/>
      <c r="H157" s="1525">
        <f>SUM(H149:H156)</f>
        <v>0</v>
      </c>
      <c r="I157" s="219"/>
      <c r="J157" s="1525">
        <f>SUM(J149:J156)</f>
        <v>0</v>
      </c>
      <c r="K157" s="467"/>
      <c r="L157" s="250"/>
      <c r="M157" s="467"/>
      <c r="N157" s="250"/>
      <c r="O157" s="1512"/>
      <c r="P157" s="1288"/>
      <c r="Q157" s="1290"/>
      <c r="R157" s="1290"/>
      <c r="S157" s="1291"/>
      <c r="T157" s="547"/>
      <c r="U157" s="547"/>
      <c r="V157" s="547"/>
      <c r="W157" s="547"/>
      <c r="X157" s="547"/>
      <c r="Y157" s="547"/>
      <c r="Z157" s="547"/>
      <c r="AA157" s="547"/>
      <c r="AB157" s="547"/>
      <c r="CQ157" s="462"/>
      <c r="CR157" s="462"/>
      <c r="CS157" s="462"/>
      <c r="CT157" s="462"/>
      <c r="CU157" s="549"/>
      <c r="CV157" s="549"/>
      <c r="CW157" s="462"/>
      <c r="CX157" s="462"/>
      <c r="CY157" s="462"/>
      <c r="CZ157" s="462"/>
      <c r="DA157" s="462"/>
      <c r="DB157" s="462"/>
      <c r="DC157" s="462"/>
      <c r="DD157" s="462"/>
      <c r="DE157" s="462"/>
      <c r="DF157" s="462"/>
      <c r="DG157" s="462"/>
      <c r="DH157" s="462"/>
      <c r="DI157" s="462"/>
      <c r="DJ157" s="462"/>
      <c r="DK157" s="462"/>
      <c r="DL157" s="462"/>
      <c r="DM157" s="462"/>
      <c r="DN157" s="462"/>
      <c r="DO157" s="462"/>
      <c r="DP157" s="462"/>
      <c r="DQ157" s="462"/>
      <c r="DR157" s="462"/>
    </row>
    <row r="158" spans="2:122" s="546" customFormat="1" ht="15" thickBot="1" x14ac:dyDescent="0.25">
      <c r="B158" s="219"/>
      <c r="C158" s="250"/>
      <c r="D158" s="219"/>
      <c r="E158" s="456"/>
      <c r="F158" s="219"/>
      <c r="G158" s="456"/>
      <c r="H158" s="219"/>
      <c r="I158" s="456"/>
      <c r="J158" s="219"/>
      <c r="K158" s="467"/>
      <c r="L158" s="250"/>
      <c r="M158" s="467"/>
      <c r="N158" s="250"/>
      <c r="O158" s="1512"/>
      <c r="P158" s="1288"/>
      <c r="Q158" s="1290"/>
      <c r="R158" s="1290"/>
      <c r="S158" s="1291"/>
      <c r="T158" s="547"/>
      <c r="U158" s="547"/>
      <c r="V158" s="547"/>
      <c r="W158" s="547"/>
      <c r="X158" s="547"/>
      <c r="Y158" s="547"/>
      <c r="Z158" s="547"/>
      <c r="AA158" s="547"/>
      <c r="AB158" s="547"/>
      <c r="CQ158" s="462"/>
      <c r="CR158" s="462"/>
      <c r="CS158" s="462"/>
      <c r="CT158" s="462"/>
      <c r="CU158" s="549"/>
      <c r="CV158" s="549"/>
      <c r="CW158" s="462"/>
      <c r="CX158" s="462"/>
      <c r="CY158" s="462"/>
      <c r="CZ158" s="462"/>
      <c r="DA158" s="462"/>
      <c r="DB158" s="462"/>
      <c r="DC158" s="462"/>
      <c r="DD158" s="462"/>
      <c r="DE158" s="462"/>
      <c r="DF158" s="462"/>
      <c r="DG158" s="462"/>
      <c r="DH158" s="462"/>
      <c r="DI158" s="462"/>
      <c r="DJ158" s="462"/>
      <c r="DK158" s="462"/>
      <c r="DL158" s="462"/>
      <c r="DM158" s="462"/>
      <c r="DN158" s="462"/>
      <c r="DO158" s="462"/>
      <c r="DP158" s="462"/>
      <c r="DQ158" s="462"/>
      <c r="DR158" s="462"/>
    </row>
    <row r="159" spans="2:122" s="546" customFormat="1" ht="14.45" customHeight="1" thickBot="1" x14ac:dyDescent="0.25">
      <c r="B159" s="1583" t="str">
        <f>B133</f>
        <v>laufender Monat</v>
      </c>
      <c r="C159" s="1584"/>
      <c r="D159" s="1498">
        <f ca="1">1+($B$160-$B$82)*12</f>
        <v>37</v>
      </c>
      <c r="E159" s="1499">
        <f ca="1">D159+1</f>
        <v>38</v>
      </c>
      <c r="F159" s="1499">
        <f t="shared" ref="F159:O159" ca="1" si="128">E159+1</f>
        <v>39</v>
      </c>
      <c r="G159" s="1499">
        <f t="shared" ca="1" si="128"/>
        <v>40</v>
      </c>
      <c r="H159" s="1499">
        <f t="shared" ca="1" si="128"/>
        <v>41</v>
      </c>
      <c r="I159" s="1499">
        <f t="shared" ca="1" si="128"/>
        <v>42</v>
      </c>
      <c r="J159" s="1499">
        <f t="shared" ca="1" si="128"/>
        <v>43</v>
      </c>
      <c r="K159" s="1499">
        <f t="shared" ca="1" si="128"/>
        <v>44</v>
      </c>
      <c r="L159" s="1499">
        <f t="shared" ca="1" si="128"/>
        <v>45</v>
      </c>
      <c r="M159" s="1499">
        <f t="shared" ca="1" si="128"/>
        <v>46</v>
      </c>
      <c r="N159" s="1499">
        <f t="shared" ca="1" si="128"/>
        <v>47</v>
      </c>
      <c r="O159" s="1499">
        <f t="shared" ca="1" si="128"/>
        <v>48</v>
      </c>
      <c r="P159" s="1500"/>
      <c r="Q159" s="1290"/>
      <c r="R159" s="1290"/>
      <c r="S159" s="1291"/>
      <c r="T159" s="547"/>
      <c r="U159" s="547"/>
      <c r="V159" s="547"/>
      <c r="W159" s="547"/>
      <c r="X159" s="547"/>
      <c r="Y159" s="547"/>
      <c r="Z159" s="547"/>
      <c r="AA159" s="547"/>
      <c r="AB159" s="547"/>
      <c r="CQ159" s="462"/>
      <c r="CR159" s="462"/>
      <c r="CS159" s="462"/>
      <c r="CT159" s="462"/>
      <c r="CU159" s="549"/>
      <c r="CV159" s="549"/>
      <c r="CW159" s="462"/>
      <c r="CX159" s="462"/>
      <c r="CY159" s="462"/>
      <c r="CZ159" s="462"/>
      <c r="DA159" s="462"/>
      <c r="DB159" s="462"/>
      <c r="DC159" s="462"/>
      <c r="DD159" s="462"/>
      <c r="DE159" s="462"/>
      <c r="DF159" s="462"/>
      <c r="DG159" s="462"/>
      <c r="DH159" s="462"/>
      <c r="DI159" s="462"/>
      <c r="DJ159" s="462"/>
      <c r="DK159" s="462"/>
      <c r="DL159" s="462"/>
      <c r="DM159" s="462"/>
      <c r="DN159" s="462"/>
      <c r="DO159" s="462"/>
      <c r="DP159" s="462"/>
      <c r="DQ159" s="462"/>
      <c r="DR159" s="462"/>
    </row>
    <row r="160" spans="2:122" s="546" customFormat="1" ht="15" thickBot="1" x14ac:dyDescent="0.25">
      <c r="B160" s="1583">
        <f ca="1">'1 Pers.Ausgaben|Pers Expenses'!C4+3</f>
        <v>2020</v>
      </c>
      <c r="C160" s="1584"/>
      <c r="D160" s="56" t="s">
        <v>1</v>
      </c>
      <c r="E160" s="51" t="s">
        <v>2</v>
      </c>
      <c r="F160" s="51" t="s">
        <v>3</v>
      </c>
      <c r="G160" s="51" t="s">
        <v>4</v>
      </c>
      <c r="H160" s="51" t="s">
        <v>5</v>
      </c>
      <c r="I160" s="51" t="s">
        <v>6</v>
      </c>
      <c r="J160" s="51" t="s">
        <v>7</v>
      </c>
      <c r="K160" s="51" t="s">
        <v>8</v>
      </c>
      <c r="L160" s="51" t="s">
        <v>9</v>
      </c>
      <c r="M160" s="51" t="s">
        <v>10</v>
      </c>
      <c r="N160" s="51" t="s">
        <v>11</v>
      </c>
      <c r="O160" s="51" t="s">
        <v>12</v>
      </c>
      <c r="P160" s="52" t="s">
        <v>747</v>
      </c>
      <c r="Q160" s="1290"/>
      <c r="R160" s="1290"/>
      <c r="S160" s="1291"/>
      <c r="T160" s="547"/>
      <c r="U160" s="547"/>
      <c r="V160" s="547"/>
      <c r="W160" s="547"/>
      <c r="X160" s="547"/>
      <c r="Y160" s="547"/>
      <c r="Z160" s="547"/>
      <c r="AA160" s="547"/>
      <c r="AB160" s="547"/>
      <c r="CQ160" s="462"/>
      <c r="CR160" s="462"/>
      <c r="CS160" s="462"/>
      <c r="CT160" s="462"/>
      <c r="CU160" s="549"/>
      <c r="CV160" s="549"/>
      <c r="CW160" s="462"/>
      <c r="CX160" s="462"/>
      <c r="CY160" s="462"/>
      <c r="CZ160" s="462"/>
      <c r="DA160" s="462"/>
      <c r="DB160" s="462"/>
      <c r="DC160" s="462"/>
      <c r="DD160" s="462"/>
      <c r="DE160" s="462"/>
      <c r="DF160" s="462"/>
      <c r="DG160" s="462"/>
      <c r="DH160" s="462"/>
      <c r="DI160" s="462"/>
      <c r="DJ160" s="462"/>
      <c r="DK160" s="462"/>
      <c r="DL160" s="462"/>
      <c r="DM160" s="462"/>
      <c r="DN160" s="462"/>
      <c r="DO160" s="462"/>
      <c r="DP160" s="462"/>
      <c r="DQ160" s="462"/>
      <c r="DR160" s="462"/>
    </row>
    <row r="161" spans="1:122" s="546" customFormat="1" x14ac:dyDescent="0.2">
      <c r="B161" s="1577" t="str">
        <f>B149</f>
        <v>Investitionsgut 1</v>
      </c>
      <c r="C161" s="1578"/>
      <c r="D161" s="1503">
        <f ca="1">IF($G149="x",0,IF(OR(D$159&lt;$E149,D$159&gt;$I149),0,$H149))</f>
        <v>0</v>
      </c>
      <c r="E161" s="1503">
        <f t="shared" ref="E161:O161" ca="1" si="129">IF($G149="x",0,IF(OR(E$159&lt;$E149,E$159&gt;$I149),0,$H149))</f>
        <v>0</v>
      </c>
      <c r="F161" s="1503">
        <f t="shared" ca="1" si="129"/>
        <v>0</v>
      </c>
      <c r="G161" s="1503">
        <f t="shared" ca="1" si="129"/>
        <v>0</v>
      </c>
      <c r="H161" s="1503">
        <f t="shared" ca="1" si="129"/>
        <v>0</v>
      </c>
      <c r="I161" s="1503">
        <f t="shared" ca="1" si="129"/>
        <v>0</v>
      </c>
      <c r="J161" s="1503">
        <f t="shared" ca="1" si="129"/>
        <v>0</v>
      </c>
      <c r="K161" s="1503">
        <f t="shared" ca="1" si="129"/>
        <v>0</v>
      </c>
      <c r="L161" s="1503">
        <f t="shared" ca="1" si="129"/>
        <v>0</v>
      </c>
      <c r="M161" s="1503">
        <f t="shared" ca="1" si="129"/>
        <v>0</v>
      </c>
      <c r="N161" s="1503">
        <f t="shared" ca="1" si="129"/>
        <v>0</v>
      </c>
      <c r="O161" s="1503">
        <f t="shared" ca="1" si="129"/>
        <v>0</v>
      </c>
      <c r="P161" s="1502">
        <f ca="1">SUM(D161:O161)</f>
        <v>0</v>
      </c>
      <c r="Q161" s="1290"/>
      <c r="R161" s="1290"/>
      <c r="S161" s="1291"/>
      <c r="T161" s="547"/>
      <c r="U161" s="547"/>
      <c r="V161" s="547"/>
      <c r="W161" s="547"/>
      <c r="X161" s="547"/>
      <c r="Y161" s="547"/>
      <c r="Z161" s="547"/>
      <c r="AA161" s="547"/>
      <c r="AB161" s="547"/>
      <c r="CQ161" s="462"/>
      <c r="CR161" s="462"/>
      <c r="CS161" s="462"/>
      <c r="CT161" s="462"/>
      <c r="CU161" s="549"/>
      <c r="CV161" s="549"/>
      <c r="CW161" s="462"/>
      <c r="CX161" s="462"/>
      <c r="CY161" s="462"/>
      <c r="CZ161" s="462"/>
      <c r="DA161" s="462"/>
      <c r="DB161" s="462"/>
      <c r="DC161" s="462"/>
      <c r="DD161" s="462"/>
      <c r="DE161" s="462"/>
      <c r="DF161" s="462"/>
      <c r="DG161" s="462"/>
      <c r="DH161" s="462"/>
      <c r="DI161" s="462"/>
      <c r="DJ161" s="462"/>
      <c r="DK161" s="462"/>
      <c r="DL161" s="462"/>
      <c r="DM161" s="462"/>
      <c r="DN161" s="462"/>
      <c r="DO161" s="462"/>
      <c r="DP161" s="462"/>
      <c r="DQ161" s="462"/>
      <c r="DR161" s="462"/>
    </row>
    <row r="162" spans="1:122" s="546" customFormat="1" x14ac:dyDescent="0.2">
      <c r="B162" s="1577" t="str">
        <f t="shared" ref="B162:B167" si="130">B150</f>
        <v>Investitionsgut 2</v>
      </c>
      <c r="C162" s="1578"/>
      <c r="D162" s="1503">
        <f t="shared" ref="D162:O162" ca="1" si="131">IF($G150="x",0,IF(OR(D$159&lt;$E150,D$159&gt;$I150),0,$H150))</f>
        <v>0</v>
      </c>
      <c r="E162" s="1503">
        <f t="shared" ca="1" si="131"/>
        <v>0</v>
      </c>
      <c r="F162" s="1503">
        <f t="shared" ca="1" si="131"/>
        <v>0</v>
      </c>
      <c r="G162" s="1503">
        <f t="shared" ca="1" si="131"/>
        <v>0</v>
      </c>
      <c r="H162" s="1503">
        <f t="shared" ca="1" si="131"/>
        <v>0</v>
      </c>
      <c r="I162" s="1503">
        <f t="shared" ca="1" si="131"/>
        <v>0</v>
      </c>
      <c r="J162" s="1503">
        <f t="shared" ca="1" si="131"/>
        <v>0</v>
      </c>
      <c r="K162" s="1503">
        <f t="shared" ca="1" si="131"/>
        <v>0</v>
      </c>
      <c r="L162" s="1503">
        <f t="shared" ca="1" si="131"/>
        <v>0</v>
      </c>
      <c r="M162" s="1503">
        <f t="shared" ca="1" si="131"/>
        <v>0</v>
      </c>
      <c r="N162" s="1503">
        <f t="shared" ca="1" si="131"/>
        <v>0</v>
      </c>
      <c r="O162" s="1503">
        <f t="shared" ca="1" si="131"/>
        <v>0</v>
      </c>
      <c r="P162" s="1504">
        <f t="shared" ref="P162:P167" ca="1" si="132">SUM(D162:O162)</f>
        <v>0</v>
      </c>
      <c r="Q162" s="1290"/>
      <c r="R162" s="1290"/>
      <c r="S162" s="1291"/>
      <c r="T162" s="547"/>
      <c r="U162" s="547"/>
      <c r="V162" s="547"/>
      <c r="W162" s="547"/>
      <c r="X162" s="547"/>
      <c r="Y162" s="547"/>
      <c r="Z162" s="547"/>
      <c r="AA162" s="547"/>
      <c r="AB162" s="547"/>
      <c r="CQ162" s="462"/>
      <c r="CR162" s="462"/>
      <c r="CS162" s="462"/>
      <c r="CT162" s="462"/>
      <c r="CU162" s="549"/>
      <c r="CV162" s="549"/>
      <c r="CW162" s="462"/>
      <c r="CX162" s="462"/>
      <c r="CY162" s="462"/>
      <c r="CZ162" s="462"/>
      <c r="DA162" s="462"/>
      <c r="DB162" s="462"/>
      <c r="DC162" s="462"/>
      <c r="DD162" s="462"/>
      <c r="DE162" s="462"/>
      <c r="DF162" s="462"/>
      <c r="DG162" s="462"/>
      <c r="DH162" s="462"/>
      <c r="DI162" s="462"/>
      <c r="DJ162" s="462"/>
      <c r="DK162" s="462"/>
      <c r="DL162" s="462"/>
      <c r="DM162" s="462"/>
      <c r="DN162" s="462"/>
      <c r="DO162" s="462"/>
      <c r="DP162" s="462"/>
      <c r="DQ162" s="462"/>
      <c r="DR162" s="462"/>
    </row>
    <row r="163" spans="1:122" s="546" customFormat="1" x14ac:dyDescent="0.2">
      <c r="B163" s="1577" t="str">
        <f t="shared" si="130"/>
        <v>Investitionsgut 3</v>
      </c>
      <c r="C163" s="1578"/>
      <c r="D163" s="1503">
        <f t="shared" ref="D163:O163" ca="1" si="133">IF($G151="x",0,IF(OR(D$159&lt;$E151,D$159&gt;$I151),0,$H151))</f>
        <v>0</v>
      </c>
      <c r="E163" s="1503">
        <f t="shared" ca="1" si="133"/>
        <v>0</v>
      </c>
      <c r="F163" s="1503">
        <f t="shared" ca="1" si="133"/>
        <v>0</v>
      </c>
      <c r="G163" s="1503">
        <f t="shared" ca="1" si="133"/>
        <v>0</v>
      </c>
      <c r="H163" s="1503">
        <f t="shared" ca="1" si="133"/>
        <v>0</v>
      </c>
      <c r="I163" s="1503">
        <f t="shared" ca="1" si="133"/>
        <v>0</v>
      </c>
      <c r="J163" s="1503">
        <f t="shared" ca="1" si="133"/>
        <v>0</v>
      </c>
      <c r="K163" s="1503">
        <f t="shared" ca="1" si="133"/>
        <v>0</v>
      </c>
      <c r="L163" s="1503">
        <f t="shared" ca="1" si="133"/>
        <v>0</v>
      </c>
      <c r="M163" s="1503">
        <f t="shared" ca="1" si="133"/>
        <v>0</v>
      </c>
      <c r="N163" s="1503">
        <f t="shared" ca="1" si="133"/>
        <v>0</v>
      </c>
      <c r="O163" s="1503">
        <f t="shared" ca="1" si="133"/>
        <v>0</v>
      </c>
      <c r="P163" s="1504">
        <f t="shared" ca="1" si="132"/>
        <v>0</v>
      </c>
      <c r="Q163" s="1290"/>
      <c r="R163" s="1290"/>
      <c r="S163" s="1291"/>
      <c r="T163" s="547"/>
      <c r="U163" s="547"/>
      <c r="V163" s="547"/>
      <c r="W163" s="547"/>
      <c r="X163" s="547"/>
      <c r="Y163" s="547"/>
      <c r="Z163" s="547"/>
      <c r="AA163" s="547"/>
      <c r="AB163" s="547"/>
      <c r="CQ163" s="462"/>
      <c r="CR163" s="462"/>
      <c r="CS163" s="462"/>
      <c r="CT163" s="462"/>
      <c r="CU163" s="549"/>
      <c r="CV163" s="549"/>
      <c r="CW163" s="462"/>
      <c r="CX163" s="462"/>
      <c r="CY163" s="462"/>
      <c r="CZ163" s="462"/>
      <c r="DA163" s="462"/>
      <c r="DB163" s="462"/>
      <c r="DC163" s="462"/>
      <c r="DD163" s="462"/>
      <c r="DE163" s="462"/>
      <c r="DF163" s="462"/>
      <c r="DG163" s="462"/>
      <c r="DH163" s="462"/>
      <c r="DI163" s="462"/>
      <c r="DJ163" s="462"/>
      <c r="DK163" s="462"/>
      <c r="DL163" s="462"/>
      <c r="DM163" s="462"/>
      <c r="DN163" s="462"/>
      <c r="DO163" s="462"/>
      <c r="DP163" s="462"/>
      <c r="DQ163" s="462"/>
      <c r="DR163" s="462"/>
    </row>
    <row r="164" spans="1:122" s="546" customFormat="1" x14ac:dyDescent="0.2">
      <c r="B164" s="1577" t="str">
        <f t="shared" si="130"/>
        <v>Investitionsgut 4</v>
      </c>
      <c r="C164" s="1578"/>
      <c r="D164" s="1503">
        <f t="shared" ref="D164:O164" ca="1" si="134">IF($G152="x",0,IF(OR(D$159&lt;$E152,D$159&gt;$I152),0,$H152))</f>
        <v>0</v>
      </c>
      <c r="E164" s="1503">
        <f t="shared" ca="1" si="134"/>
        <v>0</v>
      </c>
      <c r="F164" s="1503">
        <f t="shared" ca="1" si="134"/>
        <v>0</v>
      </c>
      <c r="G164" s="1503">
        <f t="shared" ca="1" si="134"/>
        <v>0</v>
      </c>
      <c r="H164" s="1503">
        <f t="shared" ca="1" si="134"/>
        <v>0</v>
      </c>
      <c r="I164" s="1503">
        <f t="shared" ca="1" si="134"/>
        <v>0</v>
      </c>
      <c r="J164" s="1503">
        <f t="shared" ca="1" si="134"/>
        <v>0</v>
      </c>
      <c r="K164" s="1503">
        <f t="shared" ca="1" si="134"/>
        <v>0</v>
      </c>
      <c r="L164" s="1503">
        <f t="shared" ca="1" si="134"/>
        <v>0</v>
      </c>
      <c r="M164" s="1503">
        <f t="shared" ca="1" si="134"/>
        <v>0</v>
      </c>
      <c r="N164" s="1503">
        <f t="shared" ca="1" si="134"/>
        <v>0</v>
      </c>
      <c r="O164" s="1503">
        <f t="shared" ca="1" si="134"/>
        <v>0</v>
      </c>
      <c r="P164" s="1504">
        <f t="shared" ca="1" si="132"/>
        <v>0</v>
      </c>
      <c r="Q164" s="1290"/>
      <c r="R164" s="1290"/>
      <c r="S164" s="1291"/>
      <c r="T164" s="547"/>
      <c r="U164" s="547"/>
      <c r="V164" s="547"/>
      <c r="W164" s="547"/>
      <c r="X164" s="547"/>
      <c r="Y164" s="547"/>
      <c r="Z164" s="547"/>
      <c r="AA164" s="547"/>
      <c r="AB164" s="547"/>
      <c r="CQ164" s="462"/>
      <c r="CR164" s="462"/>
      <c r="CS164" s="462"/>
      <c r="CT164" s="462"/>
      <c r="CU164" s="549"/>
      <c r="CV164" s="549"/>
      <c r="CW164" s="462"/>
      <c r="CX164" s="462"/>
      <c r="CY164" s="462"/>
      <c r="CZ164" s="462"/>
      <c r="DA164" s="462"/>
      <c r="DB164" s="462"/>
      <c r="DC164" s="462"/>
      <c r="DD164" s="462"/>
      <c r="DE164" s="462"/>
      <c r="DF164" s="462"/>
      <c r="DG164" s="462"/>
      <c r="DH164" s="462"/>
      <c r="DI164" s="462"/>
      <c r="DJ164" s="462"/>
      <c r="DK164" s="462"/>
      <c r="DL164" s="462"/>
      <c r="DM164" s="462"/>
      <c r="DN164" s="462"/>
      <c r="DO164" s="462"/>
      <c r="DP164" s="462"/>
      <c r="DQ164" s="462"/>
      <c r="DR164" s="462"/>
    </row>
    <row r="165" spans="1:122" s="546" customFormat="1" x14ac:dyDescent="0.2">
      <c r="B165" s="1577" t="str">
        <f t="shared" si="130"/>
        <v>Investitionsgut 5</v>
      </c>
      <c r="C165" s="1578"/>
      <c r="D165" s="1503">
        <f t="shared" ref="D165:O165" ca="1" si="135">IF($G153="x",0,IF(OR(D$159&lt;$E153,D$159&gt;$I153),0,$H153))</f>
        <v>0</v>
      </c>
      <c r="E165" s="1503">
        <f t="shared" ca="1" si="135"/>
        <v>0</v>
      </c>
      <c r="F165" s="1503">
        <f t="shared" ca="1" si="135"/>
        <v>0</v>
      </c>
      <c r="G165" s="1503">
        <f t="shared" ca="1" si="135"/>
        <v>0</v>
      </c>
      <c r="H165" s="1503">
        <f t="shared" ca="1" si="135"/>
        <v>0</v>
      </c>
      <c r="I165" s="1503">
        <f t="shared" ca="1" si="135"/>
        <v>0</v>
      </c>
      <c r="J165" s="1503">
        <f t="shared" ca="1" si="135"/>
        <v>0</v>
      </c>
      <c r="K165" s="1503">
        <f t="shared" ca="1" si="135"/>
        <v>0</v>
      </c>
      <c r="L165" s="1503">
        <f t="shared" ca="1" si="135"/>
        <v>0</v>
      </c>
      <c r="M165" s="1503">
        <f t="shared" ca="1" si="135"/>
        <v>0</v>
      </c>
      <c r="N165" s="1503">
        <f t="shared" ca="1" si="135"/>
        <v>0</v>
      </c>
      <c r="O165" s="1503">
        <f t="shared" ca="1" si="135"/>
        <v>0</v>
      </c>
      <c r="P165" s="1504">
        <f t="shared" ca="1" si="132"/>
        <v>0</v>
      </c>
      <c r="Q165" s="1290"/>
      <c r="R165" s="1290"/>
      <c r="S165" s="1291"/>
      <c r="T165" s="547"/>
      <c r="U165" s="547"/>
      <c r="V165" s="547"/>
      <c r="W165" s="547"/>
      <c r="X165" s="547"/>
      <c r="Y165" s="547"/>
      <c r="Z165" s="547"/>
      <c r="AA165" s="547"/>
      <c r="AB165" s="547"/>
      <c r="CQ165" s="462"/>
      <c r="CR165" s="462"/>
      <c r="CS165" s="462"/>
      <c r="CT165" s="462"/>
      <c r="CU165" s="549"/>
      <c r="CV165" s="549"/>
      <c r="CW165" s="462"/>
      <c r="CX165" s="462"/>
      <c r="CY165" s="462"/>
      <c r="CZ165" s="462"/>
      <c r="DA165" s="462"/>
      <c r="DB165" s="462"/>
      <c r="DC165" s="462"/>
      <c r="DD165" s="462"/>
      <c r="DE165" s="462"/>
      <c r="DF165" s="462"/>
      <c r="DG165" s="462"/>
      <c r="DH165" s="462"/>
      <c r="DI165" s="462"/>
      <c r="DJ165" s="462"/>
      <c r="DK165" s="462"/>
      <c r="DL165" s="462"/>
      <c r="DM165" s="462"/>
      <c r="DN165" s="462"/>
      <c r="DO165" s="462"/>
      <c r="DP165" s="462"/>
      <c r="DQ165" s="462"/>
      <c r="DR165" s="462"/>
    </row>
    <row r="166" spans="1:122" s="546" customFormat="1" x14ac:dyDescent="0.2">
      <c r="B166" s="1577" t="str">
        <f t="shared" si="130"/>
        <v>Investitionsgut 6</v>
      </c>
      <c r="C166" s="1578"/>
      <c r="D166" s="1503">
        <f t="shared" ref="D166:O166" ca="1" si="136">IF($G154="x",0,IF(OR(D$159&lt;$E154,D$159&gt;$I154),0,$H154))</f>
        <v>0</v>
      </c>
      <c r="E166" s="1503">
        <f t="shared" ca="1" si="136"/>
        <v>0</v>
      </c>
      <c r="F166" s="1503">
        <f t="shared" ca="1" si="136"/>
        <v>0</v>
      </c>
      <c r="G166" s="1503">
        <f t="shared" ca="1" si="136"/>
        <v>0</v>
      </c>
      <c r="H166" s="1503">
        <f t="shared" ca="1" si="136"/>
        <v>0</v>
      </c>
      <c r="I166" s="1503">
        <f t="shared" ca="1" si="136"/>
        <v>0</v>
      </c>
      <c r="J166" s="1503">
        <f t="shared" ca="1" si="136"/>
        <v>0</v>
      </c>
      <c r="K166" s="1503">
        <f t="shared" ca="1" si="136"/>
        <v>0</v>
      </c>
      <c r="L166" s="1503">
        <f t="shared" ca="1" si="136"/>
        <v>0</v>
      </c>
      <c r="M166" s="1503">
        <f t="shared" ca="1" si="136"/>
        <v>0</v>
      </c>
      <c r="N166" s="1503">
        <f t="shared" ca="1" si="136"/>
        <v>0</v>
      </c>
      <c r="O166" s="1503">
        <f t="shared" ca="1" si="136"/>
        <v>0</v>
      </c>
      <c r="P166" s="1504">
        <f t="shared" ca="1" si="132"/>
        <v>0</v>
      </c>
      <c r="Q166" s="1290"/>
      <c r="R166" s="1290"/>
      <c r="S166" s="1291"/>
      <c r="T166" s="547"/>
      <c r="U166" s="547"/>
      <c r="V166" s="547"/>
      <c r="W166" s="547"/>
      <c r="X166" s="547"/>
      <c r="Y166" s="547"/>
      <c r="Z166" s="547"/>
      <c r="AA166" s="547"/>
      <c r="AB166" s="547"/>
      <c r="CQ166" s="462"/>
      <c r="CR166" s="462"/>
      <c r="CS166" s="462"/>
      <c r="CT166" s="462"/>
      <c r="CU166" s="549"/>
      <c r="CV166" s="549"/>
      <c r="CW166" s="462"/>
      <c r="CX166" s="462"/>
      <c r="CY166" s="462"/>
      <c r="CZ166" s="462"/>
      <c r="DA166" s="462"/>
      <c r="DB166" s="462"/>
      <c r="DC166" s="462"/>
      <c r="DD166" s="462"/>
      <c r="DE166" s="462"/>
      <c r="DF166" s="462"/>
      <c r="DG166" s="462"/>
      <c r="DH166" s="462"/>
      <c r="DI166" s="462"/>
      <c r="DJ166" s="462"/>
      <c r="DK166" s="462"/>
      <c r="DL166" s="462"/>
      <c r="DM166" s="462"/>
      <c r="DN166" s="462"/>
      <c r="DO166" s="462"/>
      <c r="DP166" s="462"/>
      <c r="DQ166" s="462"/>
      <c r="DR166" s="462"/>
    </row>
    <row r="167" spans="1:122" s="546" customFormat="1" x14ac:dyDescent="0.2">
      <c r="B167" s="1579" t="str">
        <f t="shared" si="130"/>
        <v>Investitionsgut 7</v>
      </c>
      <c r="C167" s="1580"/>
      <c r="D167" s="1503">
        <f t="shared" ref="D167:O167" ca="1" si="137">IF($G155="x",0,IF(OR(D$159&lt;$E155,D$159&gt;$I155),0,$H155))</f>
        <v>0</v>
      </c>
      <c r="E167" s="1503">
        <f t="shared" ca="1" si="137"/>
        <v>0</v>
      </c>
      <c r="F167" s="1503">
        <f t="shared" ca="1" si="137"/>
        <v>0</v>
      </c>
      <c r="G167" s="1503">
        <f t="shared" ca="1" si="137"/>
        <v>0</v>
      </c>
      <c r="H167" s="1503">
        <f t="shared" ca="1" si="137"/>
        <v>0</v>
      </c>
      <c r="I167" s="1503">
        <f t="shared" ca="1" si="137"/>
        <v>0</v>
      </c>
      <c r="J167" s="1503">
        <f t="shared" ca="1" si="137"/>
        <v>0</v>
      </c>
      <c r="K167" s="1503">
        <f t="shared" ca="1" si="137"/>
        <v>0</v>
      </c>
      <c r="L167" s="1503">
        <f t="shared" ca="1" si="137"/>
        <v>0</v>
      </c>
      <c r="M167" s="1503">
        <f t="shared" ca="1" si="137"/>
        <v>0</v>
      </c>
      <c r="N167" s="1503">
        <f t="shared" ca="1" si="137"/>
        <v>0</v>
      </c>
      <c r="O167" s="1503">
        <f t="shared" ca="1" si="137"/>
        <v>0</v>
      </c>
      <c r="P167" s="1513">
        <f t="shared" ca="1" si="132"/>
        <v>0</v>
      </c>
      <c r="Q167" s="1290"/>
      <c r="R167" s="1290"/>
      <c r="S167" s="1291"/>
      <c r="T167" s="547"/>
      <c r="U167" s="547"/>
      <c r="V167" s="547"/>
      <c r="W167" s="547"/>
      <c r="X167" s="547"/>
      <c r="Y167" s="547"/>
      <c r="Z167" s="547"/>
      <c r="AA167" s="547"/>
      <c r="AB167" s="547"/>
      <c r="CQ167" s="462"/>
      <c r="CR167" s="462"/>
      <c r="CS167" s="462"/>
      <c r="CT167" s="462"/>
      <c r="CU167" s="549"/>
      <c r="CV167" s="549"/>
      <c r="CW167" s="462"/>
      <c r="CX167" s="462"/>
      <c r="CY167" s="462"/>
      <c r="CZ167" s="462"/>
      <c r="DA167" s="462"/>
      <c r="DB167" s="462"/>
      <c r="DC167" s="462"/>
      <c r="DD167" s="462"/>
      <c r="DE167" s="462"/>
      <c r="DF167" s="462"/>
      <c r="DG167" s="462"/>
      <c r="DH167" s="462"/>
      <c r="DI167" s="462"/>
      <c r="DJ167" s="462"/>
      <c r="DK167" s="462"/>
      <c r="DL167" s="462"/>
      <c r="DM167" s="462"/>
      <c r="DN167" s="462"/>
      <c r="DO167" s="462"/>
      <c r="DP167" s="462"/>
      <c r="DQ167" s="462"/>
      <c r="DR167" s="462"/>
    </row>
    <row r="168" spans="1:122" s="546" customFormat="1" x14ac:dyDescent="0.2">
      <c r="B168" s="1581" t="str">
        <f>B142</f>
        <v>Sammelposten</v>
      </c>
      <c r="C168" s="1582"/>
      <c r="D168" s="1516">
        <f ca="1">IF($F156&lt;=D$159,$H156,"")</f>
        <v>0</v>
      </c>
      <c r="E168" s="1516">
        <f t="shared" ref="E168:O168" ca="1" si="138">IF($F156&lt;=E$159,$H156,"")</f>
        <v>0</v>
      </c>
      <c r="F168" s="1516">
        <f t="shared" ca="1" si="138"/>
        <v>0</v>
      </c>
      <c r="G168" s="1516">
        <f t="shared" ca="1" si="138"/>
        <v>0</v>
      </c>
      <c r="H168" s="1516">
        <f t="shared" ca="1" si="138"/>
        <v>0</v>
      </c>
      <c r="I168" s="1516">
        <f t="shared" ca="1" si="138"/>
        <v>0</v>
      </c>
      <c r="J168" s="1516">
        <f t="shared" ca="1" si="138"/>
        <v>0</v>
      </c>
      <c r="K168" s="1516">
        <f t="shared" ca="1" si="138"/>
        <v>0</v>
      </c>
      <c r="L168" s="1516">
        <f t="shared" ca="1" si="138"/>
        <v>0</v>
      </c>
      <c r="M168" s="1516">
        <f t="shared" ca="1" si="138"/>
        <v>0</v>
      </c>
      <c r="N168" s="1516">
        <f t="shared" ca="1" si="138"/>
        <v>0</v>
      </c>
      <c r="O168" s="1516">
        <f t="shared" ca="1" si="138"/>
        <v>0</v>
      </c>
      <c r="P168" s="1517">
        <f ca="1">SUM(D168:O168)</f>
        <v>0</v>
      </c>
      <c r="Q168" s="1290"/>
      <c r="R168" s="1290"/>
      <c r="S168" s="1291"/>
      <c r="T168" s="547"/>
      <c r="U168" s="547"/>
      <c r="V168" s="547"/>
      <c r="W168" s="547"/>
      <c r="X168" s="547"/>
      <c r="Y168" s="547"/>
      <c r="Z168" s="547"/>
      <c r="AA168" s="547"/>
      <c r="AB168" s="547"/>
      <c r="CQ168" s="462"/>
      <c r="CR168" s="462"/>
      <c r="CS168" s="462"/>
      <c r="CT168" s="462"/>
      <c r="CU168" s="549"/>
      <c r="CV168" s="549"/>
      <c r="CW168" s="462"/>
      <c r="CX168" s="462"/>
      <c r="CY168" s="462"/>
      <c r="CZ168" s="462"/>
      <c r="DA168" s="462"/>
      <c r="DB168" s="462"/>
      <c r="DC168" s="462"/>
      <c r="DD168" s="462"/>
      <c r="DE168" s="462"/>
      <c r="DF168" s="462"/>
      <c r="DG168" s="462"/>
      <c r="DH168" s="462"/>
      <c r="DI168" s="462"/>
      <c r="DJ168" s="462"/>
      <c r="DK168" s="462"/>
      <c r="DL168" s="462"/>
      <c r="DM168" s="462"/>
      <c r="DN168" s="462"/>
      <c r="DO168" s="462"/>
      <c r="DP168" s="462"/>
      <c r="DQ168" s="462"/>
      <c r="DR168" s="462"/>
    </row>
    <row r="169" spans="1:122" s="219" customFormat="1" ht="15" thickBot="1" x14ac:dyDescent="0.25">
      <c r="B169" s="1518" t="str">
        <f>"Summe" &amp;" "&amp;B168</f>
        <v>Summe Sammelposten</v>
      </c>
      <c r="C169" s="1519"/>
      <c r="D169" s="1520">
        <f ca="1">D168+D143</f>
        <v>0</v>
      </c>
      <c r="E169" s="1520">
        <f t="shared" ref="E169" ca="1" si="139">E168+E143</f>
        <v>0</v>
      </c>
      <c r="F169" s="1520">
        <f t="shared" ref="F169" ca="1" si="140">F168+F143</f>
        <v>0</v>
      </c>
      <c r="G169" s="1520">
        <f t="shared" ref="G169" ca="1" si="141">G168+G143</f>
        <v>0</v>
      </c>
      <c r="H169" s="1520">
        <f t="shared" ref="H169" ca="1" si="142">H168+H143</f>
        <v>0</v>
      </c>
      <c r="I169" s="1520">
        <f t="shared" ref="I169" ca="1" si="143">I168+I143</f>
        <v>0</v>
      </c>
      <c r="J169" s="1520">
        <f t="shared" ref="J169" ca="1" si="144">J168+J143</f>
        <v>0</v>
      </c>
      <c r="K169" s="1520">
        <f t="shared" ref="K169" ca="1" si="145">K168+K143</f>
        <v>0</v>
      </c>
      <c r="L169" s="1520">
        <f t="shared" ref="L169" ca="1" si="146">L168+L143</f>
        <v>0</v>
      </c>
      <c r="M169" s="1520">
        <f t="shared" ref="M169" ca="1" si="147">M168+M143</f>
        <v>0</v>
      </c>
      <c r="N169" s="1520">
        <f t="shared" ref="N169" ca="1" si="148">N168+N143</f>
        <v>0</v>
      </c>
      <c r="O169" s="1520">
        <f t="shared" ref="O169" ca="1" si="149">O168+O143</f>
        <v>0</v>
      </c>
      <c r="P169" s="1522">
        <f ca="1">SUM(D169:O169)</f>
        <v>0</v>
      </c>
      <c r="S169" s="256"/>
      <c r="CQ169" s="222"/>
      <c r="CR169" s="222"/>
      <c r="CS169" s="222"/>
      <c r="CT169" s="222"/>
      <c r="CU169" s="283"/>
      <c r="CV169" s="233"/>
      <c r="CW169" s="223"/>
      <c r="CX169" s="222"/>
      <c r="CY169" s="222"/>
      <c r="CZ169" s="222"/>
      <c r="DA169" s="222"/>
      <c r="DB169" s="222"/>
      <c r="DC169" s="222"/>
      <c r="DD169" s="222"/>
      <c r="DE169" s="222"/>
      <c r="DF169" s="222"/>
      <c r="DG169" s="222"/>
      <c r="DH169" s="223"/>
      <c r="DI169" s="223"/>
      <c r="DJ169" s="223"/>
      <c r="DK169" s="223"/>
      <c r="DL169" s="223"/>
      <c r="DM169" s="223"/>
      <c r="DN169" s="223"/>
      <c r="DO169" s="223"/>
      <c r="DP169" s="223"/>
      <c r="DQ169" s="223"/>
      <c r="DR169" s="223"/>
    </row>
    <row r="170" spans="1:122" s="546" customFormat="1" ht="15.75" thickTop="1" thickBot="1" x14ac:dyDescent="0.25">
      <c r="A170" s="1501"/>
      <c r="B170" s="1589" t="str">
        <f>B144</f>
        <v>Summe Abschreibungen</v>
      </c>
      <c r="C170" s="1590"/>
      <c r="D170" s="1514">
        <f ca="1">SUM(D161:D167)+D169</f>
        <v>0</v>
      </c>
      <c r="E170" s="1514">
        <f t="shared" ref="E170" ca="1" si="150">SUM(E161:E167)+E169</f>
        <v>0</v>
      </c>
      <c r="F170" s="1514">
        <f t="shared" ref="F170" ca="1" si="151">SUM(F161:F167)+F169</f>
        <v>0</v>
      </c>
      <c r="G170" s="1514">
        <f t="shared" ref="G170" ca="1" si="152">SUM(G161:G167)+G169</f>
        <v>0</v>
      </c>
      <c r="H170" s="1514">
        <f t="shared" ref="H170" ca="1" si="153">SUM(H161:H167)+H169</f>
        <v>0</v>
      </c>
      <c r="I170" s="1514">
        <f t="shared" ref="I170" ca="1" si="154">SUM(I161:I167)+I169</f>
        <v>0</v>
      </c>
      <c r="J170" s="1514">
        <f t="shared" ref="J170" ca="1" si="155">SUM(J161:J167)+J169</f>
        <v>0</v>
      </c>
      <c r="K170" s="1514">
        <f t="shared" ref="K170" ca="1" si="156">SUM(K161:K167)+K169</f>
        <v>0</v>
      </c>
      <c r="L170" s="1514">
        <f t="shared" ref="L170" ca="1" si="157">SUM(L161:L167)+L169</f>
        <v>0</v>
      </c>
      <c r="M170" s="1514">
        <f t="shared" ref="M170" ca="1" si="158">SUM(M161:M167)+M169</f>
        <v>0</v>
      </c>
      <c r="N170" s="1514">
        <f t="shared" ref="N170" ca="1" si="159">SUM(N161:N167)+N169</f>
        <v>0</v>
      </c>
      <c r="O170" s="1514">
        <f t="shared" ref="O170" ca="1" si="160">SUM(O161:O167)+O169</f>
        <v>0</v>
      </c>
      <c r="P170" s="1515">
        <f ca="1">SUM(D170:O170)</f>
        <v>0</v>
      </c>
      <c r="Q170" s="1290"/>
      <c r="R170" s="1290"/>
      <c r="S170" s="1291"/>
      <c r="T170" s="547"/>
      <c r="U170" s="547"/>
      <c r="V170" s="547"/>
      <c r="W170" s="547"/>
      <c r="X170" s="547"/>
      <c r="Y170" s="547"/>
      <c r="Z170" s="547"/>
      <c r="AA170" s="547"/>
      <c r="AB170" s="547"/>
      <c r="CQ170" s="462"/>
      <c r="CR170" s="462"/>
      <c r="CS170" s="462"/>
      <c r="CT170" s="462"/>
      <c r="CU170" s="549"/>
      <c r="CV170" s="549"/>
      <c r="CW170" s="462"/>
      <c r="CX170" s="462"/>
      <c r="CY170" s="462"/>
      <c r="CZ170" s="462"/>
      <c r="DA170" s="462"/>
      <c r="DB170" s="462"/>
      <c r="DC170" s="462"/>
      <c r="DD170" s="462"/>
      <c r="DE170" s="462"/>
      <c r="DF170" s="462"/>
      <c r="DG170" s="462"/>
      <c r="DH170" s="462"/>
      <c r="DI170" s="462"/>
      <c r="DJ170" s="462"/>
      <c r="DK170" s="462"/>
      <c r="DL170" s="462"/>
      <c r="DM170" s="462"/>
      <c r="DN170" s="462"/>
      <c r="DO170" s="462"/>
      <c r="DP170" s="462"/>
      <c r="DQ170" s="462"/>
      <c r="DR170" s="462"/>
    </row>
    <row r="171" spans="1:122" s="546" customFormat="1" x14ac:dyDescent="0.2">
      <c r="B171" s="229"/>
      <c r="C171" s="1501"/>
      <c r="D171" s="1501"/>
      <c r="E171" s="1501"/>
      <c r="F171" s="1501"/>
      <c r="G171" s="1501"/>
      <c r="H171" s="1501"/>
      <c r="I171" s="1501"/>
      <c r="J171" s="1501"/>
      <c r="K171" s="1501"/>
      <c r="L171" s="1501"/>
      <c r="M171" s="1501"/>
      <c r="N171" s="1501"/>
      <c r="O171" s="1512"/>
      <c r="P171" s="1288"/>
      <c r="Q171" s="1290"/>
      <c r="R171" s="1290"/>
      <c r="S171" s="1291"/>
      <c r="T171" s="547"/>
      <c r="U171" s="547"/>
      <c r="V171" s="547"/>
      <c r="W171" s="547"/>
      <c r="X171" s="547"/>
      <c r="Y171" s="547"/>
      <c r="Z171" s="547"/>
      <c r="AA171" s="547"/>
      <c r="AB171" s="547"/>
      <c r="CQ171" s="462"/>
      <c r="CR171" s="462"/>
      <c r="CS171" s="462"/>
      <c r="CT171" s="462"/>
      <c r="CU171" s="549"/>
      <c r="CV171" s="549"/>
      <c r="CW171" s="462"/>
      <c r="CX171" s="462"/>
      <c r="CY171" s="462"/>
      <c r="CZ171" s="462"/>
      <c r="DA171" s="462"/>
      <c r="DB171" s="462"/>
      <c r="DC171" s="462"/>
      <c r="DD171" s="462"/>
      <c r="DE171" s="462"/>
      <c r="DF171" s="462"/>
      <c r="DG171" s="462"/>
      <c r="DH171" s="462"/>
      <c r="DI171" s="462"/>
      <c r="DJ171" s="462"/>
      <c r="DK171" s="462"/>
      <c r="DL171" s="462"/>
      <c r="DM171" s="462"/>
      <c r="DN171" s="462"/>
      <c r="DO171" s="462"/>
      <c r="DP171" s="462"/>
      <c r="DQ171" s="462"/>
      <c r="DR171" s="462"/>
    </row>
    <row r="172" spans="1:122" s="546" customFormat="1" x14ac:dyDescent="0.2">
      <c r="B172" s="229"/>
      <c r="C172" s="1501"/>
      <c r="D172" s="1501"/>
      <c r="E172" s="1501"/>
      <c r="F172" s="1501"/>
      <c r="G172" s="1501"/>
      <c r="H172" s="1501"/>
      <c r="I172" s="1501"/>
      <c r="J172" s="1501"/>
      <c r="K172" s="1501"/>
      <c r="L172" s="1501"/>
      <c r="M172" s="1501"/>
      <c r="N172" s="1501"/>
      <c r="O172" s="1512"/>
      <c r="P172" s="1288"/>
      <c r="Q172" s="1290"/>
      <c r="R172" s="1290"/>
      <c r="S172" s="1291"/>
      <c r="T172" s="547"/>
      <c r="U172" s="547"/>
      <c r="V172" s="547"/>
      <c r="W172" s="547"/>
      <c r="X172" s="547"/>
      <c r="Y172" s="547"/>
      <c r="Z172" s="547"/>
      <c r="AA172" s="547"/>
      <c r="AB172" s="547"/>
      <c r="CQ172" s="462"/>
      <c r="CR172" s="462"/>
      <c r="CS172" s="462"/>
      <c r="CT172" s="462"/>
      <c r="CU172" s="549"/>
      <c r="CV172" s="549"/>
      <c r="CW172" s="462"/>
      <c r="CX172" s="462"/>
      <c r="CY172" s="462"/>
      <c r="CZ172" s="462"/>
      <c r="DA172" s="462"/>
      <c r="DB172" s="462"/>
      <c r="DC172" s="462"/>
      <c r="DD172" s="462"/>
      <c r="DE172" s="462"/>
      <c r="DF172" s="462"/>
      <c r="DG172" s="462"/>
      <c r="DH172" s="462"/>
      <c r="DI172" s="462"/>
      <c r="DJ172" s="462"/>
      <c r="DK172" s="462"/>
      <c r="DL172" s="462"/>
      <c r="DM172" s="462"/>
      <c r="DN172" s="462"/>
      <c r="DO172" s="462"/>
      <c r="DP172" s="462"/>
      <c r="DQ172" s="462"/>
      <c r="DR172" s="462"/>
    </row>
    <row r="173" spans="1:122" s="546" customFormat="1" ht="15" thickBot="1" x14ac:dyDescent="0.25">
      <c r="B173" s="229"/>
      <c r="C173" s="1501"/>
      <c r="D173" s="1501"/>
      <c r="E173" s="1501"/>
      <c r="F173" s="1501"/>
      <c r="G173" s="1501"/>
      <c r="H173" s="1501"/>
      <c r="I173" s="1501"/>
      <c r="J173" s="1501"/>
      <c r="K173" s="1501"/>
      <c r="L173" s="1501"/>
      <c r="M173" s="1501"/>
      <c r="N173" s="1501"/>
      <c r="O173" s="1512"/>
      <c r="P173" s="1288"/>
      <c r="Q173" s="1290"/>
      <c r="R173" s="1290"/>
      <c r="S173" s="1291"/>
      <c r="T173" s="547"/>
      <c r="U173" s="547"/>
      <c r="V173" s="547"/>
      <c r="W173" s="547"/>
      <c r="X173" s="547"/>
      <c r="Y173" s="547"/>
      <c r="Z173" s="547"/>
      <c r="AA173" s="547"/>
      <c r="AB173" s="547"/>
      <c r="CQ173" s="462"/>
      <c r="CR173" s="462"/>
      <c r="CS173" s="462"/>
      <c r="CT173" s="462"/>
      <c r="CU173" s="549"/>
      <c r="CV173" s="549"/>
      <c r="CW173" s="462"/>
      <c r="CX173" s="462"/>
      <c r="CY173" s="462"/>
      <c r="CZ173" s="462"/>
      <c r="DA173" s="462"/>
      <c r="DB173" s="462"/>
      <c r="DC173" s="462"/>
      <c r="DD173" s="462"/>
      <c r="DE173" s="462"/>
      <c r="DF173" s="462"/>
      <c r="DG173" s="462"/>
      <c r="DH173" s="462"/>
      <c r="DI173" s="462"/>
      <c r="DJ173" s="462"/>
      <c r="DK173" s="462"/>
      <c r="DL173" s="462"/>
      <c r="DM173" s="462"/>
      <c r="DN173" s="462"/>
      <c r="DO173" s="462"/>
      <c r="DP173" s="462"/>
      <c r="DQ173" s="462"/>
      <c r="DR173" s="462"/>
    </row>
    <row r="174" spans="1:122" s="546" customFormat="1" ht="28.15" customHeight="1" thickBot="1" x14ac:dyDescent="0.25">
      <c r="B174" s="1583" t="str">
        <f t="shared" ref="B174:B183" si="161">B148</f>
        <v>Anschaffungen</v>
      </c>
      <c r="C174" s="1584"/>
      <c r="D174" s="1505" t="str">
        <f ca="1">IF($C$2="English","Value      ","Betrag    ")&amp;'1 Pers.Ausgaben|Pers Expenses'!$C$4+4</f>
        <v>Betrag    2021</v>
      </c>
      <c r="E174" s="1506" t="str">
        <f>E148</f>
        <v>Investmonat</v>
      </c>
      <c r="F174" s="1507" t="str">
        <f ca="1">$E$70&amp;"   "&amp;B186</f>
        <v>Investmonat   2021</v>
      </c>
      <c r="G174" s="1507" t="str">
        <f>G148</f>
        <v>Jahre der
Abschreibung</v>
      </c>
      <c r="H174" s="1507" t="s">
        <v>746</v>
      </c>
      <c r="I174" s="1507" t="s">
        <v>748</v>
      </c>
      <c r="J174" s="1507" t="s">
        <v>752</v>
      </c>
      <c r="K174" s="467"/>
      <c r="L174" s="250"/>
      <c r="M174" s="467"/>
      <c r="N174" s="250"/>
      <c r="O174" s="1512"/>
      <c r="P174" s="1288"/>
      <c r="Q174" s="1290"/>
      <c r="R174" s="1290"/>
      <c r="S174" s="1291"/>
      <c r="T174" s="547"/>
      <c r="U174" s="547"/>
      <c r="V174" s="547"/>
      <c r="W174" s="547"/>
      <c r="X174" s="547"/>
      <c r="Y174" s="547"/>
      <c r="Z174" s="547"/>
      <c r="AA174" s="547"/>
      <c r="AB174" s="547"/>
      <c r="CQ174" s="462"/>
      <c r="CR174" s="462"/>
      <c r="CS174" s="462"/>
      <c r="CT174" s="462"/>
      <c r="CU174" s="549"/>
      <c r="CV174" s="549"/>
      <c r="CW174" s="462"/>
      <c r="CX174" s="462"/>
      <c r="CY174" s="462"/>
      <c r="CZ174" s="462"/>
      <c r="DA174" s="462"/>
      <c r="DB174" s="462"/>
      <c r="DC174" s="462"/>
      <c r="DD174" s="462"/>
      <c r="DE174" s="462"/>
      <c r="DF174" s="462"/>
      <c r="DG174" s="462"/>
      <c r="DH174" s="462"/>
      <c r="DI174" s="462"/>
      <c r="DJ174" s="462"/>
      <c r="DK174" s="462"/>
      <c r="DL174" s="462"/>
      <c r="DM174" s="462"/>
      <c r="DN174" s="462"/>
      <c r="DO174" s="462"/>
      <c r="DP174" s="462"/>
      <c r="DQ174" s="462"/>
      <c r="DR174" s="462"/>
    </row>
    <row r="175" spans="1:122" s="546" customFormat="1" x14ac:dyDescent="0.2">
      <c r="B175" s="1633" t="str">
        <f t="shared" si="161"/>
        <v>Investitionsgut 1</v>
      </c>
      <c r="C175" s="1634"/>
      <c r="D175" s="1526">
        <f t="shared" ref="D175:D181" si="162">M6</f>
        <v>0</v>
      </c>
      <c r="E175" s="1527">
        <f t="shared" ref="E175:E181" si="163">E149+F175</f>
        <v>0</v>
      </c>
      <c r="F175" s="1527">
        <f t="shared" ref="F175:F181" si="164">IF(D175&gt;0,N6+($B$186-$B$82)*12,0)</f>
        <v>0</v>
      </c>
      <c r="G175" s="1527">
        <f t="shared" ref="G175:G181" si="165">P6</f>
        <v>0</v>
      </c>
      <c r="H175" s="1527">
        <f>IF(G175="x",0,IF(AND(E175&gt;0,D175=0),H149,IF(D175&gt;0,D175/(12*G175),0)))</f>
        <v>0</v>
      </c>
      <c r="I175" s="1527">
        <f>IF(G175="x",0,IF(D175&gt;0,E175+G175*12-1,IF(E175&gt;0,I149,0)))</f>
        <v>0</v>
      </c>
      <c r="J175" s="1508">
        <f>IF(G175="x",IF(D175&gt;0,D175,0),0)</f>
        <v>0</v>
      </c>
      <c r="K175" s="467"/>
      <c r="L175" s="250"/>
      <c r="M175" s="467"/>
      <c r="N175" s="250"/>
      <c r="O175" s="1512"/>
      <c r="P175" s="1288"/>
      <c r="Q175" s="1290"/>
      <c r="R175" s="1290"/>
      <c r="S175" s="1291"/>
      <c r="T175" s="547"/>
      <c r="U175" s="547"/>
      <c r="V175" s="547"/>
      <c r="W175" s="547"/>
      <c r="X175" s="547"/>
      <c r="Y175" s="547"/>
      <c r="Z175" s="547"/>
      <c r="AA175" s="547"/>
      <c r="AB175" s="547"/>
      <c r="CQ175" s="462"/>
      <c r="CR175" s="462"/>
      <c r="CS175" s="462"/>
      <c r="CT175" s="462"/>
      <c r="CU175" s="549"/>
      <c r="CV175" s="549"/>
      <c r="CW175" s="462"/>
      <c r="CX175" s="462"/>
      <c r="CY175" s="462"/>
      <c r="CZ175" s="462"/>
      <c r="DA175" s="462"/>
      <c r="DB175" s="462"/>
      <c r="DC175" s="462"/>
      <c r="DD175" s="462"/>
      <c r="DE175" s="462"/>
      <c r="DF175" s="462"/>
      <c r="DG175" s="462"/>
      <c r="DH175" s="462"/>
      <c r="DI175" s="462"/>
      <c r="DJ175" s="462"/>
      <c r="DK175" s="462"/>
      <c r="DL175" s="462"/>
      <c r="DM175" s="462"/>
      <c r="DN175" s="462"/>
      <c r="DO175" s="462"/>
      <c r="DP175" s="462"/>
      <c r="DQ175" s="462"/>
      <c r="DR175" s="462"/>
    </row>
    <row r="176" spans="1:122" s="546" customFormat="1" x14ac:dyDescent="0.2">
      <c r="B176" s="1585" t="str">
        <f t="shared" si="161"/>
        <v>Investitionsgut 2</v>
      </c>
      <c r="C176" s="1586"/>
      <c r="D176" s="1528">
        <f t="shared" si="162"/>
        <v>0</v>
      </c>
      <c r="E176" s="1529">
        <f t="shared" si="163"/>
        <v>0</v>
      </c>
      <c r="F176" s="1529">
        <f t="shared" si="164"/>
        <v>0</v>
      </c>
      <c r="G176" s="1529">
        <f t="shared" si="165"/>
        <v>0</v>
      </c>
      <c r="H176" s="1529">
        <f t="shared" ref="H176:H181" si="166">IF(G176="x",0,IF(AND(E176&gt;0,D176=0),H150,IF(D176&gt;0,D176/(12*G176),0)))</f>
        <v>0</v>
      </c>
      <c r="I176" s="1529">
        <f t="shared" ref="I176:I181" si="167">IF(G176="x",0,IF(D176&gt;0,E176+G176*12-1,IF(E176&gt;0,I150,0)))</f>
        <v>0</v>
      </c>
      <c r="J176" s="1509">
        <f t="shared" ref="J176:J181" si="168">IF(G176="x",IF(D176&gt;0,D176,0),0)</f>
        <v>0</v>
      </c>
      <c r="K176" s="467"/>
      <c r="L176" s="250"/>
      <c r="M176" s="467"/>
      <c r="N176" s="250"/>
      <c r="O176" s="1512"/>
      <c r="P176" s="1288"/>
      <c r="Q176" s="1290"/>
      <c r="R176" s="1290"/>
      <c r="S176" s="1291"/>
      <c r="T176" s="547"/>
      <c r="U176" s="547"/>
      <c r="V176" s="547"/>
      <c r="W176" s="547"/>
      <c r="X176" s="547"/>
      <c r="Y176" s="547"/>
      <c r="Z176" s="547"/>
      <c r="AA176" s="547"/>
      <c r="AB176" s="547"/>
      <c r="CQ176" s="462"/>
      <c r="CR176" s="462"/>
      <c r="CS176" s="462"/>
      <c r="CT176" s="462"/>
      <c r="CU176" s="549"/>
      <c r="CV176" s="549"/>
      <c r="CW176" s="462"/>
      <c r="CX176" s="462"/>
      <c r="CY176" s="462"/>
      <c r="CZ176" s="462"/>
      <c r="DA176" s="462"/>
      <c r="DB176" s="462"/>
      <c r="DC176" s="462"/>
      <c r="DD176" s="462"/>
      <c r="DE176" s="462"/>
      <c r="DF176" s="462"/>
      <c r="DG176" s="462"/>
      <c r="DH176" s="462"/>
      <c r="DI176" s="462"/>
      <c r="DJ176" s="462"/>
      <c r="DK176" s="462"/>
      <c r="DL176" s="462"/>
      <c r="DM176" s="462"/>
      <c r="DN176" s="462"/>
      <c r="DO176" s="462"/>
      <c r="DP176" s="462"/>
      <c r="DQ176" s="462"/>
      <c r="DR176" s="462"/>
    </row>
    <row r="177" spans="2:122" s="546" customFormat="1" x14ac:dyDescent="0.2">
      <c r="B177" s="1585" t="str">
        <f t="shared" si="161"/>
        <v>Investitionsgut 3</v>
      </c>
      <c r="C177" s="1586"/>
      <c r="D177" s="1528">
        <f t="shared" si="162"/>
        <v>0</v>
      </c>
      <c r="E177" s="1529">
        <f t="shared" si="163"/>
        <v>0</v>
      </c>
      <c r="F177" s="1529">
        <f t="shared" si="164"/>
        <v>0</v>
      </c>
      <c r="G177" s="1529">
        <f t="shared" si="165"/>
        <v>0</v>
      </c>
      <c r="H177" s="1529">
        <f t="shared" si="166"/>
        <v>0</v>
      </c>
      <c r="I177" s="1529">
        <f t="shared" si="167"/>
        <v>0</v>
      </c>
      <c r="J177" s="1509">
        <f t="shared" si="168"/>
        <v>0</v>
      </c>
      <c r="K177" s="467"/>
      <c r="L177" s="250"/>
      <c r="M177" s="467"/>
      <c r="N177" s="250"/>
      <c r="O177" s="1512"/>
      <c r="P177" s="1288"/>
      <c r="Q177" s="1290"/>
      <c r="R177" s="1290"/>
      <c r="S177" s="1291"/>
      <c r="T177" s="547"/>
      <c r="U177" s="547"/>
      <c r="V177" s="547"/>
      <c r="W177" s="547"/>
      <c r="X177" s="547"/>
      <c r="Y177" s="547"/>
      <c r="Z177" s="547"/>
      <c r="AA177" s="547"/>
      <c r="AB177" s="547"/>
      <c r="CQ177" s="462"/>
      <c r="CR177" s="462"/>
      <c r="CS177" s="462"/>
      <c r="CT177" s="462"/>
      <c r="CU177" s="549"/>
      <c r="CV177" s="549"/>
      <c r="CW177" s="462"/>
      <c r="CX177" s="462"/>
      <c r="CY177" s="462"/>
      <c r="CZ177" s="462"/>
      <c r="DA177" s="462"/>
      <c r="DB177" s="462"/>
      <c r="DC177" s="462"/>
      <c r="DD177" s="462"/>
      <c r="DE177" s="462"/>
      <c r="DF177" s="462"/>
      <c r="DG177" s="462"/>
      <c r="DH177" s="462"/>
      <c r="DI177" s="462"/>
      <c r="DJ177" s="462"/>
      <c r="DK177" s="462"/>
      <c r="DL177" s="462"/>
      <c r="DM177" s="462"/>
      <c r="DN177" s="462"/>
      <c r="DO177" s="462"/>
      <c r="DP177" s="462"/>
      <c r="DQ177" s="462"/>
      <c r="DR177" s="462"/>
    </row>
    <row r="178" spans="2:122" s="546" customFormat="1" x14ac:dyDescent="0.2">
      <c r="B178" s="1585" t="str">
        <f t="shared" si="161"/>
        <v>Investitionsgut 4</v>
      </c>
      <c r="C178" s="1586"/>
      <c r="D178" s="1528">
        <f t="shared" si="162"/>
        <v>0</v>
      </c>
      <c r="E178" s="1529">
        <f t="shared" si="163"/>
        <v>0</v>
      </c>
      <c r="F178" s="1529">
        <f t="shared" si="164"/>
        <v>0</v>
      </c>
      <c r="G178" s="1529">
        <f t="shared" si="165"/>
        <v>0</v>
      </c>
      <c r="H178" s="1529">
        <f t="shared" si="166"/>
        <v>0</v>
      </c>
      <c r="I178" s="1529">
        <f t="shared" si="167"/>
        <v>0</v>
      </c>
      <c r="J178" s="1509">
        <f t="shared" si="168"/>
        <v>0</v>
      </c>
      <c r="K178" s="467"/>
      <c r="L178" s="250"/>
      <c r="M178" s="467"/>
      <c r="N178" s="250"/>
      <c r="O178" s="1512"/>
      <c r="P178" s="1288"/>
      <c r="Q178" s="1290"/>
      <c r="R178" s="1290"/>
      <c r="S178" s="1291"/>
      <c r="T178" s="547"/>
      <c r="U178" s="547"/>
      <c r="V178" s="547"/>
      <c r="W178" s="547"/>
      <c r="X178" s="547"/>
      <c r="Y178" s="547"/>
      <c r="Z178" s="547"/>
      <c r="AA178" s="547"/>
      <c r="AB178" s="547"/>
      <c r="CQ178" s="462"/>
      <c r="CR178" s="462"/>
      <c r="CS178" s="462"/>
      <c r="CT178" s="462"/>
      <c r="CU178" s="549"/>
      <c r="CV178" s="549"/>
      <c r="CW178" s="462"/>
      <c r="CX178" s="462"/>
      <c r="CY178" s="462"/>
      <c r="CZ178" s="462"/>
      <c r="DA178" s="462"/>
      <c r="DB178" s="462"/>
      <c r="DC178" s="462"/>
      <c r="DD178" s="462"/>
      <c r="DE178" s="462"/>
      <c r="DF178" s="462"/>
      <c r="DG178" s="462"/>
      <c r="DH178" s="462"/>
      <c r="DI178" s="462"/>
      <c r="DJ178" s="462"/>
      <c r="DK178" s="462"/>
      <c r="DL178" s="462"/>
      <c r="DM178" s="462"/>
      <c r="DN178" s="462"/>
      <c r="DO178" s="462"/>
      <c r="DP178" s="462"/>
      <c r="DQ178" s="462"/>
      <c r="DR178" s="462"/>
    </row>
    <row r="179" spans="2:122" s="546" customFormat="1" x14ac:dyDescent="0.2">
      <c r="B179" s="1585" t="str">
        <f t="shared" si="161"/>
        <v>Investitionsgut 5</v>
      </c>
      <c r="C179" s="1586"/>
      <c r="D179" s="1528">
        <f t="shared" si="162"/>
        <v>0</v>
      </c>
      <c r="E179" s="1529">
        <f t="shared" si="163"/>
        <v>0</v>
      </c>
      <c r="F179" s="1529">
        <f t="shared" si="164"/>
        <v>0</v>
      </c>
      <c r="G179" s="1529">
        <f t="shared" si="165"/>
        <v>0</v>
      </c>
      <c r="H179" s="1529">
        <f t="shared" si="166"/>
        <v>0</v>
      </c>
      <c r="I179" s="1529">
        <f t="shared" si="167"/>
        <v>0</v>
      </c>
      <c r="J179" s="1509">
        <f t="shared" si="168"/>
        <v>0</v>
      </c>
      <c r="K179" s="467"/>
      <c r="L179" s="250"/>
      <c r="M179" s="467"/>
      <c r="N179" s="250"/>
      <c r="O179" s="1512"/>
      <c r="P179" s="1288"/>
      <c r="Q179" s="1290"/>
      <c r="R179" s="1290"/>
      <c r="S179" s="1291"/>
      <c r="T179" s="547"/>
      <c r="U179" s="547"/>
      <c r="V179" s="547"/>
      <c r="W179" s="547"/>
      <c r="X179" s="547"/>
      <c r="Y179" s="547"/>
      <c r="Z179" s="547"/>
      <c r="AA179" s="547"/>
      <c r="AB179" s="547"/>
      <c r="CQ179" s="462"/>
      <c r="CR179" s="462"/>
      <c r="CS179" s="462"/>
      <c r="CT179" s="462"/>
      <c r="CU179" s="549"/>
      <c r="CV179" s="549"/>
      <c r="CW179" s="462"/>
      <c r="CX179" s="462"/>
      <c r="CY179" s="462"/>
      <c r="CZ179" s="462"/>
      <c r="DA179" s="462"/>
      <c r="DB179" s="462"/>
      <c r="DC179" s="462"/>
      <c r="DD179" s="462"/>
      <c r="DE179" s="462"/>
      <c r="DF179" s="462"/>
      <c r="DG179" s="462"/>
      <c r="DH179" s="462"/>
      <c r="DI179" s="462"/>
      <c r="DJ179" s="462"/>
      <c r="DK179" s="462"/>
      <c r="DL179" s="462"/>
      <c r="DM179" s="462"/>
      <c r="DN179" s="462"/>
      <c r="DO179" s="462"/>
      <c r="DP179" s="462"/>
      <c r="DQ179" s="462"/>
      <c r="DR179" s="462"/>
    </row>
    <row r="180" spans="2:122" s="546" customFormat="1" x14ac:dyDescent="0.2">
      <c r="B180" s="1585" t="str">
        <f t="shared" si="161"/>
        <v>Investitionsgut 6</v>
      </c>
      <c r="C180" s="1586"/>
      <c r="D180" s="1528">
        <f t="shared" si="162"/>
        <v>0</v>
      </c>
      <c r="E180" s="1529">
        <f t="shared" si="163"/>
        <v>0</v>
      </c>
      <c r="F180" s="1529">
        <f t="shared" si="164"/>
        <v>0</v>
      </c>
      <c r="G180" s="1529">
        <f t="shared" si="165"/>
        <v>0</v>
      </c>
      <c r="H180" s="1529">
        <f t="shared" si="166"/>
        <v>0</v>
      </c>
      <c r="I180" s="1529">
        <f t="shared" si="167"/>
        <v>0</v>
      </c>
      <c r="J180" s="1509">
        <f t="shared" si="168"/>
        <v>0</v>
      </c>
      <c r="K180" s="467"/>
      <c r="L180" s="250"/>
      <c r="M180" s="467"/>
      <c r="N180" s="250"/>
      <c r="O180" s="1512"/>
      <c r="P180" s="1288"/>
      <c r="Q180" s="1290"/>
      <c r="R180" s="1290"/>
      <c r="S180" s="1291"/>
      <c r="T180" s="547"/>
      <c r="U180" s="547"/>
      <c r="V180" s="547"/>
      <c r="W180" s="547"/>
      <c r="X180" s="547"/>
      <c r="Y180" s="547"/>
      <c r="Z180" s="547"/>
      <c r="AA180" s="547"/>
      <c r="AB180" s="547"/>
      <c r="CQ180" s="462"/>
      <c r="CR180" s="462"/>
      <c r="CS180" s="462"/>
      <c r="CT180" s="462"/>
      <c r="CU180" s="549"/>
      <c r="CV180" s="549"/>
      <c r="CW180" s="462"/>
      <c r="CX180" s="462"/>
      <c r="CY180" s="462"/>
      <c r="CZ180" s="462"/>
      <c r="DA180" s="462"/>
      <c r="DB180" s="462"/>
      <c r="DC180" s="462"/>
      <c r="DD180" s="462"/>
      <c r="DE180" s="462"/>
      <c r="DF180" s="462"/>
      <c r="DG180" s="462"/>
      <c r="DH180" s="462"/>
      <c r="DI180" s="462"/>
      <c r="DJ180" s="462"/>
      <c r="DK180" s="462"/>
      <c r="DL180" s="462"/>
      <c r="DM180" s="462"/>
      <c r="DN180" s="462"/>
      <c r="DO180" s="462"/>
      <c r="DP180" s="462"/>
      <c r="DQ180" s="462"/>
      <c r="DR180" s="462"/>
    </row>
    <row r="181" spans="2:122" s="546" customFormat="1" x14ac:dyDescent="0.2">
      <c r="B181" s="1585" t="str">
        <f t="shared" si="161"/>
        <v>Investitionsgut 7</v>
      </c>
      <c r="C181" s="1586"/>
      <c r="D181" s="1530">
        <f t="shared" si="162"/>
        <v>0</v>
      </c>
      <c r="E181" s="1531">
        <f t="shared" si="163"/>
        <v>0</v>
      </c>
      <c r="F181" s="1531">
        <f t="shared" si="164"/>
        <v>0</v>
      </c>
      <c r="G181" s="1531">
        <f t="shared" si="165"/>
        <v>0</v>
      </c>
      <c r="H181" s="1531">
        <f t="shared" si="166"/>
        <v>0</v>
      </c>
      <c r="I181" s="1531">
        <f t="shared" si="167"/>
        <v>0</v>
      </c>
      <c r="J181" s="1510">
        <f t="shared" si="168"/>
        <v>0</v>
      </c>
      <c r="K181" s="467"/>
      <c r="L181" s="250"/>
      <c r="M181" s="467"/>
      <c r="N181" s="250"/>
      <c r="O181" s="1512"/>
      <c r="P181" s="1288"/>
      <c r="Q181" s="1290"/>
      <c r="R181" s="1290"/>
      <c r="S181" s="1291"/>
      <c r="T181" s="547"/>
      <c r="U181" s="547"/>
      <c r="V181" s="547"/>
      <c r="W181" s="547"/>
      <c r="X181" s="547"/>
      <c r="Y181" s="547"/>
      <c r="Z181" s="547"/>
      <c r="AA181" s="547"/>
      <c r="AB181" s="547"/>
      <c r="CQ181" s="462"/>
      <c r="CR181" s="462"/>
      <c r="CS181" s="462"/>
      <c r="CT181" s="462"/>
      <c r="CU181" s="549"/>
      <c r="CV181" s="549"/>
      <c r="CW181" s="462"/>
      <c r="CX181" s="462"/>
      <c r="CY181" s="462"/>
      <c r="CZ181" s="462"/>
      <c r="DA181" s="462"/>
      <c r="DB181" s="462"/>
      <c r="DC181" s="462"/>
      <c r="DD181" s="462"/>
      <c r="DE181" s="462"/>
      <c r="DF181" s="462"/>
      <c r="DG181" s="462"/>
      <c r="DH181" s="462"/>
      <c r="DI181" s="462"/>
      <c r="DJ181" s="462"/>
      <c r="DK181" s="462"/>
      <c r="DL181" s="462"/>
      <c r="DM181" s="462"/>
      <c r="DN181" s="462"/>
      <c r="DO181" s="462"/>
      <c r="DP181" s="462"/>
      <c r="DQ181" s="462"/>
      <c r="DR181" s="462"/>
    </row>
    <row r="182" spans="2:122" s="546" customFormat="1" ht="15" thickBot="1" x14ac:dyDescent="0.25">
      <c r="B182" s="1637" t="str">
        <f t="shared" si="161"/>
        <v>Sammelposten</v>
      </c>
      <c r="C182" s="1638"/>
      <c r="D182" s="1536"/>
      <c r="E182" s="1537"/>
      <c r="F182" s="1537"/>
      <c r="G182" s="1537"/>
      <c r="H182" s="1533"/>
      <c r="I182" s="1537"/>
      <c r="J182" s="1523"/>
      <c r="K182" s="467"/>
      <c r="L182" s="250"/>
      <c r="M182" s="467"/>
      <c r="N182" s="250"/>
      <c r="O182" s="1512"/>
      <c r="P182" s="1288"/>
      <c r="Q182" s="1290"/>
      <c r="R182" s="1290"/>
      <c r="S182" s="1291"/>
      <c r="T182" s="547"/>
      <c r="U182" s="547"/>
      <c r="V182" s="547"/>
      <c r="W182" s="547"/>
      <c r="X182" s="547"/>
      <c r="Y182" s="547"/>
      <c r="Z182" s="547"/>
      <c r="AA182" s="547"/>
      <c r="AB182" s="547"/>
      <c r="CQ182" s="462"/>
      <c r="CR182" s="462"/>
      <c r="CS182" s="462"/>
      <c r="CT182" s="462"/>
      <c r="CU182" s="549"/>
      <c r="CV182" s="549"/>
      <c r="CW182" s="462"/>
      <c r="CX182" s="462"/>
      <c r="CY182" s="462"/>
      <c r="CZ182" s="462"/>
      <c r="DA182" s="462"/>
      <c r="DB182" s="462"/>
      <c r="DC182" s="462"/>
      <c r="DD182" s="462"/>
      <c r="DE182" s="462"/>
      <c r="DF182" s="462"/>
      <c r="DG182" s="462"/>
      <c r="DH182" s="462"/>
      <c r="DI182" s="462"/>
      <c r="DJ182" s="462"/>
      <c r="DK182" s="462"/>
      <c r="DL182" s="462"/>
      <c r="DM182" s="462"/>
      <c r="DN182" s="462"/>
      <c r="DO182" s="462"/>
      <c r="DP182" s="462"/>
      <c r="DQ182" s="462"/>
      <c r="DR182" s="462"/>
    </row>
    <row r="183" spans="2:122" s="546" customFormat="1" ht="15.75" thickTop="1" thickBot="1" x14ac:dyDescent="0.25">
      <c r="B183" s="1511" t="str">
        <f t="shared" si="161"/>
        <v>Summe Anschaffungen</v>
      </c>
      <c r="C183" s="1524"/>
      <c r="D183" s="1525">
        <f>SUM(D175:D182)-J183</f>
        <v>0</v>
      </c>
      <c r="E183" s="219"/>
      <c r="F183" s="219"/>
      <c r="G183" s="219"/>
      <c r="H183" s="1525">
        <f>SUM(H175:H182)</f>
        <v>0</v>
      </c>
      <c r="I183" s="219"/>
      <c r="J183" s="1525">
        <f>SUM(J175:J182)</f>
        <v>0</v>
      </c>
      <c r="K183" s="467"/>
      <c r="L183" s="250"/>
      <c r="M183" s="467"/>
      <c r="N183" s="250"/>
      <c r="O183" s="1512"/>
      <c r="P183" s="1288"/>
      <c r="Q183" s="1290"/>
      <c r="R183" s="1290"/>
      <c r="S183" s="1291"/>
      <c r="T183" s="547"/>
      <c r="U183" s="547"/>
      <c r="V183" s="547"/>
      <c r="W183" s="547"/>
      <c r="X183" s="547"/>
      <c r="Y183" s="547"/>
      <c r="Z183" s="547"/>
      <c r="AA183" s="547"/>
      <c r="AB183" s="547"/>
      <c r="CQ183" s="462"/>
      <c r="CR183" s="462"/>
      <c r="CS183" s="462"/>
      <c r="CT183" s="462"/>
      <c r="CU183" s="549"/>
      <c r="CV183" s="549"/>
      <c r="CW183" s="462"/>
      <c r="CX183" s="462"/>
      <c r="CY183" s="462"/>
      <c r="CZ183" s="462"/>
      <c r="DA183" s="462"/>
      <c r="DB183" s="462"/>
      <c r="DC183" s="462"/>
      <c r="DD183" s="462"/>
      <c r="DE183" s="462"/>
      <c r="DF183" s="462"/>
      <c r="DG183" s="462"/>
      <c r="DH183" s="462"/>
      <c r="DI183" s="462"/>
      <c r="DJ183" s="462"/>
      <c r="DK183" s="462"/>
      <c r="DL183" s="462"/>
      <c r="DM183" s="462"/>
      <c r="DN183" s="462"/>
      <c r="DO183" s="462"/>
      <c r="DP183" s="462"/>
      <c r="DQ183" s="462"/>
      <c r="DR183" s="462"/>
    </row>
    <row r="184" spans="2:122" s="546" customFormat="1" ht="15" thickBot="1" x14ac:dyDescent="0.25">
      <c r="B184" s="219"/>
      <c r="C184" s="250"/>
      <c r="D184" s="219"/>
      <c r="E184" s="456"/>
      <c r="F184" s="219"/>
      <c r="G184" s="456"/>
      <c r="H184" s="219"/>
      <c r="I184" s="456"/>
      <c r="J184" s="219"/>
      <c r="K184" s="467"/>
      <c r="L184" s="250"/>
      <c r="M184" s="467"/>
      <c r="N184" s="250"/>
      <c r="O184" s="1512"/>
      <c r="P184" s="1288"/>
      <c r="Q184" s="1290"/>
      <c r="R184" s="1290"/>
      <c r="S184" s="1291"/>
      <c r="T184" s="547"/>
      <c r="U184" s="547"/>
      <c r="V184" s="547"/>
      <c r="W184" s="547"/>
      <c r="X184" s="547"/>
      <c r="Y184" s="547"/>
      <c r="Z184" s="547"/>
      <c r="AA184" s="547"/>
      <c r="AB184" s="547"/>
      <c r="CQ184" s="462"/>
      <c r="CR184" s="462"/>
      <c r="CS184" s="462"/>
      <c r="CT184" s="462"/>
      <c r="CU184" s="549"/>
      <c r="CV184" s="549"/>
      <c r="CW184" s="462"/>
      <c r="CX184" s="462"/>
      <c r="CY184" s="462"/>
      <c r="CZ184" s="462"/>
      <c r="DA184" s="462"/>
      <c r="DB184" s="462"/>
      <c r="DC184" s="462"/>
      <c r="DD184" s="462"/>
      <c r="DE184" s="462"/>
      <c r="DF184" s="462"/>
      <c r="DG184" s="462"/>
      <c r="DH184" s="462"/>
      <c r="DI184" s="462"/>
      <c r="DJ184" s="462"/>
      <c r="DK184" s="462"/>
      <c r="DL184" s="462"/>
      <c r="DM184" s="462"/>
      <c r="DN184" s="462"/>
      <c r="DO184" s="462"/>
      <c r="DP184" s="462"/>
      <c r="DQ184" s="462"/>
      <c r="DR184" s="462"/>
    </row>
    <row r="185" spans="2:122" s="546" customFormat="1" ht="15" thickBot="1" x14ac:dyDescent="0.25">
      <c r="B185" s="1583" t="str">
        <f>B159</f>
        <v>laufender Monat</v>
      </c>
      <c r="C185" s="1584"/>
      <c r="D185" s="1498">
        <f ca="1">1+($B$186-$B$82)*12</f>
        <v>49</v>
      </c>
      <c r="E185" s="1499">
        <f ca="1">D185+1</f>
        <v>50</v>
      </c>
      <c r="F185" s="1499">
        <f t="shared" ref="F185:O185" ca="1" si="169">E185+1</f>
        <v>51</v>
      </c>
      <c r="G185" s="1499">
        <f t="shared" ca="1" si="169"/>
        <v>52</v>
      </c>
      <c r="H185" s="1499">
        <f t="shared" ca="1" si="169"/>
        <v>53</v>
      </c>
      <c r="I185" s="1499">
        <f t="shared" ca="1" si="169"/>
        <v>54</v>
      </c>
      <c r="J185" s="1499">
        <f t="shared" ca="1" si="169"/>
        <v>55</v>
      </c>
      <c r="K185" s="1499">
        <f t="shared" ca="1" si="169"/>
        <v>56</v>
      </c>
      <c r="L185" s="1499">
        <f t="shared" ca="1" si="169"/>
        <v>57</v>
      </c>
      <c r="M185" s="1499">
        <f t="shared" ca="1" si="169"/>
        <v>58</v>
      </c>
      <c r="N185" s="1499">
        <f t="shared" ca="1" si="169"/>
        <v>59</v>
      </c>
      <c r="O185" s="1499">
        <f t="shared" ca="1" si="169"/>
        <v>60</v>
      </c>
      <c r="P185" s="1500"/>
      <c r="Q185" s="1290"/>
      <c r="R185" s="1290"/>
      <c r="S185" s="1291"/>
      <c r="T185" s="547"/>
      <c r="U185" s="547"/>
      <c r="V185" s="547"/>
      <c r="W185" s="547"/>
      <c r="X185" s="547"/>
      <c r="Y185" s="547"/>
      <c r="Z185" s="547"/>
      <c r="AA185" s="547"/>
      <c r="AB185" s="547"/>
      <c r="CQ185" s="462"/>
      <c r="CR185" s="462"/>
      <c r="CS185" s="462"/>
      <c r="CT185" s="462"/>
      <c r="CU185" s="549"/>
      <c r="CV185" s="549"/>
      <c r="CW185" s="462"/>
      <c r="CX185" s="462"/>
      <c r="CY185" s="462"/>
      <c r="CZ185" s="462"/>
      <c r="DA185" s="462"/>
      <c r="DB185" s="462"/>
      <c r="DC185" s="462"/>
      <c r="DD185" s="462"/>
      <c r="DE185" s="462"/>
      <c r="DF185" s="462"/>
      <c r="DG185" s="462"/>
      <c r="DH185" s="462"/>
      <c r="DI185" s="462"/>
      <c r="DJ185" s="462"/>
      <c r="DK185" s="462"/>
      <c r="DL185" s="462"/>
      <c r="DM185" s="462"/>
      <c r="DN185" s="462"/>
      <c r="DO185" s="462"/>
      <c r="DP185" s="462"/>
      <c r="DQ185" s="462"/>
      <c r="DR185" s="462"/>
    </row>
    <row r="186" spans="2:122" s="546" customFormat="1" ht="15" thickBot="1" x14ac:dyDescent="0.25">
      <c r="B186" s="1583">
        <f ca="1">'1 Pers.Ausgaben|Pers Expenses'!C4+4</f>
        <v>2021</v>
      </c>
      <c r="C186" s="1584"/>
      <c r="D186" s="56" t="s">
        <v>1</v>
      </c>
      <c r="E186" s="51" t="s">
        <v>2</v>
      </c>
      <c r="F186" s="51" t="s">
        <v>3</v>
      </c>
      <c r="G186" s="51" t="s">
        <v>4</v>
      </c>
      <c r="H186" s="51" t="s">
        <v>5</v>
      </c>
      <c r="I186" s="51" t="s">
        <v>6</v>
      </c>
      <c r="J186" s="51" t="s">
        <v>7</v>
      </c>
      <c r="K186" s="51" t="s">
        <v>8</v>
      </c>
      <c r="L186" s="51" t="s">
        <v>9</v>
      </c>
      <c r="M186" s="51" t="s">
        <v>10</v>
      </c>
      <c r="N186" s="51" t="s">
        <v>11</v>
      </c>
      <c r="O186" s="51" t="s">
        <v>12</v>
      </c>
      <c r="P186" s="52" t="s">
        <v>747</v>
      </c>
      <c r="Q186" s="1290"/>
      <c r="R186" s="1290"/>
      <c r="S186" s="1291"/>
      <c r="T186" s="547"/>
      <c r="U186" s="547"/>
      <c r="V186" s="547"/>
      <c r="W186" s="547"/>
      <c r="X186" s="547"/>
      <c r="Y186" s="547"/>
      <c r="Z186" s="547"/>
      <c r="AA186" s="547"/>
      <c r="AB186" s="547"/>
      <c r="CQ186" s="462"/>
      <c r="CR186" s="462"/>
      <c r="CS186" s="462"/>
      <c r="CT186" s="462"/>
      <c r="CU186" s="549"/>
      <c r="CV186" s="549"/>
      <c r="CW186" s="462"/>
      <c r="CX186" s="462"/>
      <c r="CY186" s="462"/>
      <c r="CZ186" s="462"/>
      <c r="DA186" s="462"/>
      <c r="DB186" s="462"/>
      <c r="DC186" s="462"/>
      <c r="DD186" s="462"/>
      <c r="DE186" s="462"/>
      <c r="DF186" s="462"/>
      <c r="DG186" s="462"/>
      <c r="DH186" s="462"/>
      <c r="DI186" s="462"/>
      <c r="DJ186" s="462"/>
      <c r="DK186" s="462"/>
      <c r="DL186" s="462"/>
      <c r="DM186" s="462"/>
      <c r="DN186" s="462"/>
      <c r="DO186" s="462"/>
      <c r="DP186" s="462"/>
      <c r="DQ186" s="462"/>
      <c r="DR186" s="462"/>
    </row>
    <row r="187" spans="2:122" s="546" customFormat="1" x14ac:dyDescent="0.2">
      <c r="B187" s="1577" t="str">
        <f>B175</f>
        <v>Investitionsgut 1</v>
      </c>
      <c r="C187" s="1578"/>
      <c r="D187" s="1503">
        <f ca="1">IF($G175="x",0,IF(OR(D$185&lt;$E175,D$185&gt;$I175),0,$H175))</f>
        <v>0</v>
      </c>
      <c r="E187" s="1503">
        <f t="shared" ref="E187:O187" ca="1" si="170">IF($G175="x",0,IF(OR(E$185&lt;$E175,E$185&gt;$I175),0,$H175))</f>
        <v>0</v>
      </c>
      <c r="F187" s="1503">
        <f t="shared" ca="1" si="170"/>
        <v>0</v>
      </c>
      <c r="G187" s="1503">
        <f t="shared" ca="1" si="170"/>
        <v>0</v>
      </c>
      <c r="H187" s="1503">
        <f t="shared" ca="1" si="170"/>
        <v>0</v>
      </c>
      <c r="I187" s="1503">
        <f t="shared" ca="1" si="170"/>
        <v>0</v>
      </c>
      <c r="J187" s="1503">
        <f t="shared" ca="1" si="170"/>
        <v>0</v>
      </c>
      <c r="K187" s="1503">
        <f t="shared" ca="1" si="170"/>
        <v>0</v>
      </c>
      <c r="L187" s="1503">
        <f t="shared" ca="1" si="170"/>
        <v>0</v>
      </c>
      <c r="M187" s="1503">
        <f t="shared" ca="1" si="170"/>
        <v>0</v>
      </c>
      <c r="N187" s="1503">
        <f t="shared" ca="1" si="170"/>
        <v>0</v>
      </c>
      <c r="O187" s="1503">
        <f t="shared" ca="1" si="170"/>
        <v>0</v>
      </c>
      <c r="P187" s="1502">
        <f ca="1">SUM(D187:O187)</f>
        <v>0</v>
      </c>
      <c r="Q187" s="1290"/>
      <c r="R187" s="1290"/>
      <c r="S187" s="1291"/>
      <c r="T187" s="547"/>
      <c r="U187" s="547"/>
      <c r="V187" s="547"/>
      <c r="W187" s="547"/>
      <c r="X187" s="547"/>
      <c r="Y187" s="547"/>
      <c r="Z187" s="547"/>
      <c r="AA187" s="547"/>
      <c r="AB187" s="547"/>
      <c r="CQ187" s="462"/>
      <c r="CR187" s="462"/>
      <c r="CS187" s="462"/>
      <c r="CT187" s="462"/>
      <c r="CU187" s="549"/>
      <c r="CV187" s="549"/>
      <c r="CW187" s="462"/>
      <c r="CX187" s="462"/>
      <c r="CY187" s="462"/>
      <c r="CZ187" s="462"/>
      <c r="DA187" s="462"/>
      <c r="DB187" s="462"/>
      <c r="DC187" s="462"/>
      <c r="DD187" s="462"/>
      <c r="DE187" s="462"/>
      <c r="DF187" s="462"/>
      <c r="DG187" s="462"/>
      <c r="DH187" s="462"/>
      <c r="DI187" s="462"/>
      <c r="DJ187" s="462"/>
      <c r="DK187" s="462"/>
      <c r="DL187" s="462"/>
      <c r="DM187" s="462"/>
      <c r="DN187" s="462"/>
      <c r="DO187" s="462"/>
      <c r="DP187" s="462"/>
      <c r="DQ187" s="462"/>
      <c r="DR187" s="462"/>
    </row>
    <row r="188" spans="2:122" s="546" customFormat="1" x14ac:dyDescent="0.2">
      <c r="B188" s="1577" t="str">
        <f t="shared" ref="B188:B193" si="171">B176</f>
        <v>Investitionsgut 2</v>
      </c>
      <c r="C188" s="1578"/>
      <c r="D188" s="1503">
        <f t="shared" ref="D188:O188" ca="1" si="172">IF($G176="x",0,IF(OR(D$185&lt;$E176,D$185&gt;$I176),0,$H176))</f>
        <v>0</v>
      </c>
      <c r="E188" s="1503">
        <f t="shared" ca="1" si="172"/>
        <v>0</v>
      </c>
      <c r="F188" s="1503">
        <f t="shared" ca="1" si="172"/>
        <v>0</v>
      </c>
      <c r="G188" s="1503">
        <f t="shared" ca="1" si="172"/>
        <v>0</v>
      </c>
      <c r="H188" s="1503">
        <f t="shared" ca="1" si="172"/>
        <v>0</v>
      </c>
      <c r="I188" s="1503">
        <f t="shared" ca="1" si="172"/>
        <v>0</v>
      </c>
      <c r="J188" s="1503">
        <f t="shared" ca="1" si="172"/>
        <v>0</v>
      </c>
      <c r="K188" s="1503">
        <f t="shared" ca="1" si="172"/>
        <v>0</v>
      </c>
      <c r="L188" s="1503">
        <f t="shared" ca="1" si="172"/>
        <v>0</v>
      </c>
      <c r="M188" s="1503">
        <f t="shared" ca="1" si="172"/>
        <v>0</v>
      </c>
      <c r="N188" s="1503">
        <f t="shared" ca="1" si="172"/>
        <v>0</v>
      </c>
      <c r="O188" s="1503">
        <f t="shared" ca="1" si="172"/>
        <v>0</v>
      </c>
      <c r="P188" s="1504">
        <f t="shared" ref="P188:P193" ca="1" si="173">SUM(D188:O188)</f>
        <v>0</v>
      </c>
      <c r="Q188" s="1290"/>
      <c r="R188" s="1290"/>
      <c r="S188" s="1291"/>
      <c r="T188" s="547"/>
      <c r="U188" s="547"/>
      <c r="V188" s="547"/>
      <c r="W188" s="547"/>
      <c r="X188" s="547"/>
      <c r="Y188" s="547"/>
      <c r="Z188" s="547"/>
      <c r="AA188" s="547"/>
      <c r="AB188" s="547"/>
      <c r="CQ188" s="462"/>
      <c r="CR188" s="462"/>
      <c r="CS188" s="462"/>
      <c r="CT188" s="462"/>
      <c r="CU188" s="549"/>
      <c r="CV188" s="549"/>
      <c r="CW188" s="462"/>
      <c r="CX188" s="462"/>
      <c r="CY188" s="462"/>
      <c r="CZ188" s="462"/>
      <c r="DA188" s="462"/>
      <c r="DB188" s="462"/>
      <c r="DC188" s="462"/>
      <c r="DD188" s="462"/>
      <c r="DE188" s="462"/>
      <c r="DF188" s="462"/>
      <c r="DG188" s="462"/>
      <c r="DH188" s="462"/>
      <c r="DI188" s="462"/>
      <c r="DJ188" s="462"/>
      <c r="DK188" s="462"/>
      <c r="DL188" s="462"/>
      <c r="DM188" s="462"/>
      <c r="DN188" s="462"/>
      <c r="DO188" s="462"/>
      <c r="DP188" s="462"/>
      <c r="DQ188" s="462"/>
      <c r="DR188" s="462"/>
    </row>
    <row r="189" spans="2:122" s="546" customFormat="1" x14ac:dyDescent="0.2">
      <c r="B189" s="1577" t="str">
        <f t="shared" si="171"/>
        <v>Investitionsgut 3</v>
      </c>
      <c r="C189" s="1578"/>
      <c r="D189" s="1503">
        <f t="shared" ref="D189:O189" ca="1" si="174">IF($G177="x",0,IF(OR(D$185&lt;$E177,D$185&gt;$I177),0,$H177))</f>
        <v>0</v>
      </c>
      <c r="E189" s="1503">
        <f t="shared" ca="1" si="174"/>
        <v>0</v>
      </c>
      <c r="F189" s="1503">
        <f t="shared" ca="1" si="174"/>
        <v>0</v>
      </c>
      <c r="G189" s="1503">
        <f t="shared" ca="1" si="174"/>
        <v>0</v>
      </c>
      <c r="H189" s="1503">
        <f t="shared" ca="1" si="174"/>
        <v>0</v>
      </c>
      <c r="I189" s="1503">
        <f t="shared" ca="1" si="174"/>
        <v>0</v>
      </c>
      <c r="J189" s="1503">
        <f t="shared" ca="1" si="174"/>
        <v>0</v>
      </c>
      <c r="K189" s="1503">
        <f t="shared" ca="1" si="174"/>
        <v>0</v>
      </c>
      <c r="L189" s="1503">
        <f t="shared" ca="1" si="174"/>
        <v>0</v>
      </c>
      <c r="M189" s="1503">
        <f t="shared" ca="1" si="174"/>
        <v>0</v>
      </c>
      <c r="N189" s="1503">
        <f t="shared" ca="1" si="174"/>
        <v>0</v>
      </c>
      <c r="O189" s="1503">
        <f t="shared" ca="1" si="174"/>
        <v>0</v>
      </c>
      <c r="P189" s="1504">
        <f t="shared" ca="1" si="173"/>
        <v>0</v>
      </c>
      <c r="Q189" s="1290"/>
      <c r="R189" s="1290"/>
      <c r="S189" s="1291"/>
      <c r="T189" s="547"/>
      <c r="U189" s="547"/>
      <c r="V189" s="547"/>
      <c r="W189" s="547"/>
      <c r="X189" s="547"/>
      <c r="Y189" s="547"/>
      <c r="Z189" s="547"/>
      <c r="AA189" s="547"/>
      <c r="AB189" s="547"/>
      <c r="CQ189" s="462"/>
      <c r="CR189" s="462"/>
      <c r="CS189" s="462"/>
      <c r="CT189" s="462"/>
      <c r="CU189" s="549"/>
      <c r="CV189" s="549"/>
      <c r="CW189" s="462"/>
      <c r="CX189" s="462"/>
      <c r="CY189" s="462"/>
      <c r="CZ189" s="462"/>
      <c r="DA189" s="462"/>
      <c r="DB189" s="462"/>
      <c r="DC189" s="462"/>
      <c r="DD189" s="462"/>
      <c r="DE189" s="462"/>
      <c r="DF189" s="462"/>
      <c r="DG189" s="462"/>
      <c r="DH189" s="462"/>
      <c r="DI189" s="462"/>
      <c r="DJ189" s="462"/>
      <c r="DK189" s="462"/>
      <c r="DL189" s="462"/>
      <c r="DM189" s="462"/>
      <c r="DN189" s="462"/>
      <c r="DO189" s="462"/>
      <c r="DP189" s="462"/>
      <c r="DQ189" s="462"/>
      <c r="DR189" s="462"/>
    </row>
    <row r="190" spans="2:122" s="546" customFormat="1" x14ac:dyDescent="0.2">
      <c r="B190" s="1577" t="str">
        <f t="shared" si="171"/>
        <v>Investitionsgut 4</v>
      </c>
      <c r="C190" s="1578"/>
      <c r="D190" s="1503">
        <f t="shared" ref="D190:O190" ca="1" si="175">IF($G178="x",0,IF(OR(D$185&lt;$E178,D$185&gt;$I178),0,$H178))</f>
        <v>0</v>
      </c>
      <c r="E190" s="1503">
        <f t="shared" ca="1" si="175"/>
        <v>0</v>
      </c>
      <c r="F190" s="1503">
        <f t="shared" ca="1" si="175"/>
        <v>0</v>
      </c>
      <c r="G190" s="1503">
        <f t="shared" ca="1" si="175"/>
        <v>0</v>
      </c>
      <c r="H190" s="1503">
        <f t="shared" ca="1" si="175"/>
        <v>0</v>
      </c>
      <c r="I190" s="1503">
        <f t="shared" ca="1" si="175"/>
        <v>0</v>
      </c>
      <c r="J190" s="1503">
        <f t="shared" ca="1" si="175"/>
        <v>0</v>
      </c>
      <c r="K190" s="1503">
        <f t="shared" ca="1" si="175"/>
        <v>0</v>
      </c>
      <c r="L190" s="1503">
        <f t="shared" ca="1" si="175"/>
        <v>0</v>
      </c>
      <c r="M190" s="1503">
        <f t="shared" ca="1" si="175"/>
        <v>0</v>
      </c>
      <c r="N190" s="1503">
        <f t="shared" ca="1" si="175"/>
        <v>0</v>
      </c>
      <c r="O190" s="1503">
        <f t="shared" ca="1" si="175"/>
        <v>0</v>
      </c>
      <c r="P190" s="1504">
        <f t="shared" ca="1" si="173"/>
        <v>0</v>
      </c>
      <c r="Q190" s="1290"/>
      <c r="R190" s="1290"/>
      <c r="S190" s="1291"/>
      <c r="T190" s="547"/>
      <c r="U190" s="547"/>
      <c r="V190" s="547"/>
      <c r="W190" s="547"/>
      <c r="X190" s="547"/>
      <c r="Y190" s="547"/>
      <c r="Z190" s="547"/>
      <c r="AA190" s="547"/>
      <c r="AB190" s="547"/>
      <c r="CQ190" s="462"/>
      <c r="CR190" s="462"/>
      <c r="CS190" s="462"/>
      <c r="CT190" s="462"/>
      <c r="CU190" s="549"/>
      <c r="CV190" s="549"/>
      <c r="CW190" s="462"/>
      <c r="CX190" s="462"/>
      <c r="CY190" s="462"/>
      <c r="CZ190" s="462"/>
      <c r="DA190" s="462"/>
      <c r="DB190" s="462"/>
      <c r="DC190" s="462"/>
      <c r="DD190" s="462"/>
      <c r="DE190" s="462"/>
      <c r="DF190" s="462"/>
      <c r="DG190" s="462"/>
      <c r="DH190" s="462"/>
      <c r="DI190" s="462"/>
      <c r="DJ190" s="462"/>
      <c r="DK190" s="462"/>
      <c r="DL190" s="462"/>
      <c r="DM190" s="462"/>
      <c r="DN190" s="462"/>
      <c r="DO190" s="462"/>
      <c r="DP190" s="462"/>
      <c r="DQ190" s="462"/>
      <c r="DR190" s="462"/>
    </row>
    <row r="191" spans="2:122" s="546" customFormat="1" x14ac:dyDescent="0.2">
      <c r="B191" s="1577" t="str">
        <f t="shared" si="171"/>
        <v>Investitionsgut 5</v>
      </c>
      <c r="C191" s="1578"/>
      <c r="D191" s="1503">
        <f t="shared" ref="D191:O191" ca="1" si="176">IF($G179="x",0,IF(OR(D$185&lt;$E179,D$185&gt;$I179),0,$H179))</f>
        <v>0</v>
      </c>
      <c r="E191" s="1503">
        <f t="shared" ca="1" si="176"/>
        <v>0</v>
      </c>
      <c r="F191" s="1503">
        <f t="shared" ca="1" si="176"/>
        <v>0</v>
      </c>
      <c r="G191" s="1503">
        <f t="shared" ca="1" si="176"/>
        <v>0</v>
      </c>
      <c r="H191" s="1503">
        <f t="shared" ca="1" si="176"/>
        <v>0</v>
      </c>
      <c r="I191" s="1503">
        <f t="shared" ca="1" si="176"/>
        <v>0</v>
      </c>
      <c r="J191" s="1503">
        <f t="shared" ca="1" si="176"/>
        <v>0</v>
      </c>
      <c r="K191" s="1503">
        <f t="shared" ca="1" si="176"/>
        <v>0</v>
      </c>
      <c r="L191" s="1503">
        <f t="shared" ca="1" si="176"/>
        <v>0</v>
      </c>
      <c r="M191" s="1503">
        <f t="shared" ca="1" si="176"/>
        <v>0</v>
      </c>
      <c r="N191" s="1503">
        <f t="shared" ca="1" si="176"/>
        <v>0</v>
      </c>
      <c r="O191" s="1503">
        <f t="shared" ca="1" si="176"/>
        <v>0</v>
      </c>
      <c r="P191" s="1504">
        <f t="shared" ca="1" si="173"/>
        <v>0</v>
      </c>
      <c r="Q191" s="1290"/>
      <c r="R191" s="1290"/>
      <c r="S191" s="1291"/>
      <c r="T191" s="547"/>
      <c r="U191" s="547"/>
      <c r="V191" s="547"/>
      <c r="W191" s="547"/>
      <c r="X191" s="547"/>
      <c r="Y191" s="547"/>
      <c r="Z191" s="547"/>
      <c r="AA191" s="547"/>
      <c r="AB191" s="547"/>
      <c r="CQ191" s="462"/>
      <c r="CR191" s="462"/>
      <c r="CS191" s="462"/>
      <c r="CT191" s="462"/>
      <c r="CU191" s="549"/>
      <c r="CV191" s="549"/>
      <c r="CW191" s="462"/>
      <c r="CX191" s="462"/>
      <c r="CY191" s="462"/>
      <c r="CZ191" s="462"/>
      <c r="DA191" s="462"/>
      <c r="DB191" s="462"/>
      <c r="DC191" s="462"/>
      <c r="DD191" s="462"/>
      <c r="DE191" s="462"/>
      <c r="DF191" s="462"/>
      <c r="DG191" s="462"/>
      <c r="DH191" s="462"/>
      <c r="DI191" s="462"/>
      <c r="DJ191" s="462"/>
      <c r="DK191" s="462"/>
      <c r="DL191" s="462"/>
      <c r="DM191" s="462"/>
      <c r="DN191" s="462"/>
      <c r="DO191" s="462"/>
      <c r="DP191" s="462"/>
      <c r="DQ191" s="462"/>
      <c r="DR191" s="462"/>
    </row>
    <row r="192" spans="2:122" s="546" customFormat="1" x14ac:dyDescent="0.2">
      <c r="B192" s="1577" t="str">
        <f t="shared" si="171"/>
        <v>Investitionsgut 6</v>
      </c>
      <c r="C192" s="1578"/>
      <c r="D192" s="1503">
        <f t="shared" ref="D192:O192" ca="1" si="177">IF($G180="x",0,IF(OR(D$185&lt;$E180,D$185&gt;$I180),0,$H180))</f>
        <v>0</v>
      </c>
      <c r="E192" s="1503">
        <f t="shared" ca="1" si="177"/>
        <v>0</v>
      </c>
      <c r="F192" s="1503">
        <f t="shared" ca="1" si="177"/>
        <v>0</v>
      </c>
      <c r="G192" s="1503">
        <f t="shared" ca="1" si="177"/>
        <v>0</v>
      </c>
      <c r="H192" s="1503">
        <f t="shared" ca="1" si="177"/>
        <v>0</v>
      </c>
      <c r="I192" s="1503">
        <f t="shared" ca="1" si="177"/>
        <v>0</v>
      </c>
      <c r="J192" s="1503">
        <f t="shared" ca="1" si="177"/>
        <v>0</v>
      </c>
      <c r="K192" s="1503">
        <f t="shared" ca="1" si="177"/>
        <v>0</v>
      </c>
      <c r="L192" s="1503">
        <f t="shared" ca="1" si="177"/>
        <v>0</v>
      </c>
      <c r="M192" s="1503">
        <f t="shared" ca="1" si="177"/>
        <v>0</v>
      </c>
      <c r="N192" s="1503">
        <f t="shared" ca="1" si="177"/>
        <v>0</v>
      </c>
      <c r="O192" s="1503">
        <f t="shared" ca="1" si="177"/>
        <v>0</v>
      </c>
      <c r="P192" s="1504">
        <f t="shared" ca="1" si="173"/>
        <v>0</v>
      </c>
      <c r="Q192" s="1290"/>
      <c r="R192" s="1290"/>
      <c r="S192" s="1291"/>
      <c r="T192" s="547"/>
      <c r="U192" s="547"/>
      <c r="V192" s="547"/>
      <c r="W192" s="547"/>
      <c r="X192" s="547"/>
      <c r="Y192" s="547"/>
      <c r="Z192" s="547"/>
      <c r="AA192" s="547"/>
      <c r="AB192" s="547"/>
      <c r="CQ192" s="462"/>
      <c r="CR192" s="462"/>
      <c r="CS192" s="462"/>
      <c r="CT192" s="462"/>
      <c r="CU192" s="549"/>
      <c r="CV192" s="549"/>
      <c r="CW192" s="462"/>
      <c r="CX192" s="462"/>
      <c r="CY192" s="462"/>
      <c r="CZ192" s="462"/>
      <c r="DA192" s="462"/>
      <c r="DB192" s="462"/>
      <c r="DC192" s="462"/>
      <c r="DD192" s="462"/>
      <c r="DE192" s="462"/>
      <c r="DF192" s="462"/>
      <c r="DG192" s="462"/>
      <c r="DH192" s="462"/>
      <c r="DI192" s="462"/>
      <c r="DJ192" s="462"/>
      <c r="DK192" s="462"/>
      <c r="DL192" s="462"/>
      <c r="DM192" s="462"/>
      <c r="DN192" s="462"/>
      <c r="DO192" s="462"/>
      <c r="DP192" s="462"/>
      <c r="DQ192" s="462"/>
      <c r="DR192" s="462"/>
    </row>
    <row r="193" spans="1:122" s="546" customFormat="1" x14ac:dyDescent="0.2">
      <c r="B193" s="1579" t="str">
        <f t="shared" si="171"/>
        <v>Investitionsgut 7</v>
      </c>
      <c r="C193" s="1580"/>
      <c r="D193" s="1503">
        <f t="shared" ref="D193:O193" ca="1" si="178">IF($G181="x",0,IF(OR(D$185&lt;$E181,D$185&gt;$I181),0,$H181))</f>
        <v>0</v>
      </c>
      <c r="E193" s="1503">
        <f t="shared" ca="1" si="178"/>
        <v>0</v>
      </c>
      <c r="F193" s="1503">
        <f t="shared" ca="1" si="178"/>
        <v>0</v>
      </c>
      <c r="G193" s="1503">
        <f t="shared" ca="1" si="178"/>
        <v>0</v>
      </c>
      <c r="H193" s="1503">
        <f t="shared" ca="1" si="178"/>
        <v>0</v>
      </c>
      <c r="I193" s="1503">
        <f t="shared" ca="1" si="178"/>
        <v>0</v>
      </c>
      <c r="J193" s="1503">
        <f t="shared" ca="1" si="178"/>
        <v>0</v>
      </c>
      <c r="K193" s="1503">
        <f t="shared" ca="1" si="178"/>
        <v>0</v>
      </c>
      <c r="L193" s="1503">
        <f t="shared" ca="1" si="178"/>
        <v>0</v>
      </c>
      <c r="M193" s="1503">
        <f t="shared" ca="1" si="178"/>
        <v>0</v>
      </c>
      <c r="N193" s="1503">
        <f t="shared" ca="1" si="178"/>
        <v>0</v>
      </c>
      <c r="O193" s="1503">
        <f t="shared" ca="1" si="178"/>
        <v>0</v>
      </c>
      <c r="P193" s="1513">
        <f t="shared" ca="1" si="173"/>
        <v>0</v>
      </c>
      <c r="Q193" s="1290"/>
      <c r="R193" s="1290"/>
      <c r="S193" s="1291"/>
      <c r="T193" s="547"/>
      <c r="U193" s="547"/>
      <c r="V193" s="547"/>
      <c r="W193" s="547"/>
      <c r="X193" s="547"/>
      <c r="Y193" s="547"/>
      <c r="Z193" s="547"/>
      <c r="AA193" s="547"/>
      <c r="AB193" s="547"/>
      <c r="CQ193" s="462"/>
      <c r="CR193" s="462"/>
      <c r="CS193" s="462"/>
      <c r="CT193" s="462"/>
      <c r="CU193" s="549"/>
      <c r="CV193" s="549"/>
      <c r="CW193" s="462"/>
      <c r="CX193" s="462"/>
      <c r="CY193" s="462"/>
      <c r="CZ193" s="462"/>
      <c r="DA193" s="462"/>
      <c r="DB193" s="462"/>
      <c r="DC193" s="462"/>
      <c r="DD193" s="462"/>
      <c r="DE193" s="462"/>
      <c r="DF193" s="462"/>
      <c r="DG193" s="462"/>
      <c r="DH193" s="462"/>
      <c r="DI193" s="462"/>
      <c r="DJ193" s="462"/>
      <c r="DK193" s="462"/>
      <c r="DL193" s="462"/>
      <c r="DM193" s="462"/>
      <c r="DN193" s="462"/>
      <c r="DO193" s="462"/>
      <c r="DP193" s="462"/>
      <c r="DQ193" s="462"/>
      <c r="DR193" s="462"/>
    </row>
    <row r="194" spans="1:122" s="546" customFormat="1" x14ac:dyDescent="0.2">
      <c r="B194" s="1581" t="str">
        <f>B168</f>
        <v>Sammelposten</v>
      </c>
      <c r="C194" s="1582"/>
      <c r="D194" s="1516">
        <v>0</v>
      </c>
      <c r="E194" s="1516">
        <v>0</v>
      </c>
      <c r="F194" s="1516">
        <v>0</v>
      </c>
      <c r="G194" s="1516">
        <v>0</v>
      </c>
      <c r="H194" s="1516">
        <v>0</v>
      </c>
      <c r="I194" s="1516">
        <v>0</v>
      </c>
      <c r="J194" s="1516">
        <v>0</v>
      </c>
      <c r="K194" s="1516">
        <v>0</v>
      </c>
      <c r="L194" s="1516">
        <v>0</v>
      </c>
      <c r="M194" s="1516">
        <v>0</v>
      </c>
      <c r="N194" s="1516">
        <v>0</v>
      </c>
      <c r="O194" s="1516">
        <v>0</v>
      </c>
      <c r="P194" s="1517">
        <f>SUM(D194:O194)</f>
        <v>0</v>
      </c>
      <c r="Q194" s="1290"/>
      <c r="R194" s="1290"/>
      <c r="S194" s="1291"/>
      <c r="T194" s="547"/>
      <c r="U194" s="547"/>
      <c r="V194" s="547"/>
      <c r="W194" s="547"/>
      <c r="X194" s="547"/>
      <c r="Y194" s="547"/>
      <c r="Z194" s="547"/>
      <c r="AA194" s="547"/>
      <c r="AB194" s="547"/>
      <c r="CQ194" s="462"/>
      <c r="CR194" s="462"/>
      <c r="CS194" s="462"/>
      <c r="CT194" s="462"/>
      <c r="CU194" s="549"/>
      <c r="CV194" s="549"/>
      <c r="CW194" s="462"/>
      <c r="CX194" s="462"/>
      <c r="CY194" s="462"/>
      <c r="CZ194" s="462"/>
      <c r="DA194" s="462"/>
      <c r="DB194" s="462"/>
      <c r="DC194" s="462"/>
      <c r="DD194" s="462"/>
      <c r="DE194" s="462"/>
      <c r="DF194" s="462"/>
      <c r="DG194" s="462"/>
      <c r="DH194" s="462"/>
      <c r="DI194" s="462"/>
      <c r="DJ194" s="462"/>
      <c r="DK194" s="462"/>
      <c r="DL194" s="462"/>
      <c r="DM194" s="462"/>
      <c r="DN194" s="462"/>
      <c r="DO194" s="462"/>
      <c r="DP194" s="462"/>
      <c r="DQ194" s="462"/>
      <c r="DR194" s="462"/>
    </row>
    <row r="195" spans="1:122" s="219" customFormat="1" ht="15" thickBot="1" x14ac:dyDescent="0.25">
      <c r="B195" s="1518" t="str">
        <f>"Summe" &amp;" "&amp;B194</f>
        <v>Summe Sammelposten</v>
      </c>
      <c r="C195" s="1519"/>
      <c r="D195" s="1520">
        <f ca="1">D194+D169</f>
        <v>0</v>
      </c>
      <c r="E195" s="1520">
        <f t="shared" ref="E195" ca="1" si="179">E194+E169</f>
        <v>0</v>
      </c>
      <c r="F195" s="1520">
        <f t="shared" ref="F195" ca="1" si="180">F194+F169</f>
        <v>0</v>
      </c>
      <c r="G195" s="1520">
        <f t="shared" ref="G195" ca="1" si="181">G194+G169</f>
        <v>0</v>
      </c>
      <c r="H195" s="1520">
        <f t="shared" ref="H195" ca="1" si="182">H194+H169</f>
        <v>0</v>
      </c>
      <c r="I195" s="1520">
        <f t="shared" ref="I195" ca="1" si="183">I194+I169</f>
        <v>0</v>
      </c>
      <c r="J195" s="1520">
        <f t="shared" ref="J195" ca="1" si="184">J194+J169</f>
        <v>0</v>
      </c>
      <c r="K195" s="1520">
        <f t="shared" ref="K195" ca="1" si="185">K194+K169</f>
        <v>0</v>
      </c>
      <c r="L195" s="1520">
        <f t="shared" ref="L195" ca="1" si="186">L194+L169</f>
        <v>0</v>
      </c>
      <c r="M195" s="1520">
        <f t="shared" ref="M195" ca="1" si="187">M194+M169</f>
        <v>0</v>
      </c>
      <c r="N195" s="1520">
        <f t="shared" ref="N195" ca="1" si="188">N194+N169</f>
        <v>0</v>
      </c>
      <c r="O195" s="1520">
        <f t="shared" ref="O195" ca="1" si="189">O194+O169</f>
        <v>0</v>
      </c>
      <c r="P195" s="1522">
        <f ca="1">SUM(D195:O195)</f>
        <v>0</v>
      </c>
      <c r="S195" s="256"/>
      <c r="CQ195" s="222"/>
      <c r="CR195" s="222"/>
      <c r="CS195" s="222"/>
      <c r="CT195" s="222"/>
      <c r="CU195" s="283"/>
      <c r="CV195" s="233"/>
      <c r="CW195" s="223"/>
      <c r="CX195" s="222"/>
      <c r="CY195" s="222"/>
      <c r="CZ195" s="222"/>
      <c r="DA195" s="222"/>
      <c r="DB195" s="222"/>
      <c r="DC195" s="222"/>
      <c r="DD195" s="222"/>
      <c r="DE195" s="222"/>
      <c r="DF195" s="222"/>
      <c r="DG195" s="222"/>
      <c r="DH195" s="223"/>
      <c r="DI195" s="223"/>
      <c r="DJ195" s="223"/>
      <c r="DK195" s="223"/>
      <c r="DL195" s="223"/>
      <c r="DM195" s="223"/>
      <c r="DN195" s="223"/>
      <c r="DO195" s="223"/>
      <c r="DP195" s="223"/>
      <c r="DQ195" s="223"/>
      <c r="DR195" s="223"/>
    </row>
    <row r="196" spans="1:122" s="546" customFormat="1" ht="15.75" thickTop="1" thickBot="1" x14ac:dyDescent="0.25">
      <c r="A196" s="1501"/>
      <c r="B196" s="1635" t="str">
        <f>B170</f>
        <v>Summe Abschreibungen</v>
      </c>
      <c r="C196" s="1636"/>
      <c r="D196" s="1514">
        <f ca="1">SUM(D187:D193)+D195</f>
        <v>0</v>
      </c>
      <c r="E196" s="1514">
        <f t="shared" ref="E196" ca="1" si="190">SUM(E187:E193)+E195</f>
        <v>0</v>
      </c>
      <c r="F196" s="1514">
        <f t="shared" ref="F196" ca="1" si="191">SUM(F187:F193)+F195</f>
        <v>0</v>
      </c>
      <c r="G196" s="1514">
        <f t="shared" ref="G196" ca="1" si="192">SUM(G187:G193)+G195</f>
        <v>0</v>
      </c>
      <c r="H196" s="1514">
        <f t="shared" ref="H196" ca="1" si="193">SUM(H187:H193)+H195</f>
        <v>0</v>
      </c>
      <c r="I196" s="1514">
        <f t="shared" ref="I196" ca="1" si="194">SUM(I187:I193)+I195</f>
        <v>0</v>
      </c>
      <c r="J196" s="1514">
        <f t="shared" ref="J196" ca="1" si="195">SUM(J187:J193)+J195</f>
        <v>0</v>
      </c>
      <c r="K196" s="1514">
        <f t="shared" ref="K196" ca="1" si="196">SUM(K187:K193)+K195</f>
        <v>0</v>
      </c>
      <c r="L196" s="1514">
        <f t="shared" ref="L196" ca="1" si="197">SUM(L187:L193)+L195</f>
        <v>0</v>
      </c>
      <c r="M196" s="1514">
        <f t="shared" ref="M196" ca="1" si="198">SUM(M187:M193)+M195</f>
        <v>0</v>
      </c>
      <c r="N196" s="1514">
        <f t="shared" ref="N196" ca="1" si="199">SUM(N187:N193)+N195</f>
        <v>0</v>
      </c>
      <c r="O196" s="1514">
        <f t="shared" ref="O196" ca="1" si="200">SUM(O187:O193)+O195</f>
        <v>0</v>
      </c>
      <c r="P196" s="1515">
        <f ca="1">SUM(D196:O196)</f>
        <v>0</v>
      </c>
      <c r="Q196" s="1290"/>
      <c r="R196" s="1290"/>
      <c r="S196" s="1291"/>
      <c r="T196" s="547"/>
      <c r="U196" s="547"/>
      <c r="V196" s="547"/>
      <c r="W196" s="547"/>
      <c r="X196" s="547"/>
      <c r="Y196" s="547"/>
      <c r="Z196" s="547"/>
      <c r="AA196" s="547"/>
      <c r="AB196" s="547"/>
      <c r="CQ196" s="462"/>
      <c r="CR196" s="462"/>
      <c r="CS196" s="462"/>
      <c r="CT196" s="462"/>
      <c r="CU196" s="549"/>
      <c r="CV196" s="549"/>
      <c r="CW196" s="462"/>
      <c r="CX196" s="462"/>
      <c r="CY196" s="462"/>
      <c r="CZ196" s="462"/>
      <c r="DA196" s="462"/>
      <c r="DB196" s="462"/>
      <c r="DC196" s="462"/>
      <c r="DD196" s="462"/>
      <c r="DE196" s="462"/>
      <c r="DF196" s="462"/>
      <c r="DG196" s="462"/>
      <c r="DH196" s="462"/>
      <c r="DI196" s="462"/>
      <c r="DJ196" s="462"/>
      <c r="DK196" s="462"/>
      <c r="DL196" s="462"/>
      <c r="DM196" s="462"/>
      <c r="DN196" s="462"/>
      <c r="DO196" s="462"/>
      <c r="DP196" s="462"/>
      <c r="DQ196" s="462"/>
      <c r="DR196" s="462"/>
    </row>
    <row r="197" spans="1:122" s="546" customFormat="1" x14ac:dyDescent="0.2">
      <c r="B197" s="792"/>
      <c r="C197" s="1501"/>
      <c r="D197" s="1501"/>
      <c r="E197" s="1501"/>
      <c r="F197" s="1501"/>
      <c r="G197" s="1501"/>
      <c r="H197" s="1501"/>
      <c r="I197" s="1501"/>
      <c r="J197" s="1501"/>
      <c r="K197" s="1501"/>
      <c r="L197" s="1501"/>
      <c r="M197" s="1501"/>
      <c r="N197" s="1501"/>
      <c r="O197" s="1496"/>
      <c r="P197" s="1290"/>
      <c r="Q197" s="1290"/>
      <c r="R197" s="1290"/>
      <c r="S197" s="1291"/>
      <c r="T197" s="547"/>
      <c r="U197" s="547"/>
      <c r="V197" s="547"/>
      <c r="W197" s="547"/>
      <c r="X197" s="547"/>
      <c r="Y197" s="547"/>
      <c r="Z197" s="547"/>
      <c r="AA197" s="547"/>
      <c r="AB197" s="547"/>
      <c r="CQ197" s="462"/>
      <c r="CR197" s="462"/>
      <c r="CS197" s="462"/>
      <c r="CT197" s="462"/>
      <c r="CU197" s="549"/>
      <c r="CV197" s="549"/>
      <c r="CW197" s="462"/>
      <c r="CX197" s="462"/>
      <c r="CY197" s="462"/>
      <c r="CZ197" s="462"/>
      <c r="DA197" s="462"/>
      <c r="DB197" s="462"/>
      <c r="DC197" s="462"/>
      <c r="DD197" s="462"/>
      <c r="DE197" s="462"/>
      <c r="DF197" s="462"/>
      <c r="DG197" s="462"/>
      <c r="DH197" s="462"/>
      <c r="DI197" s="462"/>
      <c r="DJ197" s="462"/>
      <c r="DK197" s="462"/>
      <c r="DL197" s="462"/>
      <c r="DM197" s="462"/>
      <c r="DN197" s="462"/>
      <c r="DO197" s="462"/>
      <c r="DP197" s="462"/>
      <c r="DQ197" s="462"/>
      <c r="DR197" s="462"/>
    </row>
    <row r="198" spans="1:122" s="546" customFormat="1" x14ac:dyDescent="0.2">
      <c r="B198" s="792"/>
      <c r="C198" s="1501"/>
      <c r="D198" s="1501"/>
      <c r="E198" s="1501"/>
      <c r="F198" s="1501"/>
      <c r="G198" s="1501"/>
      <c r="H198" s="1501"/>
      <c r="I198" s="1501"/>
      <c r="J198" s="1501"/>
      <c r="K198" s="1501"/>
      <c r="L198" s="1501"/>
      <c r="M198" s="1501"/>
      <c r="N198" s="1501"/>
      <c r="O198" s="1496"/>
      <c r="P198" s="1290"/>
      <c r="Q198" s="1290"/>
      <c r="R198" s="1290"/>
      <c r="S198" s="1291"/>
      <c r="T198" s="547"/>
      <c r="U198" s="547"/>
      <c r="V198" s="547"/>
      <c r="W198" s="547"/>
      <c r="X198" s="547"/>
      <c r="Y198" s="547"/>
      <c r="Z198" s="547"/>
      <c r="AA198" s="547"/>
      <c r="AB198" s="547"/>
      <c r="CQ198" s="462"/>
      <c r="CR198" s="462"/>
      <c r="CS198" s="462"/>
      <c r="CT198" s="462"/>
      <c r="CU198" s="549"/>
      <c r="CV198" s="549"/>
      <c r="CW198" s="462"/>
      <c r="CX198" s="462"/>
      <c r="CY198" s="462"/>
      <c r="CZ198" s="462"/>
      <c r="DA198" s="462"/>
      <c r="DB198" s="462"/>
      <c r="DC198" s="462"/>
      <c r="DD198" s="462"/>
      <c r="DE198" s="462"/>
      <c r="DF198" s="462"/>
      <c r="DG198" s="462"/>
      <c r="DH198" s="462"/>
      <c r="DI198" s="462"/>
      <c r="DJ198" s="462"/>
      <c r="DK198" s="462"/>
      <c r="DL198" s="462"/>
      <c r="DM198" s="462"/>
      <c r="DN198" s="462"/>
      <c r="DO198" s="462"/>
      <c r="DP198" s="462"/>
      <c r="DQ198" s="462"/>
      <c r="DR198" s="462"/>
    </row>
    <row r="199" spans="1:122" s="546" customFormat="1" x14ac:dyDescent="0.2">
      <c r="B199" s="792"/>
      <c r="C199" s="1501"/>
      <c r="D199" s="1501"/>
      <c r="E199" s="1501"/>
      <c r="F199" s="1501"/>
      <c r="G199" s="1501"/>
      <c r="H199" s="1501"/>
      <c r="I199" s="1501"/>
      <c r="J199" s="1501"/>
      <c r="K199" s="1501"/>
      <c r="L199" s="1501"/>
      <c r="M199" s="1501"/>
      <c r="N199" s="1501"/>
      <c r="O199" s="1496"/>
      <c r="P199" s="1290"/>
      <c r="Q199" s="1290"/>
      <c r="R199" s="1290"/>
      <c r="S199" s="1291"/>
      <c r="T199" s="547"/>
      <c r="U199" s="547"/>
      <c r="V199" s="547"/>
      <c r="W199" s="547"/>
      <c r="X199" s="547"/>
      <c r="Y199" s="547"/>
      <c r="Z199" s="547"/>
      <c r="AA199" s="547"/>
      <c r="AB199" s="547"/>
      <c r="CQ199" s="462"/>
      <c r="CR199" s="462"/>
      <c r="CS199" s="462"/>
      <c r="CT199" s="462"/>
      <c r="CU199" s="549"/>
      <c r="CV199" s="549"/>
      <c r="CW199" s="446"/>
      <c r="CX199" s="462"/>
      <c r="CY199" s="462"/>
      <c r="CZ199" s="462"/>
      <c r="DA199" s="462"/>
      <c r="DB199" s="462"/>
      <c r="DC199" s="462"/>
      <c r="DD199" s="462"/>
      <c r="DE199" s="462"/>
      <c r="DF199" s="462"/>
      <c r="DG199" s="462"/>
      <c r="DH199" s="462"/>
      <c r="DI199" s="462"/>
      <c r="DJ199" s="462"/>
      <c r="DK199" s="462"/>
      <c r="DL199" s="462"/>
      <c r="DM199" s="462"/>
      <c r="DN199" s="462"/>
      <c r="DO199" s="462"/>
      <c r="DP199" s="462"/>
      <c r="DQ199" s="462"/>
      <c r="DR199" s="462"/>
    </row>
    <row r="200" spans="1:122" s="546" customFormat="1" x14ac:dyDescent="0.2">
      <c r="B200" s="792"/>
      <c r="C200" s="1501" t="str">
        <f>IF($C$2="English",CW200,CV200)</f>
        <v>Anschaffungen/Investitionen</v>
      </c>
      <c r="D200" s="1501">
        <f ca="1">'1 Pers.Ausgaben|Pers Expenses'!$C$4</f>
        <v>2017</v>
      </c>
      <c r="E200" s="1501"/>
      <c r="F200" s="1501">
        <f ca="1">D200+1</f>
        <v>2018</v>
      </c>
      <c r="G200" s="1501"/>
      <c r="H200" s="1501">
        <f ca="1">F200+1</f>
        <v>2019</v>
      </c>
      <c r="I200" s="1501"/>
      <c r="J200" s="1501">
        <f ca="1">H200+1</f>
        <v>2020</v>
      </c>
      <c r="K200" s="1501"/>
      <c r="L200" s="1501">
        <f ca="1">J200+1</f>
        <v>2021</v>
      </c>
      <c r="M200" s="1501"/>
      <c r="N200" s="1501"/>
      <c r="O200" s="1496"/>
      <c r="P200" s="1290"/>
      <c r="Q200" s="1290"/>
      <c r="R200" s="1290"/>
      <c r="S200" s="1291"/>
      <c r="T200" s="547"/>
      <c r="U200" s="547"/>
      <c r="V200" s="547"/>
      <c r="W200" s="547"/>
      <c r="X200" s="547"/>
      <c r="Y200" s="547"/>
      <c r="Z200" s="547"/>
      <c r="AA200" s="547"/>
      <c r="AB200" s="547"/>
      <c r="CQ200" s="462"/>
      <c r="CR200" s="462"/>
      <c r="CS200" s="462"/>
      <c r="CT200" s="462"/>
      <c r="CU200" s="549"/>
      <c r="CV200" s="1501" t="s">
        <v>751</v>
      </c>
      <c r="CW200" s="39" t="s">
        <v>757</v>
      </c>
      <c r="CX200" s="462"/>
      <c r="CY200" s="462"/>
      <c r="CZ200" s="462"/>
      <c r="DA200" s="462"/>
      <c r="DB200" s="462"/>
      <c r="DC200" s="462"/>
      <c r="DD200" s="462"/>
      <c r="DE200" s="462"/>
      <c r="DF200" s="462"/>
      <c r="DG200" s="462"/>
      <c r="DH200" s="462"/>
      <c r="DI200" s="462"/>
      <c r="DJ200" s="462"/>
      <c r="DK200" s="462"/>
      <c r="DL200" s="462"/>
      <c r="DM200" s="462"/>
      <c r="DN200" s="462"/>
      <c r="DO200" s="462"/>
      <c r="DP200" s="462"/>
      <c r="DQ200" s="462"/>
      <c r="DR200" s="462"/>
    </row>
    <row r="201" spans="1:122" s="546" customFormat="1" x14ac:dyDescent="0.2">
      <c r="B201" s="792"/>
      <c r="C201" s="1501" t="str">
        <f t="shared" ref="C201:C203" si="201">IF($C$2="English",CW201,CV201)</f>
        <v>Lageraufbau</v>
      </c>
      <c r="D201" s="1501">
        <f>J79</f>
        <v>0</v>
      </c>
      <c r="E201" s="1501"/>
      <c r="F201" s="1501">
        <f>J105</f>
        <v>0</v>
      </c>
      <c r="H201" s="1501">
        <f>J131</f>
        <v>0</v>
      </c>
      <c r="I201" s="1501"/>
      <c r="J201" s="1501">
        <f>J157</f>
        <v>0</v>
      </c>
      <c r="K201" s="1501"/>
      <c r="L201" s="1501">
        <f>J183</f>
        <v>0</v>
      </c>
      <c r="M201" s="1501"/>
      <c r="N201" s="1501"/>
      <c r="O201" s="1496"/>
      <c r="P201" s="1290"/>
      <c r="Q201" s="1290"/>
      <c r="R201" s="1290"/>
      <c r="S201" s="1291"/>
      <c r="T201" s="547"/>
      <c r="U201" s="547"/>
      <c r="V201" s="547"/>
      <c r="W201" s="547"/>
      <c r="X201" s="547"/>
      <c r="Y201" s="547"/>
      <c r="Z201" s="547"/>
      <c r="AA201" s="547"/>
      <c r="AB201" s="547"/>
      <c r="CQ201" s="462"/>
      <c r="CR201" s="462"/>
      <c r="CS201" s="462"/>
      <c r="CT201" s="462"/>
      <c r="CU201" s="549"/>
      <c r="CV201" s="1501" t="s">
        <v>754</v>
      </c>
      <c r="CW201" s="446" t="s">
        <v>756</v>
      </c>
      <c r="CX201" s="462"/>
      <c r="CY201" s="462"/>
      <c r="CZ201" s="462"/>
      <c r="DA201" s="462"/>
      <c r="DB201" s="462"/>
      <c r="DC201" s="462"/>
      <c r="DD201" s="462"/>
      <c r="DE201" s="462"/>
      <c r="DF201" s="462"/>
      <c r="DG201" s="462"/>
      <c r="DH201" s="462"/>
      <c r="DI201" s="462"/>
      <c r="DJ201" s="462"/>
      <c r="DK201" s="462"/>
      <c r="DL201" s="462"/>
      <c r="DM201" s="462"/>
      <c r="DN201" s="462"/>
      <c r="DO201" s="462"/>
      <c r="DP201" s="462"/>
      <c r="DQ201" s="462"/>
      <c r="DR201" s="462"/>
    </row>
    <row r="202" spans="1:122" s="546" customFormat="1" x14ac:dyDescent="0.2">
      <c r="B202" s="792"/>
      <c r="C202" s="1501" t="str">
        <f t="shared" si="201"/>
        <v>Investitionen</v>
      </c>
      <c r="D202" s="1501">
        <f>D79</f>
        <v>0</v>
      </c>
      <c r="F202" s="1501">
        <f>D105</f>
        <v>0</v>
      </c>
      <c r="H202" s="1501">
        <f>D131</f>
        <v>0</v>
      </c>
      <c r="I202" s="1501"/>
      <c r="J202" s="1501">
        <f>D157</f>
        <v>0</v>
      </c>
      <c r="K202" s="1501"/>
      <c r="L202" s="1501">
        <f>D183</f>
        <v>0</v>
      </c>
      <c r="M202" s="1501"/>
      <c r="N202" s="1501"/>
      <c r="O202" s="1496"/>
      <c r="P202" s="1290"/>
      <c r="Q202" s="1290"/>
      <c r="R202" s="1290"/>
      <c r="S202" s="1291"/>
      <c r="T202" s="547"/>
      <c r="U202" s="547"/>
      <c r="V202" s="547"/>
      <c r="W202" s="547"/>
      <c r="X202" s="547"/>
      <c r="Y202" s="547"/>
      <c r="Z202" s="547"/>
      <c r="AA202" s="547"/>
      <c r="AB202" s="547"/>
      <c r="CQ202" s="462"/>
      <c r="CR202" s="462"/>
      <c r="CS202" s="462"/>
      <c r="CT202" s="462"/>
      <c r="CU202" s="549"/>
      <c r="CV202" s="1501" t="s">
        <v>650</v>
      </c>
      <c r="CW202" s="446" t="s">
        <v>758</v>
      </c>
      <c r="CX202" s="462"/>
      <c r="CY202" s="462"/>
      <c r="CZ202" s="462"/>
      <c r="DA202" s="462"/>
      <c r="DB202" s="462"/>
      <c r="DC202" s="462"/>
      <c r="DD202" s="462"/>
      <c r="DE202" s="462"/>
      <c r="DF202" s="462"/>
      <c r="DG202" s="462"/>
      <c r="DH202" s="462"/>
      <c r="DI202" s="462"/>
      <c r="DJ202" s="462"/>
      <c r="DK202" s="462"/>
      <c r="DL202" s="462"/>
      <c r="DM202" s="462"/>
      <c r="DN202" s="462"/>
      <c r="DO202" s="462"/>
      <c r="DP202" s="462"/>
      <c r="DQ202" s="462"/>
      <c r="DR202" s="462"/>
    </row>
    <row r="203" spans="1:122" s="546" customFormat="1" x14ac:dyDescent="0.2">
      <c r="B203" s="792"/>
      <c r="C203" s="1501" t="str">
        <f t="shared" si="201"/>
        <v>Abschreibungen</v>
      </c>
      <c r="E203" s="1501">
        <f>P92</f>
        <v>0</v>
      </c>
      <c r="F203" s="1501"/>
      <c r="G203" s="1501">
        <f ca="1">P118</f>
        <v>0</v>
      </c>
      <c r="I203" s="1501">
        <f ca="1">P144</f>
        <v>0</v>
      </c>
      <c r="J203" s="1501"/>
      <c r="K203" s="1501">
        <f ca="1">P170</f>
        <v>0</v>
      </c>
      <c r="L203" s="1501"/>
      <c r="M203" s="1501">
        <f ca="1">P196</f>
        <v>0</v>
      </c>
      <c r="N203" s="1501"/>
      <c r="O203" s="1496"/>
      <c r="P203" s="1290"/>
      <c r="Q203" s="1290"/>
      <c r="R203" s="1290"/>
      <c r="S203" s="1291"/>
      <c r="T203" s="547"/>
      <c r="U203" s="547"/>
      <c r="V203" s="547"/>
      <c r="W203" s="547"/>
      <c r="X203" s="547"/>
      <c r="Y203" s="547"/>
      <c r="Z203" s="547"/>
      <c r="AA203" s="547"/>
      <c r="AB203" s="547"/>
      <c r="CQ203" s="462"/>
      <c r="CR203" s="462"/>
      <c r="CS203" s="462"/>
      <c r="CT203" s="462"/>
      <c r="CU203" s="549"/>
      <c r="CV203" s="1501" t="s">
        <v>155</v>
      </c>
      <c r="CW203" s="446" t="s">
        <v>755</v>
      </c>
      <c r="CX203" s="462"/>
      <c r="CY203" s="462"/>
      <c r="CZ203" s="462"/>
      <c r="DA203" s="462"/>
      <c r="DB203" s="462"/>
      <c r="DC203" s="462"/>
      <c r="DD203" s="462"/>
      <c r="DE203" s="462"/>
      <c r="DF203" s="462"/>
      <c r="DG203" s="462"/>
      <c r="DH203" s="462"/>
      <c r="DI203" s="462"/>
      <c r="DJ203" s="462"/>
      <c r="DK203" s="462"/>
      <c r="DL203" s="462"/>
      <c r="DM203" s="462"/>
      <c r="DN203" s="462"/>
      <c r="DO203" s="462"/>
      <c r="DP203" s="462"/>
      <c r="DQ203" s="462"/>
      <c r="DR203" s="462"/>
    </row>
    <row r="204" spans="1:122" s="546" customFormat="1" x14ac:dyDescent="0.2">
      <c r="B204" s="792"/>
      <c r="C204" s="1501"/>
      <c r="D204" s="1501"/>
      <c r="E204" s="1501"/>
      <c r="F204" s="1501"/>
      <c r="G204" s="1501"/>
      <c r="H204" s="1501"/>
      <c r="I204" s="1501"/>
      <c r="J204" s="1501"/>
      <c r="K204" s="1501"/>
      <c r="L204" s="1501"/>
      <c r="M204" s="1501"/>
      <c r="N204" s="1501"/>
      <c r="O204" s="1496"/>
      <c r="P204" s="1290"/>
      <c r="Q204" s="1290"/>
      <c r="R204" s="1290"/>
      <c r="S204" s="1291"/>
      <c r="T204" s="547"/>
      <c r="U204" s="547"/>
      <c r="V204" s="547"/>
      <c r="W204" s="547"/>
      <c r="X204" s="547"/>
      <c r="Y204" s="547"/>
      <c r="Z204" s="547"/>
      <c r="AA204" s="547"/>
      <c r="AB204" s="547"/>
      <c r="CQ204" s="462"/>
      <c r="CR204" s="462"/>
      <c r="CS204" s="462"/>
      <c r="CT204" s="462"/>
      <c r="CU204" s="549"/>
      <c r="CV204" s="549"/>
      <c r="CW204" s="446"/>
      <c r="CX204" s="462"/>
      <c r="CY204" s="462"/>
      <c r="CZ204" s="462"/>
      <c r="DA204" s="462"/>
      <c r="DB204" s="462"/>
      <c r="DC204" s="462"/>
      <c r="DD204" s="462"/>
      <c r="DE204" s="462"/>
      <c r="DF204" s="462"/>
      <c r="DG204" s="462"/>
      <c r="DH204" s="462"/>
      <c r="DI204" s="462"/>
      <c r="DJ204" s="462"/>
      <c r="DK204" s="462"/>
      <c r="DL204" s="462"/>
      <c r="DM204" s="462"/>
      <c r="DN204" s="462"/>
      <c r="DO204" s="462"/>
      <c r="DP204" s="462"/>
      <c r="DQ204" s="462"/>
      <c r="DR204" s="462"/>
    </row>
    <row r="205" spans="1:122" s="546" customFormat="1" x14ac:dyDescent="0.2">
      <c r="B205" s="792"/>
      <c r="C205" s="1501"/>
      <c r="D205" s="1501"/>
      <c r="E205" s="1501"/>
      <c r="F205" s="1501"/>
      <c r="G205" s="1501"/>
      <c r="H205" s="1501"/>
      <c r="I205" s="1501"/>
      <c r="J205" s="1501"/>
      <c r="K205" s="1501"/>
      <c r="L205" s="1501"/>
      <c r="M205" s="1501"/>
      <c r="N205" s="1501"/>
      <c r="O205" s="1496"/>
      <c r="P205" s="1290"/>
      <c r="Q205" s="1290"/>
      <c r="R205" s="1290"/>
      <c r="S205" s="1291"/>
      <c r="T205" s="547"/>
      <c r="U205" s="547"/>
      <c r="V205" s="547"/>
      <c r="W205" s="547"/>
      <c r="X205" s="547"/>
      <c r="Y205" s="547"/>
      <c r="Z205" s="547"/>
      <c r="AA205" s="547"/>
      <c r="AB205" s="547"/>
      <c r="CQ205" s="462"/>
      <c r="CR205" s="462"/>
      <c r="CS205" s="462"/>
      <c r="CT205" s="462"/>
      <c r="CU205" s="549"/>
      <c r="CV205" s="549"/>
      <c r="CW205" s="462"/>
      <c r="CX205" s="462"/>
      <c r="CY205" s="462"/>
      <c r="CZ205" s="462"/>
      <c r="DA205" s="462"/>
      <c r="DB205" s="462"/>
      <c r="DC205" s="462"/>
      <c r="DD205" s="462"/>
      <c r="DE205" s="462"/>
      <c r="DF205" s="462"/>
      <c r="DG205" s="462"/>
      <c r="DH205" s="462"/>
      <c r="DI205" s="462"/>
      <c r="DJ205" s="462"/>
      <c r="DK205" s="462"/>
      <c r="DL205" s="462"/>
      <c r="DM205" s="462"/>
      <c r="DN205" s="462"/>
      <c r="DO205" s="462"/>
      <c r="DP205" s="462"/>
      <c r="DQ205" s="462"/>
      <c r="DR205" s="462"/>
    </row>
    <row r="206" spans="1:122" s="546" customFormat="1" x14ac:dyDescent="0.2">
      <c r="B206" s="792"/>
      <c r="C206" s="1501"/>
      <c r="D206" s="1501"/>
      <c r="E206" s="1501"/>
      <c r="F206" s="1501"/>
      <c r="G206" s="1501"/>
      <c r="H206" s="1501"/>
      <c r="I206" s="1501"/>
      <c r="J206" s="1501"/>
      <c r="K206" s="1501"/>
      <c r="L206" s="1501"/>
      <c r="M206" s="1501"/>
      <c r="N206" s="1501"/>
      <c r="O206" s="1496"/>
      <c r="P206" s="1290"/>
      <c r="Q206" s="1290"/>
      <c r="R206" s="1290"/>
      <c r="S206" s="1291"/>
      <c r="T206" s="547"/>
      <c r="U206" s="547"/>
      <c r="V206" s="547"/>
      <c r="W206" s="547"/>
      <c r="X206" s="547"/>
      <c r="Y206" s="547"/>
      <c r="Z206" s="547"/>
      <c r="AA206" s="547"/>
      <c r="AB206" s="547"/>
      <c r="CQ206" s="462"/>
      <c r="CR206" s="462"/>
      <c r="CS206" s="462"/>
      <c r="CT206" s="462"/>
      <c r="CU206" s="549"/>
      <c r="CV206" s="549"/>
      <c r="CW206" s="462"/>
      <c r="CX206" s="462"/>
      <c r="CY206" s="462"/>
      <c r="CZ206" s="462"/>
      <c r="DA206" s="462"/>
      <c r="DB206" s="462"/>
      <c r="DC206" s="462"/>
      <c r="DD206" s="462"/>
      <c r="DE206" s="462"/>
      <c r="DF206" s="462"/>
      <c r="DG206" s="462"/>
      <c r="DH206" s="462"/>
      <c r="DI206" s="462"/>
      <c r="DJ206" s="462"/>
      <c r="DK206" s="462"/>
      <c r="DL206" s="462"/>
      <c r="DM206" s="462"/>
      <c r="DN206" s="462"/>
      <c r="DO206" s="462"/>
      <c r="DP206" s="462"/>
      <c r="DQ206" s="462"/>
      <c r="DR206" s="462"/>
    </row>
    <row r="207" spans="1:122" s="546" customFormat="1" x14ac:dyDescent="0.2">
      <c r="B207" s="792"/>
      <c r="C207" s="1501"/>
      <c r="D207" s="1501"/>
      <c r="E207" s="1501"/>
      <c r="F207" s="1501"/>
      <c r="G207" s="1501"/>
      <c r="H207" s="1501"/>
      <c r="I207" s="1501"/>
      <c r="J207" s="1501"/>
      <c r="K207" s="1501"/>
      <c r="L207" s="1501"/>
      <c r="M207" s="1501"/>
      <c r="N207" s="1501"/>
      <c r="O207" s="1496"/>
      <c r="P207" s="1290"/>
      <c r="Q207" s="1290"/>
      <c r="R207" s="1290"/>
      <c r="S207" s="1291"/>
      <c r="T207" s="547"/>
      <c r="U207" s="547"/>
      <c r="V207" s="547"/>
      <c r="W207" s="547"/>
      <c r="X207" s="547"/>
      <c r="Y207" s="547"/>
      <c r="Z207" s="547"/>
      <c r="AA207" s="547"/>
      <c r="AB207" s="547"/>
      <c r="CQ207" s="462"/>
      <c r="CR207" s="462"/>
      <c r="CS207" s="462"/>
      <c r="CT207" s="462"/>
      <c r="CU207" s="549"/>
      <c r="CV207" s="549"/>
      <c r="CW207" s="462"/>
      <c r="CX207" s="462"/>
      <c r="CY207" s="462"/>
      <c r="CZ207" s="462"/>
      <c r="DA207" s="462"/>
      <c r="DB207" s="462"/>
      <c r="DC207" s="462"/>
      <c r="DD207" s="462"/>
      <c r="DE207" s="462"/>
      <c r="DF207" s="462"/>
      <c r="DG207" s="462"/>
      <c r="DH207" s="462"/>
      <c r="DI207" s="462"/>
      <c r="DJ207" s="462"/>
      <c r="DK207" s="462"/>
      <c r="DL207" s="462"/>
      <c r="DM207" s="462"/>
      <c r="DN207" s="462"/>
      <c r="DO207" s="462"/>
      <c r="DP207" s="462"/>
      <c r="DQ207" s="462"/>
      <c r="DR207" s="462"/>
    </row>
    <row r="208" spans="1:122" s="546" customFormat="1" x14ac:dyDescent="0.2">
      <c r="B208" s="792"/>
      <c r="C208" s="1501"/>
      <c r="D208" s="1501"/>
      <c r="E208" s="1501"/>
      <c r="F208" s="1501"/>
      <c r="G208" s="1501"/>
      <c r="H208" s="1501"/>
      <c r="I208" s="1501"/>
      <c r="J208" s="1501"/>
      <c r="K208" s="1501"/>
      <c r="L208" s="1501"/>
      <c r="M208" s="1501"/>
      <c r="N208" s="1501"/>
      <c r="O208" s="1496"/>
      <c r="P208" s="1290"/>
      <c r="Q208" s="1290"/>
      <c r="R208" s="1290"/>
      <c r="S208" s="1291"/>
      <c r="T208" s="547"/>
      <c r="U208" s="547"/>
      <c r="V208" s="547"/>
      <c r="W208" s="547"/>
      <c r="X208" s="547"/>
      <c r="Y208" s="547"/>
      <c r="Z208" s="547"/>
      <c r="AA208" s="547"/>
      <c r="AB208" s="547"/>
      <c r="CQ208" s="462"/>
      <c r="CR208" s="462"/>
      <c r="CS208" s="462"/>
      <c r="CT208" s="462"/>
      <c r="CU208" s="549"/>
      <c r="CV208" s="549"/>
      <c r="CW208" s="462"/>
      <c r="CX208" s="462"/>
      <c r="CY208" s="462"/>
      <c r="CZ208" s="462"/>
      <c r="DA208" s="462"/>
      <c r="DB208" s="462"/>
      <c r="DC208" s="462"/>
      <c r="DD208" s="462"/>
      <c r="DE208" s="462"/>
      <c r="DF208" s="462"/>
      <c r="DG208" s="462"/>
      <c r="DH208" s="462"/>
      <c r="DI208" s="462"/>
      <c r="DJ208" s="462"/>
      <c r="DK208" s="462"/>
      <c r="DL208" s="462"/>
      <c r="DM208" s="462"/>
      <c r="DN208" s="462"/>
      <c r="DO208" s="462"/>
      <c r="DP208" s="462"/>
      <c r="DQ208" s="462"/>
      <c r="DR208" s="462"/>
    </row>
    <row r="209" spans="2:122" s="546" customFormat="1" x14ac:dyDescent="0.2">
      <c r="B209" s="792"/>
      <c r="C209" s="1501"/>
      <c r="D209" s="1501"/>
      <c r="E209" s="1501"/>
      <c r="F209" s="1501"/>
      <c r="G209" s="1501"/>
      <c r="H209" s="1501"/>
      <c r="I209" s="1501"/>
      <c r="J209" s="1501"/>
      <c r="K209" s="1501"/>
      <c r="L209" s="1501"/>
      <c r="M209" s="1501"/>
      <c r="N209" s="1501"/>
      <c r="O209" s="1496"/>
      <c r="P209" s="1290"/>
      <c r="Q209" s="1290"/>
      <c r="R209" s="1290"/>
      <c r="S209" s="1291"/>
      <c r="T209" s="547"/>
      <c r="U209" s="547"/>
      <c r="V209" s="547"/>
      <c r="W209" s="547"/>
      <c r="X209" s="547"/>
      <c r="Y209" s="547"/>
      <c r="Z209" s="547"/>
      <c r="AA209" s="547"/>
      <c r="AB209" s="547"/>
      <c r="CQ209" s="462"/>
      <c r="CR209" s="462"/>
      <c r="CS209" s="462"/>
      <c r="CT209" s="462"/>
      <c r="CU209" s="549"/>
      <c r="CV209" s="549"/>
      <c r="CW209" s="462"/>
      <c r="CX209" s="462"/>
      <c r="CY209" s="462"/>
      <c r="CZ209" s="462"/>
      <c r="DA209" s="462"/>
      <c r="DB209" s="462"/>
      <c r="DC209" s="462"/>
      <c r="DD209" s="462"/>
      <c r="DE209" s="462"/>
      <c r="DF209" s="462"/>
      <c r="DG209" s="462"/>
      <c r="DH209" s="462"/>
      <c r="DI209" s="462"/>
      <c r="DJ209" s="462"/>
      <c r="DK209" s="462"/>
      <c r="DL209" s="462"/>
      <c r="DM209" s="462"/>
      <c r="DN209" s="462"/>
      <c r="DO209" s="462"/>
      <c r="DP209" s="462"/>
      <c r="DQ209" s="462"/>
      <c r="DR209" s="462"/>
    </row>
    <row r="210" spans="2:122" s="546" customFormat="1" x14ac:dyDescent="0.2">
      <c r="B210" s="792"/>
      <c r="C210" s="1501"/>
      <c r="D210" s="1501"/>
      <c r="E210" s="1501"/>
      <c r="F210" s="1501"/>
      <c r="G210" s="1501"/>
      <c r="H210" s="1501"/>
      <c r="I210" s="1501"/>
      <c r="J210" s="1501"/>
      <c r="K210" s="1501"/>
      <c r="L210" s="1501"/>
      <c r="M210" s="1501"/>
      <c r="N210" s="1501"/>
      <c r="O210" s="1496"/>
      <c r="P210" s="1290"/>
      <c r="Q210" s="1290"/>
      <c r="R210" s="1290"/>
      <c r="S210" s="1291"/>
      <c r="T210" s="547"/>
      <c r="U210" s="547"/>
      <c r="V210" s="547"/>
      <c r="W210" s="547"/>
      <c r="X210" s="547"/>
      <c r="Y210" s="547"/>
      <c r="Z210" s="547"/>
      <c r="AA210" s="547"/>
      <c r="AB210" s="547"/>
      <c r="CQ210" s="462"/>
      <c r="CR210" s="462"/>
      <c r="CS210" s="462"/>
      <c r="CT210" s="462"/>
      <c r="CU210" s="549"/>
      <c r="CV210" s="549"/>
      <c r="CW210" s="462"/>
      <c r="CX210" s="462"/>
      <c r="CY210" s="462"/>
      <c r="CZ210" s="462"/>
      <c r="DA210" s="462"/>
      <c r="DB210" s="462"/>
      <c r="DC210" s="462"/>
      <c r="DD210" s="462"/>
      <c r="DE210" s="462"/>
      <c r="DF210" s="462"/>
      <c r="DG210" s="462"/>
      <c r="DH210" s="462"/>
      <c r="DI210" s="462"/>
      <c r="DJ210" s="462"/>
      <c r="DK210" s="462"/>
      <c r="DL210" s="462"/>
      <c r="DM210" s="462"/>
      <c r="DN210" s="462"/>
      <c r="DO210" s="462"/>
      <c r="DP210" s="462"/>
      <c r="DQ210" s="462"/>
      <c r="DR210" s="462"/>
    </row>
    <row r="211" spans="2:122" s="546" customFormat="1" x14ac:dyDescent="0.2">
      <c r="B211" s="792"/>
      <c r="C211" s="1501"/>
      <c r="D211" s="1501"/>
      <c r="E211" s="1501"/>
      <c r="F211" s="1501"/>
      <c r="G211" s="1501"/>
      <c r="H211" s="1501"/>
      <c r="I211" s="1501"/>
      <c r="J211" s="1501"/>
      <c r="K211" s="1501"/>
      <c r="L211" s="1501"/>
      <c r="M211" s="1501"/>
      <c r="N211" s="1501"/>
      <c r="O211" s="1496"/>
      <c r="P211" s="1290"/>
      <c r="Q211" s="1290"/>
      <c r="R211" s="1290"/>
      <c r="S211" s="1291"/>
      <c r="T211" s="547"/>
      <c r="U211" s="547"/>
      <c r="V211" s="547"/>
      <c r="W211" s="547"/>
      <c r="X211" s="547"/>
      <c r="Y211" s="547"/>
      <c r="Z211" s="547"/>
      <c r="AA211" s="547"/>
      <c r="AB211" s="547"/>
      <c r="CQ211" s="462"/>
      <c r="CR211" s="462"/>
      <c r="CS211" s="462"/>
      <c r="CT211" s="462"/>
      <c r="CU211" s="549"/>
      <c r="CV211" s="549"/>
      <c r="CW211" s="462"/>
      <c r="CX211" s="462"/>
      <c r="CY211" s="462"/>
      <c r="CZ211" s="462"/>
      <c r="DA211" s="462"/>
      <c r="DB211" s="462"/>
      <c r="DC211" s="462"/>
      <c r="DD211" s="462"/>
      <c r="DE211" s="462"/>
      <c r="DF211" s="462"/>
      <c r="DG211" s="462"/>
      <c r="DH211" s="462"/>
      <c r="DI211" s="462"/>
      <c r="DJ211" s="462"/>
      <c r="DK211" s="462"/>
      <c r="DL211" s="462"/>
      <c r="DM211" s="462"/>
      <c r="DN211" s="462"/>
      <c r="DO211" s="462"/>
      <c r="DP211" s="462"/>
      <c r="DQ211" s="462"/>
      <c r="DR211" s="462"/>
    </row>
    <row r="212" spans="2:122" s="546" customFormat="1" x14ac:dyDescent="0.2">
      <c r="B212" s="792"/>
      <c r="C212" s="1501"/>
      <c r="D212" s="1501"/>
      <c r="E212" s="1501"/>
      <c r="F212" s="1501"/>
      <c r="G212" s="1501"/>
      <c r="H212" s="1501"/>
      <c r="I212" s="1501"/>
      <c r="J212" s="1501"/>
      <c r="K212" s="1501"/>
      <c r="L212" s="1501"/>
      <c r="M212" s="1501"/>
      <c r="N212" s="1501"/>
      <c r="O212" s="1496"/>
      <c r="P212" s="1290"/>
      <c r="Q212" s="1290"/>
      <c r="R212" s="1290"/>
      <c r="S212" s="1291"/>
      <c r="T212" s="547"/>
      <c r="U212" s="547"/>
      <c r="V212" s="547"/>
      <c r="W212" s="547"/>
      <c r="X212" s="547"/>
      <c r="Y212" s="547"/>
      <c r="Z212" s="547"/>
      <c r="AA212" s="547"/>
      <c r="AB212" s="547"/>
      <c r="CQ212" s="462"/>
      <c r="CR212" s="462"/>
      <c r="CS212" s="462"/>
      <c r="CT212" s="462"/>
      <c r="CU212" s="549"/>
      <c r="CV212" s="549"/>
      <c r="CW212" s="462"/>
      <c r="CX212" s="462"/>
      <c r="CY212" s="462"/>
      <c r="CZ212" s="462"/>
      <c r="DA212" s="462"/>
      <c r="DB212" s="462"/>
      <c r="DC212" s="462"/>
      <c r="DD212" s="462"/>
      <c r="DE212" s="462"/>
      <c r="DF212" s="462"/>
      <c r="DG212" s="462"/>
      <c r="DH212" s="462"/>
      <c r="DI212" s="462"/>
      <c r="DJ212" s="462"/>
      <c r="DK212" s="462"/>
      <c r="DL212" s="462"/>
      <c r="DM212" s="462"/>
      <c r="DN212" s="462"/>
      <c r="DO212" s="462"/>
      <c r="DP212" s="462"/>
      <c r="DQ212" s="462"/>
      <c r="DR212" s="462"/>
    </row>
    <row r="213" spans="2:122" s="546" customFormat="1" x14ac:dyDescent="0.2">
      <c r="B213" s="792"/>
      <c r="C213" s="1501"/>
      <c r="D213" s="1501"/>
      <c r="E213" s="1501"/>
      <c r="F213" s="1501"/>
      <c r="G213" s="1501"/>
      <c r="H213" s="1501"/>
      <c r="I213" s="1501"/>
      <c r="J213" s="1501"/>
      <c r="K213" s="1501"/>
      <c r="L213" s="1501"/>
      <c r="M213" s="1501"/>
      <c r="N213" s="1501"/>
      <c r="O213" s="1496"/>
      <c r="P213" s="1290"/>
      <c r="Q213" s="1290"/>
      <c r="R213" s="1290"/>
      <c r="S213" s="1291"/>
      <c r="T213" s="547"/>
      <c r="U213" s="547"/>
      <c r="V213" s="547"/>
      <c r="W213" s="547"/>
      <c r="X213" s="547"/>
      <c r="Y213" s="547"/>
      <c r="Z213" s="547"/>
      <c r="AA213" s="547"/>
      <c r="AB213" s="547"/>
      <c r="CQ213" s="462"/>
      <c r="CR213" s="462"/>
      <c r="CS213" s="462"/>
      <c r="CT213" s="462"/>
      <c r="CU213" s="549"/>
      <c r="CV213" s="549"/>
      <c r="CW213" s="462"/>
      <c r="CX213" s="462"/>
      <c r="CY213" s="462"/>
      <c r="CZ213" s="462"/>
      <c r="DA213" s="462"/>
      <c r="DB213" s="462"/>
      <c r="DC213" s="462"/>
      <c r="DD213" s="462"/>
      <c r="DE213" s="462"/>
      <c r="DF213" s="462"/>
      <c r="DG213" s="462"/>
      <c r="DH213" s="462"/>
      <c r="DI213" s="462"/>
      <c r="DJ213" s="462"/>
      <c r="DK213" s="462"/>
      <c r="DL213" s="462"/>
      <c r="DM213" s="462"/>
      <c r="DN213" s="462"/>
      <c r="DO213" s="462"/>
      <c r="DP213" s="462"/>
      <c r="DQ213" s="462"/>
      <c r="DR213" s="462"/>
    </row>
    <row r="214" spans="2:122" s="546" customFormat="1" x14ac:dyDescent="0.2">
      <c r="B214" s="792"/>
      <c r="C214" s="1501"/>
      <c r="D214" s="1501"/>
      <c r="E214" s="1501"/>
      <c r="F214" s="1501"/>
      <c r="G214" s="1501"/>
      <c r="H214" s="1501"/>
      <c r="I214" s="1501"/>
      <c r="J214" s="1501"/>
      <c r="K214" s="1501"/>
      <c r="L214" s="1501"/>
      <c r="M214" s="1501"/>
      <c r="N214" s="1501"/>
      <c r="O214" s="1496"/>
      <c r="P214" s="1290"/>
      <c r="Q214" s="1290"/>
      <c r="R214" s="1290"/>
      <c r="S214" s="1291"/>
      <c r="T214" s="547"/>
      <c r="U214" s="547"/>
      <c r="V214" s="547"/>
      <c r="W214" s="547"/>
      <c r="X214" s="547"/>
      <c r="Y214" s="547"/>
      <c r="Z214" s="547"/>
      <c r="AA214" s="547"/>
      <c r="AB214" s="547"/>
      <c r="CQ214" s="462"/>
      <c r="CR214" s="462"/>
      <c r="CS214" s="462"/>
      <c r="CT214" s="462"/>
      <c r="CU214" s="549"/>
      <c r="CV214" s="549"/>
      <c r="CW214" s="462"/>
      <c r="CX214" s="462"/>
      <c r="CY214" s="462"/>
      <c r="CZ214" s="462"/>
      <c r="DA214" s="462"/>
      <c r="DB214" s="462"/>
      <c r="DC214" s="462"/>
      <c r="DD214" s="462"/>
      <c r="DE214" s="462"/>
      <c r="DF214" s="462"/>
      <c r="DG214" s="462"/>
      <c r="DH214" s="462"/>
      <c r="DI214" s="462"/>
      <c r="DJ214" s="462"/>
      <c r="DK214" s="462"/>
      <c r="DL214" s="462"/>
      <c r="DM214" s="462"/>
      <c r="DN214" s="462"/>
      <c r="DO214" s="462"/>
      <c r="DP214" s="462"/>
      <c r="DQ214" s="462"/>
      <c r="DR214" s="462"/>
    </row>
    <row r="215" spans="2:122" s="546" customFormat="1" x14ac:dyDescent="0.2">
      <c r="B215" s="792"/>
      <c r="C215" s="1501"/>
      <c r="D215" s="1501"/>
      <c r="E215" s="1501"/>
      <c r="F215" s="1501"/>
      <c r="G215" s="1501"/>
      <c r="H215" s="1501"/>
      <c r="I215" s="1501"/>
      <c r="J215" s="1501"/>
      <c r="K215" s="1501"/>
      <c r="L215" s="1501"/>
      <c r="M215" s="1501"/>
      <c r="N215" s="1501"/>
      <c r="O215" s="1496"/>
      <c r="P215" s="1290"/>
      <c r="Q215" s="1290"/>
      <c r="R215" s="1290"/>
      <c r="S215" s="1291"/>
      <c r="T215" s="547"/>
      <c r="U215" s="547"/>
      <c r="V215" s="547"/>
      <c r="W215" s="547"/>
      <c r="X215" s="547"/>
      <c r="Y215" s="547"/>
      <c r="Z215" s="547"/>
      <c r="AA215" s="547"/>
      <c r="AB215" s="547"/>
      <c r="CQ215" s="462"/>
      <c r="CR215" s="462"/>
      <c r="CS215" s="462"/>
      <c r="CT215" s="462"/>
      <c r="CU215" s="549"/>
      <c r="CV215" s="549"/>
      <c r="CW215" s="462"/>
      <c r="CX215" s="462"/>
      <c r="CY215" s="462"/>
      <c r="CZ215" s="462"/>
      <c r="DA215" s="462"/>
      <c r="DB215" s="462"/>
      <c r="DC215" s="462"/>
      <c r="DD215" s="462"/>
      <c r="DE215" s="462"/>
      <c r="DF215" s="462"/>
      <c r="DG215" s="462"/>
      <c r="DH215" s="462"/>
      <c r="DI215" s="462"/>
      <c r="DJ215" s="462"/>
      <c r="DK215" s="462"/>
      <c r="DL215" s="462"/>
      <c r="DM215" s="462"/>
      <c r="DN215" s="462"/>
      <c r="DO215" s="462"/>
      <c r="DP215" s="462"/>
      <c r="DQ215" s="462"/>
      <c r="DR215" s="462"/>
    </row>
    <row r="216" spans="2:122" s="546" customFormat="1" x14ac:dyDescent="0.2">
      <c r="B216" s="792"/>
      <c r="C216" s="1501"/>
      <c r="D216" s="1501"/>
      <c r="E216" s="1501"/>
      <c r="F216" s="1501"/>
      <c r="G216" s="1501"/>
      <c r="H216" s="1501"/>
      <c r="I216" s="1501"/>
      <c r="J216" s="1501"/>
      <c r="K216" s="1501"/>
      <c r="L216" s="1501"/>
      <c r="M216" s="1501"/>
      <c r="N216" s="1501"/>
      <c r="O216" s="1496"/>
      <c r="P216" s="1290"/>
      <c r="Q216" s="1290"/>
      <c r="R216" s="1290"/>
      <c r="S216" s="1291"/>
      <c r="T216" s="547"/>
      <c r="U216" s="547"/>
      <c r="V216" s="547"/>
      <c r="W216" s="547"/>
      <c r="X216" s="547"/>
      <c r="Y216" s="547"/>
      <c r="Z216" s="547"/>
      <c r="AA216" s="547"/>
      <c r="AB216" s="547"/>
      <c r="CQ216" s="462"/>
      <c r="CR216" s="462"/>
      <c r="CS216" s="462"/>
      <c r="CT216" s="462"/>
      <c r="CU216" s="549"/>
      <c r="CV216" s="549"/>
      <c r="CW216" s="462"/>
      <c r="CX216" s="462"/>
      <c r="CY216" s="462"/>
      <c r="CZ216" s="462"/>
      <c r="DA216" s="462"/>
      <c r="DB216" s="462"/>
      <c r="DC216" s="462"/>
      <c r="DD216" s="462"/>
      <c r="DE216" s="462"/>
      <c r="DF216" s="462"/>
      <c r="DG216" s="462"/>
      <c r="DH216" s="462"/>
      <c r="DI216" s="462"/>
      <c r="DJ216" s="462"/>
      <c r="DK216" s="462"/>
      <c r="DL216" s="462"/>
      <c r="DM216" s="462"/>
      <c r="DN216" s="462"/>
      <c r="DO216" s="462"/>
      <c r="DP216" s="462"/>
      <c r="DQ216" s="462"/>
      <c r="DR216" s="462"/>
    </row>
    <row r="217" spans="2:122" s="546" customFormat="1" x14ac:dyDescent="0.2">
      <c r="B217" s="792"/>
      <c r="C217" s="1501"/>
      <c r="D217" s="1501"/>
      <c r="E217" s="1501"/>
      <c r="F217" s="1501"/>
      <c r="G217" s="1501"/>
      <c r="H217" s="1501"/>
      <c r="I217" s="1501"/>
      <c r="J217" s="1501"/>
      <c r="K217" s="1501"/>
      <c r="L217" s="1501"/>
      <c r="M217" s="1501"/>
      <c r="N217" s="1501"/>
      <c r="O217" s="1496"/>
      <c r="P217" s="1290"/>
      <c r="Q217" s="1290"/>
      <c r="R217" s="1290"/>
      <c r="S217" s="1291"/>
      <c r="T217" s="547"/>
      <c r="U217" s="547"/>
      <c r="V217" s="547"/>
      <c r="W217" s="547"/>
      <c r="X217" s="547"/>
      <c r="Y217" s="547"/>
      <c r="Z217" s="547"/>
      <c r="AA217" s="547"/>
      <c r="AB217" s="547"/>
      <c r="CQ217" s="462"/>
      <c r="CR217" s="462"/>
      <c r="CS217" s="462"/>
      <c r="CT217" s="462"/>
      <c r="CU217" s="549"/>
      <c r="CV217" s="549"/>
      <c r="CW217" s="462"/>
      <c r="CX217" s="462"/>
      <c r="CY217" s="462"/>
      <c r="CZ217" s="462"/>
      <c r="DA217" s="462"/>
      <c r="DB217" s="462"/>
      <c r="DC217" s="462"/>
      <c r="DD217" s="462"/>
      <c r="DE217" s="462"/>
      <c r="DF217" s="462"/>
      <c r="DG217" s="462"/>
      <c r="DH217" s="462"/>
      <c r="DI217" s="462"/>
      <c r="DJ217" s="462"/>
      <c r="DK217" s="462"/>
      <c r="DL217" s="462"/>
      <c r="DM217" s="462"/>
      <c r="DN217" s="462"/>
      <c r="DO217" s="462"/>
      <c r="DP217" s="462"/>
      <c r="DQ217" s="462"/>
      <c r="DR217" s="462"/>
    </row>
    <row r="218" spans="2:122" s="546" customFormat="1" x14ac:dyDescent="0.2">
      <c r="B218" s="792"/>
      <c r="C218" s="1501"/>
      <c r="D218" s="1501"/>
      <c r="E218" s="1501"/>
      <c r="F218" s="1501"/>
      <c r="G218" s="1501"/>
      <c r="H218" s="1501"/>
      <c r="I218" s="1501"/>
      <c r="J218" s="1501"/>
      <c r="K218" s="1501"/>
      <c r="L218" s="1501"/>
      <c r="M218" s="1501"/>
      <c r="N218" s="1501"/>
      <c r="O218" s="1496"/>
      <c r="P218" s="1290"/>
      <c r="Q218" s="1290"/>
      <c r="R218" s="1290"/>
      <c r="S218" s="1291"/>
      <c r="T218" s="547"/>
      <c r="U218" s="547"/>
      <c r="V218" s="547"/>
      <c r="W218" s="547"/>
      <c r="X218" s="547"/>
      <c r="Y218" s="547"/>
      <c r="Z218" s="547"/>
      <c r="AA218" s="547"/>
      <c r="AB218" s="547"/>
      <c r="CQ218" s="462"/>
      <c r="CR218" s="462"/>
      <c r="CS218" s="462"/>
      <c r="CT218" s="462"/>
      <c r="CU218" s="549"/>
      <c r="CV218" s="549"/>
      <c r="CW218" s="462"/>
      <c r="CX218" s="462"/>
      <c r="CY218" s="462"/>
      <c r="CZ218" s="462"/>
      <c r="DA218" s="462"/>
      <c r="DB218" s="462"/>
      <c r="DC218" s="462"/>
      <c r="DD218" s="462"/>
      <c r="DE218" s="462"/>
      <c r="DF218" s="462"/>
      <c r="DG218" s="462"/>
      <c r="DH218" s="462"/>
      <c r="DI218" s="462"/>
      <c r="DJ218" s="462"/>
      <c r="DK218" s="462"/>
      <c r="DL218" s="462"/>
      <c r="DM218" s="462"/>
      <c r="DN218" s="462"/>
      <c r="DO218" s="462"/>
      <c r="DP218" s="462"/>
      <c r="DQ218" s="462"/>
      <c r="DR218" s="462"/>
    </row>
    <row r="219" spans="2:122" s="546" customFormat="1" x14ac:dyDescent="0.2">
      <c r="B219" s="792"/>
      <c r="C219" s="1501"/>
      <c r="D219" s="1501"/>
      <c r="E219" s="1501"/>
      <c r="F219" s="1501"/>
      <c r="G219" s="1501"/>
      <c r="H219" s="1501"/>
      <c r="I219" s="1501"/>
      <c r="J219" s="1501"/>
      <c r="K219" s="1501"/>
      <c r="L219" s="1501"/>
      <c r="M219" s="1501"/>
      <c r="N219" s="1501"/>
      <c r="O219" s="1496"/>
      <c r="P219" s="1290"/>
      <c r="Q219" s="1290"/>
      <c r="R219" s="1290"/>
      <c r="S219" s="1291"/>
      <c r="T219" s="547"/>
      <c r="U219" s="547"/>
      <c r="V219" s="547"/>
      <c r="W219" s="547"/>
      <c r="X219" s="547"/>
      <c r="Y219" s="547"/>
      <c r="Z219" s="547"/>
      <c r="AA219" s="547"/>
      <c r="AB219" s="547"/>
      <c r="CQ219" s="462"/>
      <c r="CR219" s="462"/>
      <c r="CS219" s="462"/>
      <c r="CT219" s="462"/>
      <c r="CU219" s="549"/>
      <c r="CV219" s="549"/>
      <c r="CW219" s="462"/>
      <c r="CX219" s="462"/>
      <c r="CY219" s="462"/>
      <c r="CZ219" s="462"/>
      <c r="DA219" s="462"/>
      <c r="DB219" s="462"/>
      <c r="DC219" s="462"/>
      <c r="DD219" s="462"/>
      <c r="DE219" s="462"/>
      <c r="DF219" s="462"/>
      <c r="DG219" s="462"/>
      <c r="DH219" s="462"/>
      <c r="DI219" s="462"/>
      <c r="DJ219" s="462"/>
      <c r="DK219" s="462"/>
      <c r="DL219" s="462"/>
      <c r="DM219" s="462"/>
      <c r="DN219" s="462"/>
      <c r="DO219" s="462"/>
      <c r="DP219" s="462"/>
      <c r="DQ219" s="462"/>
      <c r="DR219" s="462"/>
    </row>
    <row r="220" spans="2:122" s="546" customFormat="1" x14ac:dyDescent="0.2">
      <c r="B220" s="792"/>
      <c r="C220" s="1501"/>
      <c r="D220" s="1501"/>
      <c r="E220" s="1501"/>
      <c r="F220" s="1501"/>
      <c r="G220" s="1501"/>
      <c r="H220" s="1501"/>
      <c r="I220" s="1501"/>
      <c r="J220" s="1501"/>
      <c r="K220" s="1501"/>
      <c r="L220" s="1501"/>
      <c r="M220" s="1501"/>
      <c r="N220" s="1501"/>
      <c r="O220" s="1496"/>
      <c r="P220" s="1290"/>
      <c r="Q220" s="1290"/>
      <c r="R220" s="1290"/>
      <c r="S220" s="1291"/>
      <c r="T220" s="547"/>
      <c r="U220" s="547"/>
      <c r="V220" s="547"/>
      <c r="W220" s="547"/>
      <c r="X220" s="547"/>
      <c r="Y220" s="547"/>
      <c r="Z220" s="547"/>
      <c r="AA220" s="547"/>
      <c r="AB220" s="547"/>
      <c r="CQ220" s="462"/>
      <c r="CR220" s="462"/>
      <c r="CS220" s="462"/>
      <c r="CT220" s="462"/>
      <c r="CU220" s="549"/>
      <c r="CV220" s="549"/>
      <c r="CW220" s="462"/>
      <c r="CX220" s="462"/>
      <c r="CY220" s="462"/>
      <c r="CZ220" s="462"/>
      <c r="DA220" s="462"/>
      <c r="DB220" s="462"/>
      <c r="DC220" s="462"/>
      <c r="DD220" s="462"/>
      <c r="DE220" s="462"/>
      <c r="DF220" s="462"/>
      <c r="DG220" s="462"/>
      <c r="DH220" s="462"/>
      <c r="DI220" s="462"/>
      <c r="DJ220" s="462"/>
      <c r="DK220" s="462"/>
      <c r="DL220" s="462"/>
      <c r="DM220" s="462"/>
      <c r="DN220" s="462"/>
      <c r="DO220" s="462"/>
      <c r="DP220" s="462"/>
      <c r="DQ220" s="462"/>
      <c r="DR220" s="462"/>
    </row>
    <row r="221" spans="2:122" s="546" customFormat="1" x14ac:dyDescent="0.2">
      <c r="B221" s="792"/>
      <c r="C221" s="1501"/>
      <c r="D221" s="1501"/>
      <c r="E221" s="1501"/>
      <c r="F221" s="1501"/>
      <c r="G221" s="1501"/>
      <c r="H221" s="1501"/>
      <c r="I221" s="1501"/>
      <c r="J221" s="1501"/>
      <c r="K221" s="1501"/>
      <c r="L221" s="1501"/>
      <c r="M221" s="1501"/>
      <c r="N221" s="1501"/>
      <c r="O221" s="1496"/>
      <c r="P221" s="1290"/>
      <c r="Q221" s="1290"/>
      <c r="R221" s="1290"/>
      <c r="S221" s="1291"/>
      <c r="T221" s="547"/>
      <c r="U221" s="547"/>
      <c r="V221" s="547"/>
      <c r="W221" s="547"/>
      <c r="X221" s="547"/>
      <c r="Y221" s="547"/>
      <c r="Z221" s="547"/>
      <c r="AA221" s="547"/>
      <c r="AB221" s="547"/>
      <c r="CQ221" s="462"/>
      <c r="CR221" s="462"/>
      <c r="CS221" s="462"/>
      <c r="CT221" s="462"/>
      <c r="CU221" s="549"/>
      <c r="CV221" s="549"/>
      <c r="CW221" s="462"/>
      <c r="CX221" s="462"/>
      <c r="CY221" s="462"/>
      <c r="CZ221" s="462"/>
      <c r="DA221" s="462"/>
      <c r="DB221" s="462"/>
      <c r="DC221" s="462"/>
      <c r="DD221" s="462"/>
      <c r="DE221" s="462"/>
      <c r="DF221" s="462"/>
      <c r="DG221" s="462"/>
      <c r="DH221" s="462"/>
      <c r="DI221" s="462"/>
      <c r="DJ221" s="462"/>
      <c r="DK221" s="462"/>
      <c r="DL221" s="462"/>
      <c r="DM221" s="462"/>
      <c r="DN221" s="462"/>
      <c r="DO221" s="462"/>
      <c r="DP221" s="462"/>
      <c r="DQ221" s="462"/>
      <c r="DR221" s="462"/>
    </row>
    <row r="222" spans="2:122" s="546" customFormat="1" x14ac:dyDescent="0.2">
      <c r="B222" s="792"/>
      <c r="C222" s="1501"/>
      <c r="D222" s="1501"/>
      <c r="E222" s="1501"/>
      <c r="F222" s="1501"/>
      <c r="G222" s="1501"/>
      <c r="H222" s="1501"/>
      <c r="I222" s="1501"/>
      <c r="J222" s="1501"/>
      <c r="K222" s="1501"/>
      <c r="L222" s="1501"/>
      <c r="M222" s="1501"/>
      <c r="N222" s="1501"/>
      <c r="O222" s="1496"/>
      <c r="P222" s="1290"/>
      <c r="Q222" s="1290"/>
      <c r="R222" s="1290"/>
      <c r="S222" s="1291"/>
      <c r="T222" s="547"/>
      <c r="U222" s="547"/>
      <c r="V222" s="547"/>
      <c r="W222" s="547"/>
      <c r="X222" s="547"/>
      <c r="Y222" s="547"/>
      <c r="Z222" s="547"/>
      <c r="AA222" s="547"/>
      <c r="AB222" s="547"/>
      <c r="CQ222" s="462"/>
      <c r="CR222" s="462"/>
      <c r="CS222" s="462"/>
      <c r="CT222" s="462"/>
      <c r="CU222" s="549"/>
      <c r="CV222" s="549"/>
      <c r="CW222" s="462"/>
      <c r="CX222" s="462"/>
      <c r="CY222" s="462"/>
      <c r="CZ222" s="462"/>
      <c r="DA222" s="462"/>
      <c r="DB222" s="462"/>
      <c r="DC222" s="462"/>
      <c r="DD222" s="462"/>
      <c r="DE222" s="462"/>
      <c r="DF222" s="462"/>
      <c r="DG222" s="462"/>
      <c r="DH222" s="462"/>
      <c r="DI222" s="462"/>
      <c r="DJ222" s="462"/>
      <c r="DK222" s="462"/>
      <c r="DL222" s="462"/>
      <c r="DM222" s="462"/>
      <c r="DN222" s="462"/>
      <c r="DO222" s="462"/>
      <c r="DP222" s="462"/>
      <c r="DQ222" s="462"/>
      <c r="DR222" s="462"/>
    </row>
    <row r="223" spans="2:122" s="546" customFormat="1" x14ac:dyDescent="0.2">
      <c r="B223" s="792"/>
      <c r="C223" s="1501"/>
      <c r="D223" s="1501"/>
      <c r="E223" s="1501"/>
      <c r="F223" s="1501"/>
      <c r="G223" s="1501"/>
      <c r="H223" s="1501"/>
      <c r="I223" s="1501"/>
      <c r="J223" s="1501"/>
      <c r="K223" s="1501"/>
      <c r="L223" s="1501"/>
      <c r="M223" s="1501"/>
      <c r="N223" s="1501"/>
      <c r="O223" s="1496"/>
      <c r="P223" s="1290"/>
      <c r="Q223" s="1290"/>
      <c r="R223" s="1290"/>
      <c r="S223" s="1291"/>
      <c r="T223" s="547"/>
      <c r="U223" s="547"/>
      <c r="V223" s="547"/>
      <c r="W223" s="547"/>
      <c r="X223" s="547"/>
      <c r="Y223" s="547"/>
      <c r="Z223" s="547"/>
      <c r="AA223" s="547"/>
      <c r="AB223" s="547"/>
      <c r="CQ223" s="462"/>
      <c r="CR223" s="462"/>
      <c r="CS223" s="462"/>
      <c r="CT223" s="462"/>
      <c r="CU223" s="549"/>
      <c r="CV223" s="549"/>
      <c r="CW223" s="462"/>
      <c r="CX223" s="462"/>
      <c r="CY223" s="462"/>
      <c r="CZ223" s="462"/>
      <c r="DA223" s="462"/>
      <c r="DB223" s="462"/>
      <c r="DC223" s="462"/>
      <c r="DD223" s="462"/>
      <c r="DE223" s="462"/>
      <c r="DF223" s="462"/>
      <c r="DG223" s="462"/>
      <c r="DH223" s="462"/>
      <c r="DI223" s="462"/>
      <c r="DJ223" s="462"/>
      <c r="DK223" s="462"/>
      <c r="DL223" s="462"/>
      <c r="DM223" s="462"/>
      <c r="DN223" s="462"/>
      <c r="DO223" s="462"/>
      <c r="DP223" s="462"/>
      <c r="DQ223" s="462"/>
      <c r="DR223" s="462"/>
    </row>
    <row r="224" spans="2:122" s="546" customFormat="1" x14ac:dyDescent="0.2">
      <c r="B224" s="792"/>
      <c r="C224" s="1501"/>
      <c r="D224" s="1501"/>
      <c r="E224" s="1501"/>
      <c r="F224" s="1501"/>
      <c r="G224" s="1501"/>
      <c r="H224" s="1501"/>
      <c r="I224" s="1501"/>
      <c r="J224" s="1501"/>
      <c r="K224" s="1501"/>
      <c r="L224" s="1501"/>
      <c r="M224" s="1501"/>
      <c r="N224" s="1501"/>
      <c r="O224" s="1496"/>
      <c r="P224" s="1290"/>
      <c r="Q224" s="1290"/>
      <c r="R224" s="1290"/>
      <c r="S224" s="1291"/>
      <c r="T224" s="547"/>
      <c r="U224" s="547"/>
      <c r="V224" s="547"/>
      <c r="W224" s="547"/>
      <c r="X224" s="547"/>
      <c r="Y224" s="547"/>
      <c r="Z224" s="547"/>
      <c r="AA224" s="547"/>
      <c r="AB224" s="547"/>
      <c r="CQ224" s="462"/>
      <c r="CR224" s="462"/>
      <c r="CS224" s="462"/>
      <c r="CT224" s="462"/>
      <c r="CU224" s="549"/>
      <c r="CV224" s="549"/>
      <c r="CW224" s="462"/>
      <c r="CX224" s="462"/>
      <c r="CY224" s="462"/>
      <c r="CZ224" s="462"/>
      <c r="DA224" s="462"/>
      <c r="DB224" s="462"/>
      <c r="DC224" s="462"/>
      <c r="DD224" s="462"/>
      <c r="DE224" s="462"/>
      <c r="DF224" s="462"/>
      <c r="DG224" s="462"/>
      <c r="DH224" s="462"/>
      <c r="DI224" s="462"/>
      <c r="DJ224" s="462"/>
      <c r="DK224" s="462"/>
      <c r="DL224" s="462"/>
      <c r="DM224" s="462"/>
      <c r="DN224" s="462"/>
      <c r="DO224" s="462"/>
      <c r="DP224" s="462"/>
      <c r="DQ224" s="462"/>
      <c r="DR224" s="462"/>
    </row>
    <row r="225" spans="2:122" s="546" customFormat="1" x14ac:dyDescent="0.2">
      <c r="B225" s="792"/>
      <c r="C225" s="1501"/>
      <c r="D225" s="1501"/>
      <c r="E225" s="1501"/>
      <c r="F225" s="1501"/>
      <c r="G225" s="1501"/>
      <c r="H225" s="1501"/>
      <c r="I225" s="1501"/>
      <c r="J225" s="1501"/>
      <c r="K225" s="1501"/>
      <c r="L225" s="1501"/>
      <c r="M225" s="1501"/>
      <c r="N225" s="1501"/>
      <c r="O225" s="1496"/>
      <c r="P225" s="1290"/>
      <c r="Q225" s="1290"/>
      <c r="R225" s="1290"/>
      <c r="S225" s="1291"/>
      <c r="T225" s="547"/>
      <c r="U225" s="547"/>
      <c r="V225" s="547"/>
      <c r="W225" s="547"/>
      <c r="X225" s="547"/>
      <c r="Y225" s="547"/>
      <c r="Z225" s="547"/>
      <c r="AA225" s="547"/>
      <c r="AB225" s="547"/>
      <c r="CQ225" s="462"/>
      <c r="CR225" s="462"/>
      <c r="CS225" s="462"/>
      <c r="CT225" s="462"/>
      <c r="CU225" s="549"/>
      <c r="CV225" s="549"/>
      <c r="CW225" s="462"/>
      <c r="CX225" s="462"/>
      <c r="CY225" s="462"/>
      <c r="CZ225" s="462"/>
      <c r="DA225" s="462"/>
      <c r="DB225" s="462"/>
      <c r="DC225" s="462"/>
      <c r="DD225" s="462"/>
      <c r="DE225" s="462"/>
      <c r="DF225" s="462"/>
      <c r="DG225" s="462"/>
      <c r="DH225" s="462"/>
      <c r="DI225" s="462"/>
      <c r="DJ225" s="462"/>
      <c r="DK225" s="462"/>
      <c r="DL225" s="462"/>
      <c r="DM225" s="462"/>
      <c r="DN225" s="462"/>
      <c r="DO225" s="462"/>
      <c r="DP225" s="462"/>
      <c r="DQ225" s="462"/>
      <c r="DR225" s="462"/>
    </row>
    <row r="226" spans="2:122" s="546" customFormat="1" x14ac:dyDescent="0.2">
      <c r="B226" s="792"/>
      <c r="C226" s="1501"/>
      <c r="D226" s="1501"/>
      <c r="E226" s="1501"/>
      <c r="F226" s="1501"/>
      <c r="G226" s="1501"/>
      <c r="H226" s="1501"/>
      <c r="I226" s="1501"/>
      <c r="J226" s="1501"/>
      <c r="K226" s="1501"/>
      <c r="L226" s="1501"/>
      <c r="M226" s="1501"/>
      <c r="N226" s="1501"/>
      <c r="O226" s="1496"/>
      <c r="P226" s="1290"/>
      <c r="Q226" s="1290"/>
      <c r="R226" s="1290"/>
      <c r="S226" s="1291"/>
      <c r="T226" s="547"/>
      <c r="U226" s="547"/>
      <c r="V226" s="547"/>
      <c r="W226" s="547"/>
      <c r="X226" s="547"/>
      <c r="Y226" s="547"/>
      <c r="Z226" s="547"/>
      <c r="AA226" s="547"/>
      <c r="AB226" s="547"/>
      <c r="CQ226" s="462"/>
      <c r="CR226" s="462"/>
      <c r="CS226" s="462"/>
      <c r="CT226" s="462"/>
      <c r="CU226" s="549"/>
      <c r="CV226" s="549"/>
      <c r="CW226" s="462"/>
      <c r="CX226" s="462"/>
      <c r="CY226" s="462"/>
      <c r="CZ226" s="462"/>
      <c r="DA226" s="462"/>
      <c r="DB226" s="462"/>
      <c r="DC226" s="462"/>
      <c r="DD226" s="462"/>
      <c r="DE226" s="462"/>
      <c r="DF226" s="462"/>
      <c r="DG226" s="462"/>
      <c r="DH226" s="462"/>
      <c r="DI226" s="462"/>
      <c r="DJ226" s="462"/>
      <c r="DK226" s="462"/>
      <c r="DL226" s="462"/>
      <c r="DM226" s="462"/>
      <c r="DN226" s="462"/>
      <c r="DO226" s="462"/>
      <c r="DP226" s="462"/>
      <c r="DQ226" s="462"/>
      <c r="DR226" s="462"/>
    </row>
    <row r="227" spans="2:122" s="546" customFormat="1" x14ac:dyDescent="0.2">
      <c r="B227" s="792"/>
      <c r="C227" s="1501"/>
      <c r="D227" s="1501"/>
      <c r="E227" s="1501"/>
      <c r="F227" s="1501"/>
      <c r="G227" s="1501"/>
      <c r="H227" s="1501"/>
      <c r="I227" s="1501"/>
      <c r="J227" s="1501"/>
      <c r="K227" s="1501"/>
      <c r="L227" s="1501"/>
      <c r="M227" s="1501"/>
      <c r="N227" s="1501"/>
      <c r="O227" s="1496"/>
      <c r="P227" s="1290"/>
      <c r="Q227" s="1290"/>
      <c r="R227" s="1290"/>
      <c r="S227" s="1291"/>
      <c r="T227" s="547"/>
      <c r="U227" s="547"/>
      <c r="V227" s="547"/>
      <c r="W227" s="547"/>
      <c r="X227" s="547"/>
      <c r="Y227" s="547"/>
      <c r="Z227" s="547"/>
      <c r="AA227" s="547"/>
      <c r="AB227" s="547"/>
      <c r="CQ227" s="462"/>
      <c r="CR227" s="462"/>
      <c r="CS227" s="462"/>
      <c r="CT227" s="462"/>
      <c r="CU227" s="549"/>
      <c r="CV227" s="549"/>
      <c r="CW227" s="462"/>
      <c r="CX227" s="462"/>
      <c r="CY227" s="462"/>
      <c r="CZ227" s="462"/>
      <c r="DA227" s="462"/>
      <c r="DB227" s="462"/>
      <c r="DC227" s="462"/>
      <c r="DD227" s="462"/>
      <c r="DE227" s="462"/>
      <c r="DF227" s="462"/>
      <c r="DG227" s="462"/>
      <c r="DH227" s="462"/>
      <c r="DI227" s="462"/>
      <c r="DJ227" s="462"/>
      <c r="DK227" s="462"/>
      <c r="DL227" s="462"/>
      <c r="DM227" s="462"/>
      <c r="DN227" s="462"/>
      <c r="DO227" s="462"/>
      <c r="DP227" s="462"/>
      <c r="DQ227" s="462"/>
      <c r="DR227" s="462"/>
    </row>
    <row r="228" spans="2:122" s="546" customFormat="1" x14ac:dyDescent="0.2">
      <c r="B228" s="792"/>
      <c r="C228" s="1501"/>
      <c r="D228" s="1501"/>
      <c r="E228" s="1501"/>
      <c r="F228" s="1501"/>
      <c r="G228" s="1501"/>
      <c r="H228" s="1501"/>
      <c r="I228" s="1501"/>
      <c r="J228" s="1501"/>
      <c r="K228" s="1501"/>
      <c r="L228" s="1501"/>
      <c r="M228" s="1501"/>
      <c r="N228" s="1501"/>
      <c r="O228" s="1496"/>
      <c r="P228" s="1290"/>
      <c r="Q228" s="1290"/>
      <c r="R228" s="1290"/>
      <c r="S228" s="1291"/>
      <c r="T228" s="547"/>
      <c r="U228" s="547"/>
      <c r="V228" s="547"/>
      <c r="W228" s="547"/>
      <c r="X228" s="547"/>
      <c r="Y228" s="547"/>
      <c r="Z228" s="547"/>
      <c r="AA228" s="547"/>
      <c r="AB228" s="547"/>
      <c r="CQ228" s="462"/>
      <c r="CR228" s="462"/>
      <c r="CS228" s="462"/>
      <c r="CT228" s="462"/>
      <c r="CU228" s="549"/>
      <c r="CV228" s="549"/>
      <c r="CW228" s="462"/>
      <c r="CX228" s="462"/>
      <c r="CY228" s="462"/>
      <c r="CZ228" s="462"/>
      <c r="DA228" s="462"/>
      <c r="DB228" s="462"/>
      <c r="DC228" s="462"/>
      <c r="DD228" s="462"/>
      <c r="DE228" s="462"/>
      <c r="DF228" s="462"/>
      <c r="DG228" s="462"/>
      <c r="DH228" s="462"/>
      <c r="DI228" s="462"/>
      <c r="DJ228" s="462"/>
      <c r="DK228" s="462"/>
      <c r="DL228" s="462"/>
      <c r="DM228" s="462"/>
      <c r="DN228" s="462"/>
      <c r="DO228" s="462"/>
      <c r="DP228" s="462"/>
      <c r="DQ228" s="462"/>
      <c r="DR228" s="462"/>
    </row>
    <row r="229" spans="2:122" s="546" customFormat="1" x14ac:dyDescent="0.2">
      <c r="B229" s="792"/>
      <c r="C229" s="1501"/>
      <c r="D229" s="1501"/>
      <c r="E229" s="1501"/>
      <c r="F229" s="1501"/>
      <c r="G229" s="1501"/>
      <c r="H229" s="1501"/>
      <c r="I229" s="1501"/>
      <c r="J229" s="1501"/>
      <c r="K229" s="1501"/>
      <c r="L229" s="1501"/>
      <c r="M229" s="1501"/>
      <c r="N229" s="1501"/>
      <c r="O229" s="1496"/>
      <c r="P229" s="1290"/>
      <c r="Q229" s="1290"/>
      <c r="R229" s="1290"/>
      <c r="S229" s="1291"/>
      <c r="T229" s="547"/>
      <c r="U229" s="547"/>
      <c r="V229" s="547"/>
      <c r="W229" s="547"/>
      <c r="X229" s="547"/>
      <c r="Y229" s="547"/>
      <c r="Z229" s="547"/>
      <c r="AA229" s="547"/>
      <c r="AB229" s="547"/>
      <c r="CQ229" s="462"/>
      <c r="CR229" s="462"/>
      <c r="CS229" s="462"/>
      <c r="CT229" s="462"/>
      <c r="CU229" s="549"/>
      <c r="CV229" s="549"/>
      <c r="CW229" s="462"/>
      <c r="CX229" s="462"/>
      <c r="CY229" s="462"/>
      <c r="CZ229" s="462"/>
      <c r="DA229" s="462"/>
      <c r="DB229" s="462"/>
      <c r="DC229" s="462"/>
      <c r="DD229" s="462"/>
      <c r="DE229" s="462"/>
      <c r="DF229" s="462"/>
      <c r="DG229" s="462"/>
      <c r="DH229" s="462"/>
      <c r="DI229" s="462"/>
      <c r="DJ229" s="462"/>
      <c r="DK229" s="462"/>
      <c r="DL229" s="462"/>
      <c r="DM229" s="462"/>
      <c r="DN229" s="462"/>
      <c r="DO229" s="462"/>
      <c r="DP229" s="462"/>
      <c r="DQ229" s="462"/>
      <c r="DR229" s="462"/>
    </row>
    <row r="230" spans="2:122" s="546" customFormat="1" x14ac:dyDescent="0.2">
      <c r="B230" s="792"/>
      <c r="C230" s="1501"/>
      <c r="D230" s="1501"/>
      <c r="E230" s="1501"/>
      <c r="F230" s="1501"/>
      <c r="G230" s="1501"/>
      <c r="H230" s="1501"/>
      <c r="I230" s="1501"/>
      <c r="J230" s="1501"/>
      <c r="K230" s="1501"/>
      <c r="L230" s="1501"/>
      <c r="M230" s="1501"/>
      <c r="N230" s="1501"/>
      <c r="O230" s="1496"/>
      <c r="P230" s="1290"/>
      <c r="Q230" s="1290"/>
      <c r="R230" s="1290"/>
      <c r="S230" s="1291"/>
      <c r="T230" s="547"/>
      <c r="U230" s="547"/>
      <c r="V230" s="547"/>
      <c r="W230" s="547"/>
      <c r="X230" s="547"/>
      <c r="Y230" s="547"/>
      <c r="Z230" s="547"/>
      <c r="AA230" s="547"/>
      <c r="AB230" s="547"/>
      <c r="CQ230" s="462"/>
      <c r="CR230" s="462"/>
      <c r="CS230" s="462"/>
      <c r="CT230" s="462"/>
      <c r="CU230" s="549"/>
      <c r="CV230" s="549"/>
      <c r="CW230" s="462"/>
      <c r="CX230" s="462"/>
      <c r="CY230" s="462"/>
      <c r="CZ230" s="462"/>
      <c r="DA230" s="462"/>
      <c r="DB230" s="462"/>
      <c r="DC230" s="462"/>
      <c r="DD230" s="462"/>
      <c r="DE230" s="462"/>
      <c r="DF230" s="462"/>
      <c r="DG230" s="462"/>
      <c r="DH230" s="462"/>
      <c r="DI230" s="462"/>
      <c r="DJ230" s="462"/>
      <c r="DK230" s="462"/>
      <c r="DL230" s="462"/>
      <c r="DM230" s="462"/>
      <c r="DN230" s="462"/>
      <c r="DO230" s="462"/>
      <c r="DP230" s="462"/>
      <c r="DQ230" s="462"/>
      <c r="DR230" s="462"/>
    </row>
    <row r="231" spans="2:122" s="546" customFormat="1" x14ac:dyDescent="0.2">
      <c r="B231" s="792"/>
      <c r="C231" s="1501"/>
      <c r="D231" s="1501"/>
      <c r="E231" s="1501"/>
      <c r="F231" s="1501"/>
      <c r="G231" s="1501"/>
      <c r="H231" s="1501"/>
      <c r="I231" s="1501"/>
      <c r="J231" s="1501"/>
      <c r="K231" s="1501"/>
      <c r="L231" s="1501"/>
      <c r="M231" s="1501"/>
      <c r="N231" s="1501"/>
      <c r="O231" s="1496"/>
      <c r="P231" s="1290"/>
      <c r="Q231" s="1290"/>
      <c r="R231" s="1290"/>
      <c r="S231" s="1291"/>
      <c r="T231" s="547"/>
      <c r="U231" s="547"/>
      <c r="V231" s="547"/>
      <c r="W231" s="547"/>
      <c r="X231" s="547"/>
      <c r="Y231" s="547"/>
      <c r="Z231" s="547"/>
      <c r="AA231" s="547"/>
      <c r="AB231" s="547"/>
      <c r="CQ231" s="462"/>
      <c r="CR231" s="462"/>
      <c r="CS231" s="462"/>
      <c r="CT231" s="462"/>
      <c r="CU231" s="549"/>
      <c r="CV231" s="549"/>
      <c r="CW231" s="462"/>
      <c r="CX231" s="462"/>
      <c r="CY231" s="462"/>
      <c r="CZ231" s="462"/>
      <c r="DA231" s="462"/>
      <c r="DB231" s="462"/>
      <c r="DC231" s="462"/>
      <c r="DD231" s="462"/>
      <c r="DE231" s="462"/>
      <c r="DF231" s="462"/>
      <c r="DG231" s="462"/>
      <c r="DH231" s="462"/>
      <c r="DI231" s="462"/>
      <c r="DJ231" s="462"/>
      <c r="DK231" s="462"/>
      <c r="DL231" s="462"/>
      <c r="DM231" s="462"/>
      <c r="DN231" s="462"/>
      <c r="DO231" s="462"/>
      <c r="DP231" s="462"/>
      <c r="DQ231" s="462"/>
      <c r="DR231" s="462"/>
    </row>
    <row r="232" spans="2:122" s="546" customFormat="1" x14ac:dyDescent="0.2">
      <c r="B232" s="792"/>
      <c r="C232" s="1501"/>
      <c r="D232" s="1501"/>
      <c r="E232" s="1501"/>
      <c r="F232" s="1501"/>
      <c r="G232" s="1501"/>
      <c r="H232" s="1501"/>
      <c r="I232" s="1501"/>
      <c r="J232" s="1501"/>
      <c r="K232" s="1501"/>
      <c r="L232" s="1501"/>
      <c r="M232" s="1501"/>
      <c r="N232" s="1501"/>
      <c r="O232" s="1496"/>
      <c r="P232" s="1290"/>
      <c r="Q232" s="1290"/>
      <c r="R232" s="1290"/>
      <c r="S232" s="1291"/>
      <c r="T232" s="547"/>
      <c r="U232" s="547"/>
      <c r="V232" s="547"/>
      <c r="W232" s="547"/>
      <c r="X232" s="547"/>
      <c r="Y232" s="547"/>
      <c r="Z232" s="547"/>
      <c r="AA232" s="547"/>
      <c r="AB232" s="547"/>
      <c r="CQ232" s="462"/>
      <c r="CR232" s="462"/>
      <c r="CS232" s="462"/>
      <c r="CT232" s="462"/>
      <c r="CU232" s="549"/>
      <c r="CV232" s="549"/>
      <c r="CW232" s="462"/>
      <c r="CX232" s="462"/>
      <c r="CY232" s="462"/>
      <c r="CZ232" s="462"/>
      <c r="DA232" s="462"/>
      <c r="DB232" s="462"/>
      <c r="DC232" s="462"/>
      <c r="DD232" s="462"/>
      <c r="DE232" s="462"/>
      <c r="DF232" s="462"/>
      <c r="DG232" s="462"/>
      <c r="DH232" s="462"/>
      <c r="DI232" s="462"/>
      <c r="DJ232" s="462"/>
      <c r="DK232" s="462"/>
      <c r="DL232" s="462"/>
      <c r="DM232" s="462"/>
      <c r="DN232" s="462"/>
      <c r="DO232" s="462"/>
      <c r="DP232" s="462"/>
      <c r="DQ232" s="462"/>
      <c r="DR232" s="462"/>
    </row>
    <row r="233" spans="2:122" s="546" customFormat="1" x14ac:dyDescent="0.2">
      <c r="B233" s="792"/>
      <c r="C233" s="1501"/>
      <c r="D233" s="1501"/>
      <c r="E233" s="1501"/>
      <c r="F233" s="1501"/>
      <c r="G233" s="1501"/>
      <c r="H233" s="1501"/>
      <c r="I233" s="1501"/>
      <c r="J233" s="1501"/>
      <c r="K233" s="1501"/>
      <c r="L233" s="1501"/>
      <c r="M233" s="1501"/>
      <c r="N233" s="1501"/>
      <c r="O233" s="1496"/>
      <c r="P233" s="1290"/>
      <c r="Q233" s="1290"/>
      <c r="R233" s="1290"/>
      <c r="S233" s="1291"/>
      <c r="T233" s="547"/>
      <c r="U233" s="547"/>
      <c r="V233" s="547"/>
      <c r="W233" s="547"/>
      <c r="X233" s="547"/>
      <c r="Y233" s="547"/>
      <c r="Z233" s="547"/>
      <c r="AA233" s="547"/>
      <c r="AB233" s="547"/>
      <c r="CQ233" s="462"/>
      <c r="CR233" s="462"/>
      <c r="CS233" s="462"/>
      <c r="CT233" s="462"/>
      <c r="CU233" s="549"/>
      <c r="CV233" s="549"/>
      <c r="CW233" s="462"/>
      <c r="CX233" s="462"/>
      <c r="CY233" s="462"/>
      <c r="CZ233" s="462"/>
      <c r="DA233" s="462"/>
      <c r="DB233" s="462"/>
      <c r="DC233" s="462"/>
      <c r="DD233" s="462"/>
      <c r="DE233" s="462"/>
      <c r="DF233" s="462"/>
      <c r="DG233" s="462"/>
      <c r="DH233" s="462"/>
      <c r="DI233" s="462"/>
      <c r="DJ233" s="462"/>
      <c r="DK233" s="462"/>
      <c r="DL233" s="462"/>
      <c r="DM233" s="462"/>
      <c r="DN233" s="462"/>
      <c r="DO233" s="462"/>
      <c r="DP233" s="462"/>
      <c r="DQ233" s="462"/>
      <c r="DR233" s="462"/>
    </row>
    <row r="234" spans="2:122" s="546" customFormat="1" x14ac:dyDescent="0.2">
      <c r="B234" s="792"/>
      <c r="C234" s="1501"/>
      <c r="D234" s="1501"/>
      <c r="E234" s="1501"/>
      <c r="F234" s="1501"/>
      <c r="G234" s="1501"/>
      <c r="H234" s="1501"/>
      <c r="I234" s="1501"/>
      <c r="J234" s="1501"/>
      <c r="K234" s="1501"/>
      <c r="L234" s="1501"/>
      <c r="M234" s="1501"/>
      <c r="N234" s="1501"/>
      <c r="O234" s="1496"/>
      <c r="P234" s="1290"/>
      <c r="Q234" s="1290"/>
      <c r="R234" s="1290"/>
      <c r="S234" s="1291"/>
      <c r="T234" s="547"/>
      <c r="U234" s="547"/>
      <c r="V234" s="547"/>
      <c r="W234" s="547"/>
      <c r="X234" s="547"/>
      <c r="Y234" s="547"/>
      <c r="Z234" s="547"/>
      <c r="AA234" s="547"/>
      <c r="AB234" s="547"/>
      <c r="CQ234" s="462"/>
      <c r="CR234" s="462"/>
      <c r="CS234" s="462"/>
      <c r="CT234" s="462"/>
      <c r="CU234" s="549"/>
      <c r="CV234" s="549"/>
      <c r="CW234" s="462"/>
      <c r="CX234" s="462"/>
      <c r="CY234" s="462"/>
      <c r="CZ234" s="462"/>
      <c r="DA234" s="462"/>
      <c r="DB234" s="462"/>
      <c r="DC234" s="462"/>
      <c r="DD234" s="462"/>
      <c r="DE234" s="462"/>
      <c r="DF234" s="462"/>
      <c r="DG234" s="462"/>
      <c r="DH234" s="462"/>
      <c r="DI234" s="462"/>
      <c r="DJ234" s="462"/>
      <c r="DK234" s="462"/>
      <c r="DL234" s="462"/>
      <c r="DM234" s="462"/>
      <c r="DN234" s="462"/>
      <c r="DO234" s="462"/>
      <c r="DP234" s="462"/>
      <c r="DQ234" s="462"/>
      <c r="DR234" s="462"/>
    </row>
    <row r="235" spans="2:122" s="546" customFormat="1" x14ac:dyDescent="0.2">
      <c r="B235" s="792"/>
      <c r="C235" s="1501"/>
      <c r="D235" s="1501"/>
      <c r="E235" s="1501"/>
      <c r="F235" s="1501"/>
      <c r="G235" s="1501"/>
      <c r="H235" s="1501"/>
      <c r="I235" s="1501"/>
      <c r="J235" s="1501"/>
      <c r="K235" s="1501"/>
      <c r="L235" s="1501"/>
      <c r="M235" s="1501"/>
      <c r="N235" s="1501"/>
      <c r="O235" s="1496"/>
      <c r="P235" s="1290"/>
      <c r="Q235" s="1290"/>
      <c r="R235" s="1290"/>
      <c r="S235" s="1291"/>
      <c r="T235" s="547"/>
      <c r="U235" s="547"/>
      <c r="V235" s="547"/>
      <c r="W235" s="547"/>
      <c r="X235" s="547"/>
      <c r="Y235" s="547"/>
      <c r="Z235" s="547"/>
      <c r="AA235" s="547"/>
      <c r="AB235" s="547"/>
      <c r="CQ235" s="462"/>
      <c r="CR235" s="462"/>
      <c r="CS235" s="462"/>
      <c r="CT235" s="462"/>
      <c r="CU235" s="549"/>
      <c r="CV235" s="549"/>
      <c r="CW235" s="462"/>
      <c r="CX235" s="462"/>
      <c r="CY235" s="462"/>
      <c r="CZ235" s="462"/>
      <c r="DA235" s="462"/>
      <c r="DB235" s="462"/>
      <c r="DC235" s="462"/>
      <c r="DD235" s="462"/>
      <c r="DE235" s="462"/>
      <c r="DF235" s="462"/>
      <c r="DG235" s="462"/>
      <c r="DH235" s="462"/>
      <c r="DI235" s="462"/>
      <c r="DJ235" s="462"/>
      <c r="DK235" s="462"/>
      <c r="DL235" s="462"/>
      <c r="DM235" s="462"/>
      <c r="DN235" s="462"/>
      <c r="DO235" s="462"/>
      <c r="DP235" s="462"/>
      <c r="DQ235" s="462"/>
      <c r="DR235" s="462"/>
    </row>
    <row r="236" spans="2:122" s="546" customFormat="1" x14ac:dyDescent="0.2">
      <c r="B236" s="792"/>
      <c r="C236" s="1501"/>
      <c r="D236" s="1501"/>
      <c r="E236" s="1501"/>
      <c r="F236" s="1501"/>
      <c r="G236" s="1501"/>
      <c r="H236" s="1501"/>
      <c r="I236" s="1501"/>
      <c r="J236" s="1501"/>
      <c r="K236" s="1501"/>
      <c r="L236" s="1501"/>
      <c r="M236" s="1501"/>
      <c r="N236" s="1501"/>
      <c r="O236" s="1496"/>
      <c r="P236" s="1290"/>
      <c r="Q236" s="1290"/>
      <c r="R236" s="1290"/>
      <c r="S236" s="1291"/>
      <c r="T236" s="547"/>
      <c r="U236" s="547"/>
      <c r="V236" s="547"/>
      <c r="W236" s="547"/>
      <c r="X236" s="547"/>
      <c r="Y236" s="547"/>
      <c r="Z236" s="547"/>
      <c r="AA236" s="547"/>
      <c r="AB236" s="547"/>
      <c r="CQ236" s="462"/>
      <c r="CR236" s="462"/>
      <c r="CS236" s="462"/>
      <c r="CT236" s="462"/>
      <c r="CU236" s="549"/>
      <c r="CV236" s="549"/>
      <c r="CW236" s="462"/>
      <c r="CX236" s="462"/>
      <c r="CY236" s="462"/>
      <c r="CZ236" s="462"/>
      <c r="DA236" s="462"/>
      <c r="DB236" s="462"/>
      <c r="DC236" s="462"/>
      <c r="DD236" s="462"/>
      <c r="DE236" s="462"/>
      <c r="DF236" s="462"/>
      <c r="DG236" s="462"/>
      <c r="DH236" s="462"/>
      <c r="DI236" s="462"/>
      <c r="DJ236" s="462"/>
      <c r="DK236" s="462"/>
      <c r="DL236" s="462"/>
      <c r="DM236" s="462"/>
      <c r="DN236" s="462"/>
      <c r="DO236" s="462"/>
      <c r="DP236" s="462"/>
      <c r="DQ236" s="462"/>
      <c r="DR236" s="462"/>
    </row>
    <row r="237" spans="2:122" s="546" customFormat="1" x14ac:dyDescent="0.2">
      <c r="B237" s="792"/>
      <c r="C237" s="1501"/>
      <c r="D237" s="1501"/>
      <c r="E237" s="1501"/>
      <c r="F237" s="1501"/>
      <c r="G237" s="1501"/>
      <c r="H237" s="1501"/>
      <c r="I237" s="1501"/>
      <c r="J237" s="1501"/>
      <c r="K237" s="1501"/>
      <c r="L237" s="1501"/>
      <c r="M237" s="1501"/>
      <c r="N237" s="1501"/>
      <c r="O237" s="1496"/>
      <c r="P237" s="1290"/>
      <c r="Q237" s="1290"/>
      <c r="R237" s="1290"/>
      <c r="S237" s="1291"/>
      <c r="T237" s="547"/>
      <c r="U237" s="547"/>
      <c r="V237" s="547"/>
      <c r="W237" s="547"/>
      <c r="X237" s="547"/>
      <c r="Y237" s="547"/>
      <c r="Z237" s="547"/>
      <c r="AA237" s="547"/>
      <c r="AB237" s="547"/>
      <c r="CQ237" s="462"/>
      <c r="CR237" s="462"/>
      <c r="CS237" s="462"/>
      <c r="CT237" s="462"/>
      <c r="CU237" s="549"/>
      <c r="CV237" s="549"/>
      <c r="CW237" s="462"/>
      <c r="CX237" s="462"/>
      <c r="CY237" s="462"/>
      <c r="CZ237" s="462"/>
      <c r="DA237" s="462"/>
      <c r="DB237" s="462"/>
      <c r="DC237" s="462"/>
      <c r="DD237" s="462"/>
      <c r="DE237" s="462"/>
      <c r="DF237" s="462"/>
      <c r="DG237" s="462"/>
      <c r="DH237" s="462"/>
      <c r="DI237" s="462"/>
      <c r="DJ237" s="462"/>
      <c r="DK237" s="462"/>
      <c r="DL237" s="462"/>
      <c r="DM237" s="462"/>
      <c r="DN237" s="462"/>
      <c r="DO237" s="462"/>
      <c r="DP237" s="462"/>
      <c r="DQ237" s="462"/>
      <c r="DR237" s="462"/>
    </row>
    <row r="238" spans="2:122" s="546" customFormat="1" x14ac:dyDescent="0.2">
      <c r="B238" s="792"/>
      <c r="C238" s="1501"/>
      <c r="D238" s="1501"/>
      <c r="E238" s="1501"/>
      <c r="F238" s="1501"/>
      <c r="G238" s="1501"/>
      <c r="H238" s="1501"/>
      <c r="I238" s="1501"/>
      <c r="J238" s="1501"/>
      <c r="K238" s="1501"/>
      <c r="L238" s="1501"/>
      <c r="M238" s="1501"/>
      <c r="N238" s="1501"/>
      <c r="O238" s="1496"/>
      <c r="P238" s="1290"/>
      <c r="Q238" s="1290"/>
      <c r="R238" s="1290"/>
      <c r="S238" s="1291"/>
      <c r="T238" s="547"/>
      <c r="U238" s="547"/>
      <c r="V238" s="547"/>
      <c r="W238" s="547"/>
      <c r="X238" s="547"/>
      <c r="Y238" s="547"/>
      <c r="Z238" s="547"/>
      <c r="AA238" s="547"/>
      <c r="AB238" s="547"/>
      <c r="CQ238" s="462"/>
      <c r="CR238" s="462"/>
      <c r="CS238" s="462"/>
      <c r="CT238" s="462"/>
      <c r="CU238" s="549"/>
      <c r="CV238" s="549"/>
      <c r="CW238" s="462"/>
      <c r="CX238" s="462"/>
      <c r="CY238" s="462"/>
      <c r="CZ238" s="462"/>
      <c r="DA238" s="462"/>
      <c r="DB238" s="462"/>
      <c r="DC238" s="462"/>
      <c r="DD238" s="462"/>
      <c r="DE238" s="462"/>
      <c r="DF238" s="462"/>
      <c r="DG238" s="462"/>
      <c r="DH238" s="462"/>
      <c r="DI238" s="462"/>
      <c r="DJ238" s="462"/>
      <c r="DK238" s="462"/>
      <c r="DL238" s="462"/>
      <c r="DM238" s="462"/>
      <c r="DN238" s="462"/>
      <c r="DO238" s="462"/>
      <c r="DP238" s="462"/>
      <c r="DQ238" s="462"/>
      <c r="DR238" s="462"/>
    </row>
    <row r="239" spans="2:122" s="546" customFormat="1" x14ac:dyDescent="0.2">
      <c r="B239" s="792"/>
      <c r="C239" s="1501"/>
      <c r="D239" s="1501"/>
      <c r="E239" s="1501"/>
      <c r="F239" s="1501"/>
      <c r="G239" s="1501"/>
      <c r="H239" s="1501"/>
      <c r="I239" s="1501"/>
      <c r="J239" s="1501"/>
      <c r="K239" s="1501"/>
      <c r="L239" s="1501"/>
      <c r="M239" s="1501"/>
      <c r="N239" s="1501"/>
      <c r="O239" s="1496"/>
      <c r="P239" s="1290"/>
      <c r="Q239" s="1290"/>
      <c r="R239" s="1290"/>
      <c r="S239" s="1291"/>
      <c r="T239" s="547"/>
      <c r="U239" s="547"/>
      <c r="V239" s="547"/>
      <c r="W239" s="547"/>
      <c r="X239" s="547"/>
      <c r="Y239" s="547"/>
      <c r="Z239" s="547"/>
      <c r="AA239" s="547"/>
      <c r="AB239" s="547"/>
      <c r="CQ239" s="462"/>
      <c r="CR239" s="462"/>
      <c r="CS239" s="462"/>
      <c r="CT239" s="462"/>
      <c r="CU239" s="549"/>
      <c r="CV239" s="549"/>
      <c r="CW239" s="462"/>
      <c r="CX239" s="462"/>
      <c r="CY239" s="462"/>
      <c r="CZ239" s="462"/>
      <c r="DA239" s="462"/>
      <c r="DB239" s="462"/>
      <c r="DC239" s="462"/>
      <c r="DD239" s="462"/>
      <c r="DE239" s="462"/>
      <c r="DF239" s="462"/>
      <c r="DG239" s="462"/>
      <c r="DH239" s="462"/>
      <c r="DI239" s="462"/>
      <c r="DJ239" s="462"/>
      <c r="DK239" s="462"/>
      <c r="DL239" s="462"/>
      <c r="DM239" s="462"/>
      <c r="DN239" s="462"/>
      <c r="DO239" s="462"/>
      <c r="DP239" s="462"/>
      <c r="DQ239" s="462"/>
      <c r="DR239" s="462"/>
    </row>
    <row r="240" spans="2:122" s="546" customFormat="1" x14ac:dyDescent="0.2">
      <c r="B240" s="792"/>
      <c r="C240" s="1501"/>
      <c r="D240" s="1501"/>
      <c r="E240" s="1501"/>
      <c r="F240" s="1501"/>
      <c r="G240" s="1501"/>
      <c r="H240" s="1501"/>
      <c r="I240" s="1501"/>
      <c r="J240" s="1501"/>
      <c r="K240" s="1501"/>
      <c r="L240" s="1501"/>
      <c r="M240" s="1501"/>
      <c r="N240" s="1501"/>
      <c r="O240" s="1496"/>
      <c r="P240" s="1290"/>
      <c r="Q240" s="1290"/>
      <c r="R240" s="1290"/>
      <c r="S240" s="1291"/>
      <c r="T240" s="547"/>
      <c r="U240" s="547"/>
      <c r="V240" s="547"/>
      <c r="W240" s="547"/>
      <c r="X240" s="547"/>
      <c r="Y240" s="547"/>
      <c r="Z240" s="547"/>
      <c r="AA240" s="547"/>
      <c r="AB240" s="547"/>
      <c r="CQ240" s="462"/>
      <c r="CR240" s="462"/>
      <c r="CS240" s="462"/>
      <c r="CT240" s="462"/>
      <c r="CU240" s="549"/>
      <c r="CV240" s="549"/>
      <c r="CW240" s="462"/>
      <c r="CX240" s="462"/>
      <c r="CY240" s="462"/>
      <c r="CZ240" s="462"/>
      <c r="DA240" s="462"/>
      <c r="DB240" s="462"/>
      <c r="DC240" s="462"/>
      <c r="DD240" s="462"/>
      <c r="DE240" s="462"/>
      <c r="DF240" s="462"/>
      <c r="DG240" s="462"/>
      <c r="DH240" s="462"/>
      <c r="DI240" s="462"/>
      <c r="DJ240" s="462"/>
      <c r="DK240" s="462"/>
      <c r="DL240" s="462"/>
      <c r="DM240" s="462"/>
      <c r="DN240" s="462"/>
      <c r="DO240" s="462"/>
      <c r="DP240" s="462"/>
      <c r="DQ240" s="462"/>
      <c r="DR240" s="462"/>
    </row>
    <row r="241" spans="2:122" s="546" customFormat="1" x14ac:dyDescent="0.2">
      <c r="B241" s="792"/>
      <c r="C241" s="1501"/>
      <c r="D241" s="1501"/>
      <c r="E241" s="1501"/>
      <c r="F241" s="1501"/>
      <c r="G241" s="1501"/>
      <c r="H241" s="1501"/>
      <c r="I241" s="1501"/>
      <c r="J241" s="1501"/>
      <c r="K241" s="1501"/>
      <c r="L241" s="1501"/>
      <c r="M241" s="1501"/>
      <c r="N241" s="1501"/>
      <c r="O241" s="1496"/>
      <c r="P241" s="1290"/>
      <c r="Q241" s="1290"/>
      <c r="R241" s="1290"/>
      <c r="S241" s="1291"/>
      <c r="T241" s="547"/>
      <c r="U241" s="547"/>
      <c r="V241" s="547"/>
      <c r="W241" s="547"/>
      <c r="X241" s="547"/>
      <c r="Y241" s="547"/>
      <c r="Z241" s="547"/>
      <c r="AA241" s="547"/>
      <c r="AB241" s="547"/>
      <c r="CQ241" s="462"/>
      <c r="CR241" s="462"/>
      <c r="CS241" s="462"/>
      <c r="CT241" s="462"/>
      <c r="CU241" s="549"/>
      <c r="CV241" s="549"/>
      <c r="CW241" s="462"/>
      <c r="CX241" s="462"/>
      <c r="CY241" s="462"/>
      <c r="CZ241" s="462"/>
      <c r="DA241" s="462"/>
      <c r="DB241" s="462"/>
      <c r="DC241" s="462"/>
      <c r="DD241" s="462"/>
      <c r="DE241" s="462"/>
      <c r="DF241" s="462"/>
      <c r="DG241" s="462"/>
      <c r="DH241" s="462"/>
      <c r="DI241" s="462"/>
      <c r="DJ241" s="462"/>
      <c r="DK241" s="462"/>
      <c r="DL241" s="462"/>
      <c r="DM241" s="462"/>
      <c r="DN241" s="462"/>
      <c r="DO241" s="462"/>
      <c r="DP241" s="462"/>
      <c r="DQ241" s="462"/>
      <c r="DR241" s="462"/>
    </row>
    <row r="242" spans="2:122" s="546" customFormat="1" x14ac:dyDescent="0.2">
      <c r="B242" s="792"/>
      <c r="C242" s="1501"/>
      <c r="D242" s="1501"/>
      <c r="E242" s="1501"/>
      <c r="F242" s="1501"/>
      <c r="G242" s="1501"/>
      <c r="H242" s="1501"/>
      <c r="I242" s="1501"/>
      <c r="J242" s="1501"/>
      <c r="K242" s="1501"/>
      <c r="L242" s="1501"/>
      <c r="M242" s="1501"/>
      <c r="N242" s="1501"/>
      <c r="O242" s="1496"/>
      <c r="P242" s="1290"/>
      <c r="Q242" s="1290"/>
      <c r="R242" s="1290"/>
      <c r="S242" s="1291"/>
      <c r="T242" s="547"/>
      <c r="U242" s="547"/>
      <c r="V242" s="547"/>
      <c r="W242" s="547"/>
      <c r="X242" s="547"/>
      <c r="Y242" s="547"/>
      <c r="Z242" s="547"/>
      <c r="AA242" s="547"/>
      <c r="AB242" s="547"/>
      <c r="CQ242" s="462"/>
      <c r="CR242" s="462"/>
      <c r="CS242" s="462"/>
      <c r="CT242" s="462"/>
      <c r="CU242" s="549"/>
      <c r="CV242" s="549"/>
      <c r="CW242" s="462"/>
      <c r="CX242" s="462"/>
      <c r="CY242" s="462"/>
      <c r="CZ242" s="462"/>
      <c r="DA242" s="462"/>
      <c r="DB242" s="462"/>
      <c r="DC242" s="462"/>
      <c r="DD242" s="462"/>
      <c r="DE242" s="462"/>
      <c r="DF242" s="462"/>
      <c r="DG242" s="462"/>
      <c r="DH242" s="462"/>
      <c r="DI242" s="462"/>
      <c r="DJ242" s="462"/>
      <c r="DK242" s="462"/>
      <c r="DL242" s="462"/>
      <c r="DM242" s="462"/>
      <c r="DN242" s="462"/>
      <c r="DO242" s="462"/>
      <c r="DP242" s="462"/>
      <c r="DQ242" s="462"/>
      <c r="DR242" s="462"/>
    </row>
    <row r="243" spans="2:122" s="546" customFormat="1" x14ac:dyDescent="0.2">
      <c r="B243" s="792"/>
      <c r="C243" s="1501"/>
      <c r="D243" s="1501"/>
      <c r="E243" s="1501"/>
      <c r="F243" s="1501"/>
      <c r="G243" s="1501"/>
      <c r="H243" s="1501"/>
      <c r="I243" s="1501"/>
      <c r="J243" s="1501"/>
      <c r="K243" s="1501"/>
      <c r="L243" s="1501"/>
      <c r="M243" s="1501"/>
      <c r="N243" s="1501"/>
      <c r="O243" s="1496"/>
      <c r="P243" s="1290"/>
      <c r="Q243" s="1290"/>
      <c r="R243" s="1290"/>
      <c r="S243" s="1291"/>
      <c r="T243" s="547"/>
      <c r="U243" s="547"/>
      <c r="V243" s="547"/>
      <c r="W243" s="547"/>
      <c r="X243" s="547"/>
      <c r="Y243" s="547"/>
      <c r="Z243" s="547"/>
      <c r="AA243" s="547"/>
      <c r="AB243" s="547"/>
      <c r="CQ243" s="462"/>
      <c r="CR243" s="462"/>
      <c r="CS243" s="462"/>
      <c r="CT243" s="462"/>
      <c r="CU243" s="549"/>
      <c r="CV243" s="549"/>
      <c r="CW243" s="462"/>
      <c r="CX243" s="462"/>
      <c r="CY243" s="462"/>
      <c r="CZ243" s="462"/>
      <c r="DA243" s="462"/>
      <c r="DB243" s="462"/>
      <c r="DC243" s="462"/>
      <c r="DD243" s="462"/>
      <c r="DE243" s="462"/>
      <c r="DF243" s="462"/>
      <c r="DG243" s="462"/>
      <c r="DH243" s="462"/>
      <c r="DI243" s="462"/>
      <c r="DJ243" s="462"/>
      <c r="DK243" s="462"/>
      <c r="DL243" s="462"/>
      <c r="DM243" s="462"/>
      <c r="DN243" s="462"/>
      <c r="DO243" s="462"/>
      <c r="DP243" s="462"/>
      <c r="DQ243" s="462"/>
      <c r="DR243" s="462"/>
    </row>
    <row r="244" spans="2:122" s="546" customFormat="1" x14ac:dyDescent="0.2">
      <c r="B244" s="792"/>
      <c r="C244" s="1501"/>
      <c r="D244" s="1501"/>
      <c r="E244" s="1501"/>
      <c r="F244" s="1501"/>
      <c r="G244" s="1501"/>
      <c r="H244" s="1501"/>
      <c r="I244" s="1501"/>
      <c r="J244" s="1501"/>
      <c r="K244" s="1501"/>
      <c r="L244" s="1501"/>
      <c r="M244" s="1501"/>
      <c r="N244" s="1501"/>
      <c r="O244" s="1496"/>
      <c r="P244" s="1290"/>
      <c r="Q244" s="1290"/>
      <c r="R244" s="1290"/>
      <c r="S244" s="1291"/>
      <c r="T244" s="547"/>
      <c r="U244" s="547"/>
      <c r="V244" s="547"/>
      <c r="W244" s="547"/>
      <c r="X244" s="547"/>
      <c r="Y244" s="547"/>
      <c r="Z244" s="547"/>
      <c r="AA244" s="547"/>
      <c r="AB244" s="547"/>
      <c r="CQ244" s="462"/>
      <c r="CR244" s="462"/>
      <c r="CS244" s="462"/>
      <c r="CT244" s="462"/>
      <c r="CU244" s="549"/>
      <c r="CV244" s="549"/>
      <c r="CW244" s="462"/>
      <c r="CX244" s="462"/>
      <c r="CY244" s="462"/>
      <c r="CZ244" s="462"/>
      <c r="DA244" s="462"/>
      <c r="DB244" s="462"/>
      <c r="DC244" s="462"/>
      <c r="DD244" s="462"/>
      <c r="DE244" s="462"/>
      <c r="DF244" s="462"/>
      <c r="DG244" s="462"/>
      <c r="DH244" s="462"/>
      <c r="DI244" s="462"/>
      <c r="DJ244" s="462"/>
      <c r="DK244" s="462"/>
      <c r="DL244" s="462"/>
      <c r="DM244" s="462"/>
      <c r="DN244" s="462"/>
      <c r="DO244" s="462"/>
      <c r="DP244" s="462"/>
      <c r="DQ244" s="462"/>
      <c r="DR244" s="462"/>
    </row>
    <row r="245" spans="2:122" s="546" customFormat="1" x14ac:dyDescent="0.2">
      <c r="B245" s="792"/>
      <c r="C245" s="1501"/>
      <c r="D245" s="1501"/>
      <c r="E245" s="1501"/>
      <c r="F245" s="1501"/>
      <c r="G245" s="1501"/>
      <c r="H245" s="1501"/>
      <c r="I245" s="1501"/>
      <c r="J245" s="1501"/>
      <c r="K245" s="1501"/>
      <c r="L245" s="1501"/>
      <c r="M245" s="1501"/>
      <c r="N245" s="1501"/>
      <c r="O245" s="1496"/>
      <c r="P245" s="1290"/>
      <c r="Q245" s="1290"/>
      <c r="R245" s="1290"/>
      <c r="S245" s="1291"/>
      <c r="T245" s="547"/>
      <c r="U245" s="547"/>
      <c r="V245" s="547"/>
      <c r="W245" s="547"/>
      <c r="X245" s="547"/>
      <c r="Y245" s="547"/>
      <c r="Z245" s="547"/>
      <c r="AA245" s="547"/>
      <c r="AB245" s="547"/>
      <c r="CQ245" s="462"/>
      <c r="CR245" s="462"/>
      <c r="CS245" s="462"/>
      <c r="CT245" s="462"/>
      <c r="CU245" s="549"/>
      <c r="CV245" s="549"/>
      <c r="CW245" s="462"/>
      <c r="CX245" s="462"/>
      <c r="CY245" s="462"/>
      <c r="CZ245" s="462"/>
      <c r="DA245" s="462"/>
      <c r="DB245" s="462"/>
      <c r="DC245" s="462"/>
      <c r="DD245" s="462"/>
      <c r="DE245" s="462"/>
      <c r="DF245" s="462"/>
      <c r="DG245" s="462"/>
      <c r="DH245" s="462"/>
      <c r="DI245" s="462"/>
      <c r="DJ245" s="462"/>
      <c r="DK245" s="462"/>
      <c r="DL245" s="462"/>
      <c r="DM245" s="462"/>
      <c r="DN245" s="462"/>
      <c r="DO245" s="462"/>
      <c r="DP245" s="462"/>
      <c r="DQ245" s="462"/>
      <c r="DR245" s="462"/>
    </row>
    <row r="246" spans="2:122" s="546" customFormat="1" x14ac:dyDescent="0.2">
      <c r="B246" s="792"/>
      <c r="C246" s="1501"/>
      <c r="D246" s="1501"/>
      <c r="E246" s="1501"/>
      <c r="F246" s="1501"/>
      <c r="G246" s="1501"/>
      <c r="H246" s="1501"/>
      <c r="I246" s="1501"/>
      <c r="J246" s="1501"/>
      <c r="K246" s="1501"/>
      <c r="L246" s="1501"/>
      <c r="M246" s="1501"/>
      <c r="N246" s="1501"/>
      <c r="O246" s="1496"/>
      <c r="P246" s="1290"/>
      <c r="Q246" s="1290"/>
      <c r="R246" s="1290"/>
      <c r="S246" s="1291"/>
      <c r="T246" s="547"/>
      <c r="U246" s="547"/>
      <c r="V246" s="547"/>
      <c r="W246" s="547"/>
      <c r="X246" s="547"/>
      <c r="Y246" s="547"/>
      <c r="Z246" s="547"/>
      <c r="AA246" s="547"/>
      <c r="AB246" s="547"/>
      <c r="CQ246" s="462"/>
      <c r="CR246" s="462"/>
      <c r="CS246" s="462"/>
      <c r="CT246" s="462"/>
      <c r="CU246" s="549"/>
      <c r="CV246" s="549"/>
      <c r="CW246" s="462"/>
      <c r="CX246" s="462"/>
      <c r="CY246" s="462"/>
      <c r="CZ246" s="462"/>
      <c r="DA246" s="462"/>
      <c r="DB246" s="462"/>
      <c r="DC246" s="462"/>
      <c r="DD246" s="462"/>
      <c r="DE246" s="462"/>
      <c r="DF246" s="462"/>
      <c r="DG246" s="462"/>
      <c r="DH246" s="462"/>
      <c r="DI246" s="462"/>
      <c r="DJ246" s="462"/>
      <c r="DK246" s="462"/>
      <c r="DL246" s="462"/>
      <c r="DM246" s="462"/>
      <c r="DN246" s="462"/>
      <c r="DO246" s="462"/>
      <c r="DP246" s="462"/>
      <c r="DQ246" s="462"/>
      <c r="DR246" s="462"/>
    </row>
    <row r="247" spans="2:122" s="546" customFormat="1" x14ac:dyDescent="0.2">
      <c r="B247" s="792"/>
      <c r="C247" s="1501"/>
      <c r="D247" s="1501"/>
      <c r="E247" s="1501"/>
      <c r="F247" s="1501"/>
      <c r="G247" s="1501"/>
      <c r="H247" s="1501"/>
      <c r="I247" s="1501"/>
      <c r="J247" s="1501"/>
      <c r="K247" s="1501"/>
      <c r="L247" s="1501"/>
      <c r="M247" s="1501"/>
      <c r="N247" s="1501"/>
      <c r="O247" s="1496"/>
      <c r="P247" s="1290"/>
      <c r="Q247" s="1290"/>
      <c r="R247" s="1290"/>
      <c r="S247" s="1291"/>
      <c r="T247" s="547"/>
      <c r="U247" s="547"/>
      <c r="V247" s="547"/>
      <c r="W247" s="547"/>
      <c r="X247" s="547"/>
      <c r="Y247" s="547"/>
      <c r="Z247" s="547"/>
      <c r="AA247" s="547"/>
      <c r="AB247" s="547"/>
      <c r="CQ247" s="462"/>
      <c r="CR247" s="462"/>
      <c r="CS247" s="462"/>
      <c r="CT247" s="462"/>
      <c r="CU247" s="549"/>
      <c r="CV247" s="549"/>
      <c r="CW247" s="462"/>
      <c r="CX247" s="462"/>
      <c r="CY247" s="462"/>
      <c r="CZ247" s="462"/>
      <c r="DA247" s="462"/>
      <c r="DB247" s="462"/>
      <c r="DC247" s="462"/>
      <c r="DD247" s="462"/>
      <c r="DE247" s="462"/>
      <c r="DF247" s="462"/>
      <c r="DG247" s="462"/>
      <c r="DH247" s="462"/>
      <c r="DI247" s="462"/>
      <c r="DJ247" s="462"/>
      <c r="DK247" s="462"/>
      <c r="DL247" s="462"/>
      <c r="DM247" s="462"/>
      <c r="DN247" s="462"/>
      <c r="DO247" s="462"/>
      <c r="DP247" s="462"/>
      <c r="DQ247" s="462"/>
      <c r="DR247" s="462"/>
    </row>
    <row r="248" spans="2:122" s="546" customFormat="1" x14ac:dyDescent="0.2">
      <c r="B248" s="792"/>
      <c r="C248" s="1501"/>
      <c r="D248" s="1501"/>
      <c r="E248" s="1501"/>
      <c r="F248" s="1501"/>
      <c r="G248" s="1501"/>
      <c r="H248" s="1501"/>
      <c r="I248" s="1501"/>
      <c r="J248" s="1501"/>
      <c r="K248" s="1501"/>
      <c r="L248" s="1501"/>
      <c r="M248" s="1501"/>
      <c r="N248" s="1501"/>
      <c r="O248" s="1496"/>
      <c r="P248" s="1290"/>
      <c r="Q248" s="1290"/>
      <c r="R248" s="1290"/>
      <c r="S248" s="1291"/>
      <c r="T248" s="547"/>
      <c r="U248" s="547"/>
      <c r="V248" s="547"/>
      <c r="W248" s="547"/>
      <c r="X248" s="547"/>
      <c r="Y248" s="547"/>
      <c r="Z248" s="547"/>
      <c r="AA248" s="547"/>
      <c r="AB248" s="547"/>
      <c r="CQ248" s="462"/>
      <c r="CR248" s="462"/>
      <c r="CS248" s="462"/>
      <c r="CT248" s="462"/>
      <c r="CU248" s="549"/>
      <c r="CV248" s="549"/>
      <c r="CW248" s="462"/>
      <c r="CX248" s="462"/>
      <c r="CY248" s="462"/>
      <c r="CZ248" s="462"/>
      <c r="DA248" s="462"/>
      <c r="DB248" s="462"/>
      <c r="DC248" s="462"/>
      <c r="DD248" s="462"/>
      <c r="DE248" s="462"/>
      <c r="DF248" s="462"/>
      <c r="DG248" s="462"/>
      <c r="DH248" s="462"/>
      <c r="DI248" s="462"/>
      <c r="DJ248" s="462"/>
      <c r="DK248" s="462"/>
      <c r="DL248" s="462"/>
      <c r="DM248" s="462"/>
      <c r="DN248" s="462"/>
      <c r="DO248" s="462"/>
      <c r="DP248" s="462"/>
      <c r="DQ248" s="462"/>
      <c r="DR248" s="462"/>
    </row>
    <row r="249" spans="2:122" s="546" customFormat="1" x14ac:dyDescent="0.2">
      <c r="B249" s="792"/>
      <c r="C249" s="1501"/>
      <c r="D249" s="1501"/>
      <c r="E249" s="1501"/>
      <c r="F249" s="1501"/>
      <c r="G249" s="1501"/>
      <c r="H249" s="1501"/>
      <c r="I249" s="1501"/>
      <c r="J249" s="1501"/>
      <c r="K249" s="1501"/>
      <c r="L249" s="1501"/>
      <c r="M249" s="1501"/>
      <c r="N249" s="1501"/>
      <c r="O249" s="1496"/>
      <c r="P249" s="1290"/>
      <c r="Q249" s="1290"/>
      <c r="R249" s="1290"/>
      <c r="S249" s="1291"/>
      <c r="T249" s="547"/>
      <c r="U249" s="547"/>
      <c r="V249" s="547"/>
      <c r="W249" s="547"/>
      <c r="X249" s="547"/>
      <c r="Y249" s="547"/>
      <c r="Z249" s="547"/>
      <c r="AA249" s="547"/>
      <c r="AB249" s="547"/>
      <c r="CQ249" s="462"/>
      <c r="CR249" s="462"/>
      <c r="CS249" s="462"/>
      <c r="CT249" s="462"/>
      <c r="CU249" s="549"/>
      <c r="CV249" s="549"/>
      <c r="CW249" s="462"/>
      <c r="CX249" s="462"/>
      <c r="CY249" s="462"/>
      <c r="CZ249" s="462"/>
      <c r="DA249" s="462"/>
      <c r="DB249" s="462"/>
      <c r="DC249" s="462"/>
      <c r="DD249" s="462"/>
      <c r="DE249" s="462"/>
      <c r="DF249" s="462"/>
      <c r="DG249" s="462"/>
      <c r="DH249" s="462"/>
      <c r="DI249" s="462"/>
      <c r="DJ249" s="462"/>
      <c r="DK249" s="462"/>
      <c r="DL249" s="462"/>
      <c r="DM249" s="462"/>
      <c r="DN249" s="462"/>
      <c r="DO249" s="462"/>
      <c r="DP249" s="462"/>
      <c r="DQ249" s="462"/>
      <c r="DR249" s="462"/>
    </row>
    <row r="250" spans="2:122" s="546" customFormat="1" x14ac:dyDescent="0.2">
      <c r="B250" s="792"/>
      <c r="C250" s="1501"/>
      <c r="D250" s="1501"/>
      <c r="E250" s="1501"/>
      <c r="F250" s="1501"/>
      <c r="G250" s="1501"/>
      <c r="H250" s="1501"/>
      <c r="I250" s="1501"/>
      <c r="J250" s="1501"/>
      <c r="K250" s="1501"/>
      <c r="L250" s="1501"/>
      <c r="M250" s="1501"/>
      <c r="N250" s="1501"/>
      <c r="O250" s="1496"/>
      <c r="P250" s="1290"/>
      <c r="Q250" s="1290"/>
      <c r="R250" s="1290"/>
      <c r="S250" s="1291"/>
      <c r="T250" s="547"/>
      <c r="U250" s="547"/>
      <c r="V250" s="547"/>
      <c r="W250" s="547"/>
      <c r="X250" s="547"/>
      <c r="Y250" s="547"/>
      <c r="Z250" s="547"/>
      <c r="AA250" s="547"/>
      <c r="AB250" s="547"/>
      <c r="CQ250" s="462"/>
      <c r="CR250" s="462"/>
      <c r="CS250" s="462"/>
      <c r="CT250" s="462"/>
      <c r="CU250" s="549"/>
      <c r="CV250" s="549"/>
      <c r="CW250" s="462"/>
      <c r="CX250" s="462"/>
      <c r="CY250" s="462"/>
      <c r="CZ250" s="462"/>
      <c r="DA250" s="462"/>
      <c r="DB250" s="462"/>
      <c r="DC250" s="462"/>
      <c r="DD250" s="462"/>
      <c r="DE250" s="462"/>
      <c r="DF250" s="462"/>
      <c r="DG250" s="462"/>
      <c r="DH250" s="462"/>
      <c r="DI250" s="462"/>
      <c r="DJ250" s="462"/>
      <c r="DK250" s="462"/>
      <c r="DL250" s="462"/>
      <c r="DM250" s="462"/>
      <c r="DN250" s="462"/>
      <c r="DO250" s="462"/>
      <c r="DP250" s="462"/>
      <c r="DQ250" s="462"/>
      <c r="DR250" s="462"/>
    </row>
    <row r="251" spans="2:122" s="546" customFormat="1" x14ac:dyDescent="0.2">
      <c r="B251" s="792"/>
      <c r="C251" s="1501"/>
      <c r="D251" s="1501"/>
      <c r="E251" s="1501"/>
      <c r="F251" s="1501"/>
      <c r="G251" s="1501"/>
      <c r="H251" s="1501"/>
      <c r="I251" s="1501"/>
      <c r="J251" s="1501"/>
      <c r="K251" s="1501"/>
      <c r="L251" s="1501"/>
      <c r="M251" s="1501"/>
      <c r="N251" s="1501"/>
      <c r="O251" s="1496"/>
      <c r="P251" s="1290"/>
      <c r="Q251" s="1290"/>
      <c r="R251" s="1290"/>
      <c r="S251" s="1291"/>
      <c r="T251" s="547"/>
      <c r="U251" s="547"/>
      <c r="V251" s="547"/>
      <c r="W251" s="547"/>
      <c r="X251" s="547"/>
      <c r="Y251" s="547"/>
      <c r="Z251" s="547"/>
      <c r="AA251" s="547"/>
      <c r="AB251" s="547"/>
      <c r="CQ251" s="462"/>
      <c r="CR251" s="462"/>
      <c r="CS251" s="462"/>
      <c r="CT251" s="462"/>
      <c r="CU251" s="549"/>
      <c r="CV251" s="549"/>
      <c r="CW251" s="462"/>
      <c r="CX251" s="462"/>
      <c r="CY251" s="462"/>
      <c r="CZ251" s="462"/>
      <c r="DA251" s="462"/>
      <c r="DB251" s="462"/>
      <c r="DC251" s="462"/>
      <c r="DD251" s="462"/>
      <c r="DE251" s="462"/>
      <c r="DF251" s="462"/>
      <c r="DG251" s="462"/>
      <c r="DH251" s="462"/>
      <c r="DI251" s="462"/>
      <c r="DJ251" s="462"/>
      <c r="DK251" s="462"/>
      <c r="DL251" s="462"/>
      <c r="DM251" s="462"/>
      <c r="DN251" s="462"/>
      <c r="DO251" s="462"/>
      <c r="DP251" s="462"/>
      <c r="DQ251" s="462"/>
      <c r="DR251" s="462"/>
    </row>
    <row r="252" spans="2:122" s="546" customFormat="1" x14ac:dyDescent="0.2">
      <c r="B252" s="792"/>
      <c r="C252" s="1501"/>
      <c r="D252" s="1501"/>
      <c r="E252" s="1501"/>
      <c r="F252" s="1501"/>
      <c r="G252" s="1501"/>
      <c r="H252" s="1501"/>
      <c r="I252" s="1501"/>
      <c r="J252" s="1501"/>
      <c r="K252" s="1501"/>
      <c r="L252" s="1501"/>
      <c r="M252" s="1501"/>
      <c r="N252" s="1501"/>
      <c r="O252" s="1496"/>
      <c r="P252" s="1290"/>
      <c r="Q252" s="1290"/>
      <c r="R252" s="1290"/>
      <c r="S252" s="1291"/>
      <c r="T252" s="547"/>
      <c r="U252" s="547"/>
      <c r="V252" s="547"/>
      <c r="W252" s="547"/>
      <c r="X252" s="547"/>
      <c r="Y252" s="547"/>
      <c r="Z252" s="547"/>
      <c r="AA252" s="547"/>
      <c r="AB252" s="547"/>
      <c r="CQ252" s="462"/>
      <c r="CR252" s="462"/>
      <c r="CS252" s="462"/>
      <c r="CT252" s="462"/>
      <c r="CU252" s="549"/>
      <c r="CV252" s="549"/>
      <c r="CW252" s="462"/>
      <c r="CX252" s="462"/>
      <c r="CY252" s="462"/>
      <c r="CZ252" s="462"/>
      <c r="DA252" s="462"/>
      <c r="DB252" s="462"/>
      <c r="DC252" s="462"/>
      <c r="DD252" s="462"/>
      <c r="DE252" s="462"/>
      <c r="DF252" s="462"/>
      <c r="DG252" s="462"/>
      <c r="DH252" s="462"/>
      <c r="DI252" s="462"/>
      <c r="DJ252" s="462"/>
      <c r="DK252" s="462"/>
      <c r="DL252" s="462"/>
      <c r="DM252" s="462"/>
      <c r="DN252" s="462"/>
      <c r="DO252" s="462"/>
      <c r="DP252" s="462"/>
      <c r="DQ252" s="462"/>
      <c r="DR252" s="462"/>
    </row>
    <row r="253" spans="2:122" s="546" customFormat="1" x14ac:dyDescent="0.2">
      <c r="B253" s="792"/>
      <c r="C253" s="1501"/>
      <c r="D253" s="1501"/>
      <c r="E253" s="1501"/>
      <c r="F253" s="1501"/>
      <c r="G253" s="1501"/>
      <c r="H253" s="1501"/>
      <c r="I253" s="1501"/>
      <c r="J253" s="1501"/>
      <c r="K253" s="1501"/>
      <c r="L253" s="1501"/>
      <c r="M253" s="1501"/>
      <c r="N253" s="1501"/>
      <c r="O253" s="1496"/>
      <c r="P253" s="1290"/>
      <c r="Q253" s="1290"/>
      <c r="R253" s="1290"/>
      <c r="S253" s="1291"/>
      <c r="T253" s="547"/>
      <c r="U253" s="547"/>
      <c r="V253" s="547"/>
      <c r="W253" s="547"/>
      <c r="X253" s="547"/>
      <c r="Y253" s="547"/>
      <c r="Z253" s="547"/>
      <c r="AA253" s="547"/>
      <c r="AB253" s="547"/>
      <c r="CQ253" s="462"/>
      <c r="CR253" s="462"/>
      <c r="CS253" s="462"/>
      <c r="CT253" s="462"/>
      <c r="CU253" s="549"/>
      <c r="CV253" s="549"/>
      <c r="CW253" s="462"/>
      <c r="CX253" s="462"/>
      <c r="CY253" s="462"/>
      <c r="CZ253" s="462"/>
      <c r="DA253" s="462"/>
      <c r="DB253" s="462"/>
      <c r="DC253" s="462"/>
      <c r="DD253" s="462"/>
      <c r="DE253" s="462"/>
      <c r="DF253" s="462"/>
      <c r="DG253" s="462"/>
      <c r="DH253" s="462"/>
      <c r="DI253" s="462"/>
      <c r="DJ253" s="462"/>
      <c r="DK253" s="462"/>
      <c r="DL253" s="462"/>
      <c r="DM253" s="462"/>
      <c r="DN253" s="462"/>
      <c r="DO253" s="462"/>
      <c r="DP253" s="462"/>
      <c r="DQ253" s="462"/>
      <c r="DR253" s="462"/>
    </row>
    <row r="254" spans="2:122" s="546" customFormat="1" x14ac:dyDescent="0.2">
      <c r="B254" s="792"/>
      <c r="C254" s="1501"/>
      <c r="D254" s="1501"/>
      <c r="E254" s="1501"/>
      <c r="F254" s="1501"/>
      <c r="G254" s="1501"/>
      <c r="H254" s="1501"/>
      <c r="I254" s="1501"/>
      <c r="J254" s="1501"/>
      <c r="K254" s="1501"/>
      <c r="L254" s="1501"/>
      <c r="M254" s="1501"/>
      <c r="N254" s="1501"/>
      <c r="O254" s="1496"/>
      <c r="P254" s="1290"/>
      <c r="Q254" s="1290"/>
      <c r="R254" s="1290"/>
      <c r="S254" s="1291"/>
      <c r="T254" s="547"/>
      <c r="U254" s="547"/>
      <c r="V254" s="547"/>
      <c r="W254" s="547"/>
      <c r="X254" s="547"/>
      <c r="Y254" s="547"/>
      <c r="Z254" s="547"/>
      <c r="AA254" s="547"/>
      <c r="AB254" s="547"/>
      <c r="CQ254" s="462"/>
      <c r="CR254" s="462"/>
      <c r="CS254" s="462"/>
      <c r="CT254" s="462"/>
      <c r="CU254" s="549"/>
      <c r="CV254" s="549"/>
      <c r="CW254" s="462"/>
      <c r="CX254" s="462"/>
      <c r="CY254" s="462"/>
      <c r="CZ254" s="462"/>
      <c r="DA254" s="462"/>
      <c r="DB254" s="462"/>
      <c r="DC254" s="462"/>
      <c r="DD254" s="462"/>
      <c r="DE254" s="462"/>
      <c r="DF254" s="462"/>
      <c r="DG254" s="462"/>
      <c r="DH254" s="462"/>
      <c r="DI254" s="462"/>
      <c r="DJ254" s="462"/>
      <c r="DK254" s="462"/>
      <c r="DL254" s="462"/>
      <c r="DM254" s="462"/>
      <c r="DN254" s="462"/>
      <c r="DO254" s="462"/>
      <c r="DP254" s="462"/>
      <c r="DQ254" s="462"/>
      <c r="DR254" s="462"/>
    </row>
    <row r="255" spans="2:122" s="546" customFormat="1" x14ac:dyDescent="0.2">
      <c r="B255" s="792"/>
      <c r="C255" s="1501"/>
      <c r="D255" s="1501"/>
      <c r="E255" s="1501"/>
      <c r="F255" s="1501"/>
      <c r="G255" s="1501"/>
      <c r="H255" s="1501"/>
      <c r="I255" s="1501"/>
      <c r="J255" s="1501"/>
      <c r="K255" s="1501"/>
      <c r="L255" s="1501"/>
      <c r="M255" s="1501"/>
      <c r="N255" s="1501"/>
      <c r="O255" s="1496"/>
      <c r="P255" s="1290"/>
      <c r="Q255" s="1290"/>
      <c r="R255" s="1290"/>
      <c r="S255" s="1291"/>
      <c r="T255" s="547"/>
      <c r="U255" s="547"/>
      <c r="V255" s="547"/>
      <c r="W255" s="547"/>
      <c r="X255" s="547"/>
      <c r="Y255" s="547"/>
      <c r="Z255" s="547"/>
      <c r="AA255" s="547"/>
      <c r="AB255" s="547"/>
      <c r="CQ255" s="462"/>
      <c r="CR255" s="462"/>
      <c r="CS255" s="462"/>
      <c r="CT255" s="462"/>
      <c r="CU255" s="549"/>
      <c r="CV255" s="549"/>
      <c r="CW255" s="462"/>
      <c r="CX255" s="462"/>
      <c r="CY255" s="462"/>
      <c r="CZ255" s="462"/>
      <c r="DA255" s="462"/>
      <c r="DB255" s="462"/>
      <c r="DC255" s="462"/>
      <c r="DD255" s="462"/>
      <c r="DE255" s="462"/>
      <c r="DF255" s="462"/>
      <c r="DG255" s="462"/>
      <c r="DH255" s="462"/>
      <c r="DI255" s="462"/>
      <c r="DJ255" s="462"/>
      <c r="DK255" s="462"/>
      <c r="DL255" s="462"/>
      <c r="DM255" s="462"/>
      <c r="DN255" s="462"/>
      <c r="DO255" s="462"/>
      <c r="DP255" s="462"/>
      <c r="DQ255" s="462"/>
      <c r="DR255" s="462"/>
    </row>
    <row r="256" spans="2:122" s="546" customFormat="1" x14ac:dyDescent="0.2">
      <c r="B256" s="792"/>
      <c r="C256" s="1501"/>
      <c r="D256" s="1501"/>
      <c r="E256" s="1501"/>
      <c r="F256" s="1501"/>
      <c r="G256" s="1501"/>
      <c r="H256" s="1501"/>
      <c r="I256" s="1501"/>
      <c r="J256" s="1501"/>
      <c r="K256" s="1501"/>
      <c r="L256" s="1501"/>
      <c r="M256" s="1501"/>
      <c r="N256" s="1501"/>
      <c r="O256" s="1496"/>
      <c r="P256" s="1290"/>
      <c r="Q256" s="1290"/>
      <c r="R256" s="1290"/>
      <c r="S256" s="1291"/>
      <c r="T256" s="547"/>
      <c r="U256" s="547"/>
      <c r="V256" s="547"/>
      <c r="W256" s="547"/>
      <c r="X256" s="547"/>
      <c r="Y256" s="547"/>
      <c r="Z256" s="547"/>
      <c r="AA256" s="547"/>
      <c r="AB256" s="547"/>
      <c r="CQ256" s="462"/>
      <c r="CR256" s="462"/>
      <c r="CS256" s="462"/>
      <c r="CT256" s="462"/>
      <c r="CU256" s="549"/>
      <c r="CV256" s="549"/>
      <c r="CW256" s="462"/>
      <c r="CX256" s="462"/>
      <c r="CY256" s="462"/>
      <c r="CZ256" s="462"/>
      <c r="DA256" s="462"/>
      <c r="DB256" s="462"/>
      <c r="DC256" s="462"/>
      <c r="DD256" s="462"/>
      <c r="DE256" s="462"/>
      <c r="DF256" s="462"/>
      <c r="DG256" s="462"/>
      <c r="DH256" s="462"/>
      <c r="DI256" s="462"/>
      <c r="DJ256" s="462"/>
      <c r="DK256" s="462"/>
      <c r="DL256" s="462"/>
      <c r="DM256" s="462"/>
      <c r="DN256" s="462"/>
      <c r="DO256" s="462"/>
      <c r="DP256" s="462"/>
      <c r="DQ256" s="462"/>
      <c r="DR256" s="462"/>
    </row>
    <row r="257" spans="2:122" s="546" customFormat="1" x14ac:dyDescent="0.2">
      <c r="B257" s="792"/>
      <c r="C257" s="1501"/>
      <c r="D257" s="1501"/>
      <c r="E257" s="1501"/>
      <c r="F257" s="1501"/>
      <c r="G257" s="1501"/>
      <c r="H257" s="1501"/>
      <c r="I257" s="1501"/>
      <c r="J257" s="1501"/>
      <c r="K257" s="1501"/>
      <c r="L257" s="1501"/>
      <c r="M257" s="1501"/>
      <c r="N257" s="1501"/>
      <c r="O257" s="1496"/>
      <c r="P257" s="1290"/>
      <c r="Q257" s="1290"/>
      <c r="R257" s="1290"/>
      <c r="S257" s="1291"/>
      <c r="T257" s="547"/>
      <c r="U257" s="547"/>
      <c r="V257" s="547"/>
      <c r="W257" s="547"/>
      <c r="X257" s="547"/>
      <c r="Y257" s="547"/>
      <c r="Z257" s="547"/>
      <c r="AA257" s="547"/>
      <c r="AB257" s="547"/>
      <c r="CQ257" s="462"/>
      <c r="CR257" s="462"/>
      <c r="CS257" s="462"/>
      <c r="CT257" s="462"/>
      <c r="CU257" s="549"/>
      <c r="CV257" s="549"/>
      <c r="CW257" s="462"/>
      <c r="CX257" s="462"/>
      <c r="CY257" s="462"/>
      <c r="CZ257" s="462"/>
      <c r="DA257" s="462"/>
      <c r="DB257" s="462"/>
      <c r="DC257" s="462"/>
      <c r="DD257" s="462"/>
      <c r="DE257" s="462"/>
      <c r="DF257" s="462"/>
      <c r="DG257" s="462"/>
      <c r="DH257" s="462"/>
      <c r="DI257" s="462"/>
      <c r="DJ257" s="462"/>
      <c r="DK257" s="462"/>
      <c r="DL257" s="462"/>
      <c r="DM257" s="462"/>
      <c r="DN257" s="462"/>
      <c r="DO257" s="462"/>
      <c r="DP257" s="462"/>
      <c r="DQ257" s="462"/>
      <c r="DR257" s="462"/>
    </row>
    <row r="258" spans="2:122" s="546" customFormat="1" x14ac:dyDescent="0.2">
      <c r="B258" s="792"/>
      <c r="C258" s="1501"/>
      <c r="D258" s="1501"/>
      <c r="E258" s="1501"/>
      <c r="F258" s="1501"/>
      <c r="G258" s="1501"/>
      <c r="H258" s="1501"/>
      <c r="I258" s="1501"/>
      <c r="J258" s="1501"/>
      <c r="K258" s="1501"/>
      <c r="L258" s="1501"/>
      <c r="M258" s="1501"/>
      <c r="N258" s="1501"/>
      <c r="O258" s="1496"/>
      <c r="P258" s="1290"/>
      <c r="Q258" s="1290"/>
      <c r="R258" s="1290"/>
      <c r="S258" s="1291"/>
      <c r="T258" s="547"/>
      <c r="U258" s="547"/>
      <c r="V258" s="547"/>
      <c r="W258" s="547"/>
      <c r="X258" s="547"/>
      <c r="Y258" s="547"/>
      <c r="Z258" s="547"/>
      <c r="AA258" s="547"/>
      <c r="AB258" s="547"/>
      <c r="CQ258" s="462"/>
      <c r="CR258" s="462"/>
      <c r="CS258" s="462"/>
      <c r="CT258" s="462"/>
      <c r="CU258" s="549"/>
      <c r="CV258" s="549"/>
      <c r="CW258" s="462"/>
      <c r="CX258" s="462"/>
      <c r="CY258" s="462"/>
      <c r="CZ258" s="462"/>
      <c r="DA258" s="462"/>
      <c r="DB258" s="462"/>
      <c r="DC258" s="462"/>
      <c r="DD258" s="462"/>
      <c r="DE258" s="462"/>
      <c r="DF258" s="462"/>
      <c r="DG258" s="462"/>
      <c r="DH258" s="462"/>
      <c r="DI258" s="462"/>
      <c r="DJ258" s="462"/>
      <c r="DK258" s="462"/>
      <c r="DL258" s="462"/>
      <c r="DM258" s="462"/>
      <c r="DN258" s="462"/>
      <c r="DO258" s="462"/>
      <c r="DP258" s="462"/>
      <c r="DQ258" s="462"/>
      <c r="DR258" s="462"/>
    </row>
    <row r="259" spans="2:122" s="546" customFormat="1" x14ac:dyDescent="0.2">
      <c r="B259" s="792"/>
      <c r="C259" s="1501"/>
      <c r="D259" s="1501"/>
      <c r="E259" s="1501"/>
      <c r="F259" s="1501"/>
      <c r="G259" s="1501"/>
      <c r="H259" s="1501"/>
      <c r="I259" s="1501"/>
      <c r="J259" s="1501"/>
      <c r="K259" s="1501"/>
      <c r="L259" s="1501"/>
      <c r="M259" s="1501"/>
      <c r="N259" s="1501"/>
      <c r="O259" s="1496"/>
      <c r="P259" s="1290"/>
      <c r="Q259" s="1290"/>
      <c r="R259" s="1290"/>
      <c r="S259" s="1291"/>
      <c r="T259" s="547"/>
      <c r="U259" s="547"/>
      <c r="V259" s="547"/>
      <c r="W259" s="547"/>
      <c r="X259" s="547"/>
      <c r="Y259" s="547"/>
      <c r="Z259" s="547"/>
      <c r="AA259" s="547"/>
      <c r="AB259" s="547"/>
      <c r="CQ259" s="462"/>
      <c r="CR259" s="462"/>
      <c r="CS259" s="462"/>
      <c r="CT259" s="462"/>
      <c r="CU259" s="549"/>
      <c r="CV259" s="549"/>
      <c r="CW259" s="462"/>
      <c r="CX259" s="462"/>
      <c r="CY259" s="462"/>
      <c r="CZ259" s="462"/>
      <c r="DA259" s="462"/>
      <c r="DB259" s="462"/>
      <c r="DC259" s="462"/>
      <c r="DD259" s="462"/>
      <c r="DE259" s="462"/>
      <c r="DF259" s="462"/>
      <c r="DG259" s="462"/>
      <c r="DH259" s="462"/>
      <c r="DI259" s="462"/>
      <c r="DJ259" s="462"/>
      <c r="DK259" s="462"/>
      <c r="DL259" s="462"/>
      <c r="DM259" s="462"/>
      <c r="DN259" s="462"/>
      <c r="DO259" s="462"/>
      <c r="DP259" s="462"/>
      <c r="DQ259" s="462"/>
      <c r="DR259" s="462"/>
    </row>
    <row r="260" spans="2:122" s="546" customFormat="1" x14ac:dyDescent="0.2">
      <c r="B260" s="792"/>
      <c r="C260" s="1501"/>
      <c r="D260" s="1501"/>
      <c r="E260" s="1501"/>
      <c r="F260" s="1501"/>
      <c r="G260" s="1501"/>
      <c r="H260" s="1501"/>
      <c r="I260" s="1501"/>
      <c r="J260" s="1501"/>
      <c r="K260" s="1501"/>
      <c r="L260" s="1501"/>
      <c r="M260" s="1501"/>
      <c r="N260" s="1501"/>
      <c r="O260" s="1496"/>
      <c r="P260" s="1290"/>
      <c r="Q260" s="1290"/>
      <c r="R260" s="1290"/>
      <c r="S260" s="1291"/>
      <c r="T260" s="547"/>
      <c r="U260" s="547"/>
      <c r="V260" s="547"/>
      <c r="W260" s="547"/>
      <c r="X260" s="547"/>
      <c r="Y260" s="547"/>
      <c r="Z260" s="547"/>
      <c r="AA260" s="547"/>
      <c r="AB260" s="547"/>
      <c r="CQ260" s="462"/>
      <c r="CR260" s="462"/>
      <c r="CS260" s="462"/>
      <c r="CT260" s="462"/>
      <c r="CU260" s="549"/>
      <c r="CV260" s="549"/>
      <c r="CW260" s="462"/>
      <c r="CX260" s="462"/>
      <c r="CY260" s="462"/>
      <c r="CZ260" s="462"/>
      <c r="DA260" s="462"/>
      <c r="DB260" s="462"/>
      <c r="DC260" s="462"/>
      <c r="DD260" s="462"/>
      <c r="DE260" s="462"/>
      <c r="DF260" s="462"/>
      <c r="DG260" s="462"/>
      <c r="DH260" s="462"/>
      <c r="DI260" s="462"/>
      <c r="DJ260" s="462"/>
      <c r="DK260" s="462"/>
      <c r="DL260" s="462"/>
      <c r="DM260" s="462"/>
      <c r="DN260" s="462"/>
      <c r="DO260" s="462"/>
      <c r="DP260" s="462"/>
      <c r="DQ260" s="462"/>
      <c r="DR260" s="462"/>
    </row>
    <row r="261" spans="2:122" s="546" customFormat="1" x14ac:dyDescent="0.2">
      <c r="B261" s="792"/>
      <c r="C261" s="1501"/>
      <c r="D261" s="1501"/>
      <c r="E261" s="1501"/>
      <c r="F261" s="1501"/>
      <c r="G261" s="1501"/>
      <c r="H261" s="1501"/>
      <c r="I261" s="1501"/>
      <c r="J261" s="1501"/>
      <c r="K261" s="1501"/>
      <c r="L261" s="1501"/>
      <c r="M261" s="1501"/>
      <c r="N261" s="1501"/>
      <c r="O261" s="1496"/>
      <c r="P261" s="1290"/>
      <c r="Q261" s="1290"/>
      <c r="R261" s="1290"/>
      <c r="S261" s="1291"/>
      <c r="T261" s="547"/>
      <c r="U261" s="547"/>
      <c r="V261" s="547"/>
      <c r="W261" s="547"/>
      <c r="X261" s="547"/>
      <c r="Y261" s="547"/>
      <c r="Z261" s="547"/>
      <c r="AA261" s="547"/>
      <c r="AB261" s="547"/>
      <c r="CQ261" s="462"/>
      <c r="CR261" s="462"/>
      <c r="CS261" s="462"/>
      <c r="CT261" s="462"/>
      <c r="CU261" s="549"/>
      <c r="CV261" s="549"/>
      <c r="CW261" s="462"/>
      <c r="CX261" s="462"/>
      <c r="CY261" s="462"/>
      <c r="CZ261" s="462"/>
      <c r="DA261" s="462"/>
      <c r="DB261" s="462"/>
      <c r="DC261" s="462"/>
      <c r="DD261" s="462"/>
      <c r="DE261" s="462"/>
      <c r="DF261" s="462"/>
      <c r="DG261" s="462"/>
      <c r="DH261" s="462"/>
      <c r="DI261" s="462"/>
      <c r="DJ261" s="462"/>
      <c r="DK261" s="462"/>
      <c r="DL261" s="462"/>
      <c r="DM261" s="462"/>
      <c r="DN261" s="462"/>
      <c r="DO261" s="462"/>
      <c r="DP261" s="462"/>
      <c r="DQ261" s="462"/>
      <c r="DR261" s="462"/>
    </row>
    <row r="262" spans="2:122" s="546" customFormat="1" x14ac:dyDescent="0.2">
      <c r="B262" s="792"/>
      <c r="C262" s="1501"/>
      <c r="D262" s="1501"/>
      <c r="E262" s="1501"/>
      <c r="F262" s="1501"/>
      <c r="G262" s="1501"/>
      <c r="H262" s="1501"/>
      <c r="I262" s="1501"/>
      <c r="J262" s="1501"/>
      <c r="K262" s="1501"/>
      <c r="L262" s="1501"/>
      <c r="M262" s="1501"/>
      <c r="N262" s="1501"/>
      <c r="O262" s="1496"/>
      <c r="P262" s="1290"/>
      <c r="Q262" s="1290"/>
      <c r="R262" s="1290"/>
      <c r="S262" s="1291"/>
      <c r="T262" s="547"/>
      <c r="U262" s="547"/>
      <c r="V262" s="547"/>
      <c r="W262" s="547"/>
      <c r="X262" s="547"/>
      <c r="Y262" s="547"/>
      <c r="Z262" s="547"/>
      <c r="AA262" s="547"/>
      <c r="AB262" s="547"/>
      <c r="CQ262" s="462"/>
      <c r="CR262" s="462"/>
      <c r="CS262" s="462"/>
      <c r="CT262" s="462"/>
      <c r="CU262" s="549"/>
      <c r="CV262" s="549"/>
      <c r="CW262" s="462"/>
      <c r="CX262" s="462"/>
      <c r="CY262" s="462"/>
      <c r="CZ262" s="462"/>
      <c r="DA262" s="462"/>
      <c r="DB262" s="462"/>
      <c r="DC262" s="462"/>
      <c r="DD262" s="462"/>
      <c r="DE262" s="462"/>
      <c r="DF262" s="462"/>
      <c r="DG262" s="462"/>
      <c r="DH262" s="462"/>
      <c r="DI262" s="462"/>
      <c r="DJ262" s="462"/>
      <c r="DK262" s="462"/>
      <c r="DL262" s="462"/>
      <c r="DM262" s="462"/>
      <c r="DN262" s="462"/>
      <c r="DO262" s="462"/>
      <c r="DP262" s="462"/>
      <c r="DQ262" s="462"/>
      <c r="DR262" s="462"/>
    </row>
    <row r="263" spans="2:122" s="546" customFormat="1" x14ac:dyDescent="0.2">
      <c r="B263" s="792"/>
      <c r="C263" s="1501"/>
      <c r="D263" s="1501"/>
      <c r="E263" s="1501"/>
      <c r="F263" s="1501"/>
      <c r="G263" s="1501"/>
      <c r="H263" s="1501"/>
      <c r="I263" s="1501"/>
      <c r="J263" s="1501"/>
      <c r="K263" s="1501"/>
      <c r="L263" s="1501"/>
      <c r="M263" s="1501"/>
      <c r="N263" s="1501"/>
      <c r="O263" s="1496"/>
      <c r="P263" s="1290"/>
      <c r="Q263" s="1290"/>
      <c r="R263" s="1290"/>
      <c r="S263" s="1291"/>
      <c r="T263" s="547"/>
      <c r="U263" s="547"/>
      <c r="V263" s="547"/>
      <c r="W263" s="547"/>
      <c r="X263" s="547"/>
      <c r="Y263" s="547"/>
      <c r="Z263" s="547"/>
      <c r="AA263" s="547"/>
      <c r="AB263" s="547"/>
      <c r="CQ263" s="462"/>
      <c r="CR263" s="462"/>
      <c r="CS263" s="462"/>
      <c r="CT263" s="462"/>
      <c r="CU263" s="549"/>
      <c r="CV263" s="549"/>
      <c r="CW263" s="462"/>
      <c r="CX263" s="462"/>
      <c r="CY263" s="462"/>
      <c r="CZ263" s="462"/>
      <c r="DA263" s="462"/>
      <c r="DB263" s="462"/>
      <c r="DC263" s="462"/>
      <c r="DD263" s="462"/>
      <c r="DE263" s="462"/>
      <c r="DF263" s="462"/>
      <c r="DG263" s="462"/>
      <c r="DH263" s="462"/>
      <c r="DI263" s="462"/>
      <c r="DJ263" s="462"/>
      <c r="DK263" s="462"/>
      <c r="DL263" s="462"/>
      <c r="DM263" s="462"/>
      <c r="DN263" s="462"/>
      <c r="DO263" s="462"/>
      <c r="DP263" s="462"/>
      <c r="DQ263" s="462"/>
      <c r="DR263" s="462"/>
    </row>
    <row r="264" spans="2:122" s="546" customFormat="1" x14ac:dyDescent="0.2">
      <c r="B264" s="792"/>
      <c r="C264" s="1501"/>
      <c r="D264" s="1501"/>
      <c r="E264" s="1501"/>
      <c r="F264" s="1501"/>
      <c r="G264" s="1501"/>
      <c r="H264" s="1501"/>
      <c r="I264" s="1501"/>
      <c r="J264" s="1501"/>
      <c r="K264" s="1501"/>
      <c r="L264" s="1501"/>
      <c r="M264" s="1501"/>
      <c r="N264" s="1501"/>
      <c r="O264" s="1496"/>
      <c r="P264" s="1290"/>
      <c r="Q264" s="1290"/>
      <c r="R264" s="1290"/>
      <c r="S264" s="1291"/>
      <c r="T264" s="547"/>
      <c r="U264" s="547"/>
      <c r="V264" s="547"/>
      <c r="W264" s="547"/>
      <c r="X264" s="547"/>
      <c r="Y264" s="547"/>
      <c r="Z264" s="547"/>
      <c r="AA264" s="547"/>
      <c r="AB264" s="547"/>
      <c r="CQ264" s="462"/>
      <c r="CR264" s="462"/>
      <c r="CS264" s="462"/>
      <c r="CT264" s="462"/>
      <c r="CU264" s="549"/>
      <c r="CV264" s="549"/>
      <c r="CW264" s="462"/>
      <c r="CX264" s="462"/>
      <c r="CY264" s="462"/>
      <c r="CZ264" s="462"/>
      <c r="DA264" s="462"/>
      <c r="DB264" s="462"/>
      <c r="DC264" s="462"/>
      <c r="DD264" s="462"/>
      <c r="DE264" s="462"/>
      <c r="DF264" s="462"/>
      <c r="DG264" s="462"/>
      <c r="DH264" s="462"/>
      <c r="DI264" s="462"/>
      <c r="DJ264" s="462"/>
      <c r="DK264" s="462"/>
      <c r="DL264" s="462"/>
      <c r="DM264" s="462"/>
      <c r="DN264" s="462"/>
      <c r="DO264" s="462"/>
      <c r="DP264" s="462"/>
      <c r="DQ264" s="462"/>
      <c r="DR264" s="462"/>
    </row>
    <row r="265" spans="2:122" s="546" customFormat="1" x14ac:dyDescent="0.2">
      <c r="B265" s="792"/>
      <c r="C265" s="1501"/>
      <c r="D265" s="1501"/>
      <c r="E265" s="1501"/>
      <c r="F265" s="1501"/>
      <c r="G265" s="1501"/>
      <c r="H265" s="1501"/>
      <c r="I265" s="1501"/>
      <c r="J265" s="1501"/>
      <c r="K265" s="1501"/>
      <c r="L265" s="1501"/>
      <c r="M265" s="1501"/>
      <c r="N265" s="1501"/>
      <c r="O265" s="1496"/>
      <c r="P265" s="1290"/>
      <c r="Q265" s="1290"/>
      <c r="R265" s="1290"/>
      <c r="S265" s="1291"/>
      <c r="T265" s="547"/>
      <c r="U265" s="547"/>
      <c r="V265" s="547"/>
      <c r="W265" s="547"/>
      <c r="X265" s="547"/>
      <c r="Y265" s="547"/>
      <c r="Z265" s="547"/>
      <c r="AA265" s="547"/>
      <c r="AB265" s="547"/>
      <c r="CQ265" s="462"/>
      <c r="CR265" s="462"/>
      <c r="CS265" s="462"/>
      <c r="CT265" s="462"/>
      <c r="CU265" s="549"/>
      <c r="CV265" s="549"/>
      <c r="CW265" s="462"/>
      <c r="CX265" s="462"/>
      <c r="CY265" s="462"/>
      <c r="CZ265" s="462"/>
      <c r="DA265" s="462"/>
      <c r="DB265" s="462"/>
      <c r="DC265" s="462"/>
      <c r="DD265" s="462"/>
      <c r="DE265" s="462"/>
      <c r="DF265" s="462"/>
      <c r="DG265" s="462"/>
      <c r="DH265" s="462"/>
      <c r="DI265" s="462"/>
      <c r="DJ265" s="462"/>
      <c r="DK265" s="462"/>
      <c r="DL265" s="462"/>
      <c r="DM265" s="462"/>
      <c r="DN265" s="462"/>
      <c r="DO265" s="462"/>
      <c r="DP265" s="462"/>
      <c r="DQ265" s="462"/>
      <c r="DR265" s="462"/>
    </row>
    <row r="266" spans="2:122" s="546" customFormat="1" x14ac:dyDescent="0.2">
      <c r="B266" s="792"/>
      <c r="C266" s="1501"/>
      <c r="D266" s="1501"/>
      <c r="E266" s="1501"/>
      <c r="F266" s="1501"/>
      <c r="G266" s="1501"/>
      <c r="H266" s="1501"/>
      <c r="I266" s="1501"/>
      <c r="J266" s="1501"/>
      <c r="K266" s="1501"/>
      <c r="L266" s="1501"/>
      <c r="M266" s="1501"/>
      <c r="N266" s="1501"/>
      <c r="O266" s="1496"/>
      <c r="P266" s="1290"/>
      <c r="Q266" s="1290"/>
      <c r="R266" s="1290"/>
      <c r="S266" s="1291"/>
      <c r="T266" s="547"/>
      <c r="U266" s="547"/>
      <c r="V266" s="547"/>
      <c r="W266" s="547"/>
      <c r="X266" s="547"/>
      <c r="Y266" s="547"/>
      <c r="Z266" s="547"/>
      <c r="AA266" s="547"/>
      <c r="AB266" s="547"/>
      <c r="CQ266" s="462"/>
      <c r="CR266" s="462"/>
      <c r="CS266" s="462"/>
      <c r="CT266" s="462"/>
      <c r="CU266" s="549"/>
      <c r="CV266" s="549"/>
      <c r="CW266" s="462"/>
      <c r="CX266" s="462"/>
      <c r="CY266" s="462"/>
      <c r="CZ266" s="462"/>
      <c r="DA266" s="462"/>
      <c r="DB266" s="462"/>
      <c r="DC266" s="462"/>
      <c r="DD266" s="462"/>
      <c r="DE266" s="462"/>
      <c r="DF266" s="462"/>
      <c r="DG266" s="462"/>
      <c r="DH266" s="462"/>
      <c r="DI266" s="462"/>
      <c r="DJ266" s="462"/>
      <c r="DK266" s="462"/>
      <c r="DL266" s="462"/>
      <c r="DM266" s="462"/>
      <c r="DN266" s="462"/>
      <c r="DO266" s="462"/>
      <c r="DP266" s="462"/>
      <c r="DQ266" s="462"/>
      <c r="DR266" s="462"/>
    </row>
    <row r="267" spans="2:122" s="546" customFormat="1" x14ac:dyDescent="0.2">
      <c r="B267" s="792"/>
      <c r="C267" s="1501"/>
      <c r="D267" s="1501"/>
      <c r="E267" s="1501"/>
      <c r="F267" s="1501"/>
      <c r="G267" s="1501"/>
      <c r="H267" s="1501"/>
      <c r="I267" s="1501"/>
      <c r="J267" s="1501"/>
      <c r="K267" s="1501"/>
      <c r="L267" s="1501"/>
      <c r="M267" s="1501"/>
      <c r="N267" s="1501"/>
      <c r="O267" s="1496"/>
      <c r="P267" s="1290"/>
      <c r="Q267" s="1290"/>
      <c r="R267" s="1290"/>
      <c r="S267" s="1291"/>
      <c r="T267" s="547"/>
      <c r="U267" s="547"/>
      <c r="V267" s="547"/>
      <c r="W267" s="547"/>
      <c r="X267" s="547"/>
      <c r="Y267" s="547"/>
      <c r="Z267" s="547"/>
      <c r="AA267" s="547"/>
      <c r="AB267" s="547"/>
      <c r="CQ267" s="462"/>
      <c r="CR267" s="462"/>
      <c r="CS267" s="462"/>
      <c r="CT267" s="462"/>
      <c r="CU267" s="549"/>
      <c r="CV267" s="549"/>
      <c r="CW267" s="462"/>
      <c r="CX267" s="462"/>
      <c r="CY267" s="462"/>
      <c r="CZ267" s="462"/>
      <c r="DA267" s="462"/>
      <c r="DB267" s="462"/>
      <c r="DC267" s="462"/>
      <c r="DD267" s="462"/>
      <c r="DE267" s="462"/>
      <c r="DF267" s="462"/>
      <c r="DG267" s="462"/>
      <c r="DH267" s="462"/>
      <c r="DI267" s="462"/>
      <c r="DJ267" s="462"/>
      <c r="DK267" s="462"/>
      <c r="DL267" s="462"/>
      <c r="DM267" s="462"/>
      <c r="DN267" s="462"/>
      <c r="DO267" s="462"/>
      <c r="DP267" s="462"/>
      <c r="DQ267" s="462"/>
      <c r="DR267" s="462"/>
    </row>
    <row r="268" spans="2:122" s="546" customFormat="1" x14ac:dyDescent="0.2">
      <c r="B268" s="792"/>
      <c r="C268" s="1501"/>
      <c r="D268" s="1501"/>
      <c r="E268" s="1501"/>
      <c r="F268" s="1501"/>
      <c r="G268" s="1501"/>
      <c r="H268" s="1501"/>
      <c r="I268" s="1501"/>
      <c r="J268" s="1501"/>
      <c r="K268" s="1501"/>
      <c r="L268" s="1501"/>
      <c r="M268" s="1501"/>
      <c r="N268" s="1501"/>
      <c r="O268" s="1496"/>
      <c r="P268" s="1290"/>
      <c r="Q268" s="1290"/>
      <c r="R268" s="1290"/>
      <c r="S268" s="1291"/>
      <c r="T268" s="547"/>
      <c r="U268" s="547"/>
      <c r="V268" s="547"/>
      <c r="W268" s="547"/>
      <c r="X268" s="547"/>
      <c r="Y268" s="547"/>
      <c r="Z268" s="547"/>
      <c r="AA268" s="547"/>
      <c r="AB268" s="547"/>
      <c r="CQ268" s="462"/>
      <c r="CR268" s="462"/>
      <c r="CS268" s="462"/>
      <c r="CT268" s="462"/>
      <c r="CU268" s="549"/>
      <c r="CV268" s="549"/>
      <c r="CW268" s="462"/>
      <c r="CX268" s="462"/>
      <c r="CY268" s="462"/>
      <c r="CZ268" s="462"/>
      <c r="DA268" s="462"/>
      <c r="DB268" s="462"/>
      <c r="DC268" s="462"/>
      <c r="DD268" s="462"/>
      <c r="DE268" s="462"/>
      <c r="DF268" s="462"/>
      <c r="DG268" s="462"/>
      <c r="DH268" s="462"/>
      <c r="DI268" s="462"/>
      <c r="DJ268" s="462"/>
      <c r="DK268" s="462"/>
      <c r="DL268" s="462"/>
      <c r="DM268" s="462"/>
      <c r="DN268" s="462"/>
      <c r="DO268" s="462"/>
      <c r="DP268" s="462"/>
      <c r="DQ268" s="462"/>
      <c r="DR268" s="462"/>
    </row>
    <row r="269" spans="2:122" s="546" customFormat="1" x14ac:dyDescent="0.2">
      <c r="B269" s="792"/>
      <c r="C269" s="1501"/>
      <c r="D269" s="1501"/>
      <c r="E269" s="1501"/>
      <c r="F269" s="1501"/>
      <c r="G269" s="1501"/>
      <c r="H269" s="1501"/>
      <c r="I269" s="1501"/>
      <c r="J269" s="1501"/>
      <c r="K269" s="1501"/>
      <c r="L269" s="1501"/>
      <c r="M269" s="1501"/>
      <c r="N269" s="1501"/>
      <c r="O269" s="1496"/>
      <c r="P269" s="1290"/>
      <c r="Q269" s="1290"/>
      <c r="R269" s="1290"/>
      <c r="S269" s="1291"/>
      <c r="T269" s="547"/>
      <c r="U269" s="547"/>
      <c r="V269" s="547"/>
      <c r="W269" s="547"/>
      <c r="X269" s="547"/>
      <c r="Y269" s="547"/>
      <c r="Z269" s="547"/>
      <c r="AA269" s="547"/>
      <c r="AB269" s="547"/>
      <c r="CQ269" s="462"/>
      <c r="CR269" s="462"/>
      <c r="CS269" s="462"/>
      <c r="CT269" s="462"/>
      <c r="CU269" s="549"/>
      <c r="CV269" s="549"/>
      <c r="CW269" s="462"/>
      <c r="CX269" s="462"/>
      <c r="CY269" s="462"/>
      <c r="CZ269" s="462"/>
      <c r="DA269" s="462"/>
      <c r="DB269" s="462"/>
      <c r="DC269" s="462"/>
      <c r="DD269" s="462"/>
      <c r="DE269" s="462"/>
      <c r="DF269" s="462"/>
      <c r="DG269" s="462"/>
      <c r="DH269" s="462"/>
      <c r="DI269" s="462"/>
      <c r="DJ269" s="462"/>
      <c r="DK269" s="462"/>
      <c r="DL269" s="462"/>
      <c r="DM269" s="462"/>
      <c r="DN269" s="462"/>
      <c r="DO269" s="462"/>
      <c r="DP269" s="462"/>
      <c r="DQ269" s="462"/>
      <c r="DR269" s="462"/>
    </row>
    <row r="270" spans="2:122" s="546" customFormat="1" x14ac:dyDescent="0.2">
      <c r="B270" s="792"/>
      <c r="C270" s="1501"/>
      <c r="D270" s="1501"/>
      <c r="E270" s="1501"/>
      <c r="F270" s="1501"/>
      <c r="G270" s="1501"/>
      <c r="H270" s="1501"/>
      <c r="I270" s="1501"/>
      <c r="J270" s="1501"/>
      <c r="K270" s="1501"/>
      <c r="L270" s="1501"/>
      <c r="M270" s="1501"/>
      <c r="N270" s="1501"/>
      <c r="O270" s="1496"/>
      <c r="P270" s="1290"/>
      <c r="Q270" s="1290"/>
      <c r="R270" s="1290"/>
      <c r="S270" s="1291"/>
      <c r="T270" s="547"/>
      <c r="U270" s="547"/>
      <c r="V270" s="547"/>
      <c r="W270" s="547"/>
      <c r="X270" s="547"/>
      <c r="Y270" s="547"/>
      <c r="Z270" s="547"/>
      <c r="AA270" s="547"/>
      <c r="AB270" s="547"/>
      <c r="CQ270" s="462"/>
      <c r="CR270" s="462"/>
      <c r="CS270" s="462"/>
      <c r="CT270" s="462"/>
      <c r="CU270" s="549"/>
      <c r="CV270" s="549"/>
      <c r="CW270" s="462"/>
      <c r="CX270" s="462"/>
      <c r="CY270" s="462"/>
      <c r="CZ270" s="462"/>
      <c r="DA270" s="462"/>
      <c r="DB270" s="462"/>
      <c r="DC270" s="462"/>
      <c r="DD270" s="462"/>
      <c r="DE270" s="462"/>
      <c r="DF270" s="462"/>
      <c r="DG270" s="462"/>
      <c r="DH270" s="462"/>
      <c r="DI270" s="462"/>
      <c r="DJ270" s="462"/>
      <c r="DK270" s="462"/>
      <c r="DL270" s="462"/>
      <c r="DM270" s="462"/>
      <c r="DN270" s="462"/>
      <c r="DO270" s="462"/>
      <c r="DP270" s="462"/>
      <c r="DQ270" s="462"/>
      <c r="DR270" s="462"/>
    </row>
    <row r="271" spans="2:122" s="546" customFormat="1" x14ac:dyDescent="0.2">
      <c r="B271" s="792"/>
      <c r="C271" s="1501"/>
      <c r="D271" s="1501"/>
      <c r="E271" s="1501"/>
      <c r="F271" s="1501"/>
      <c r="G271" s="1501"/>
      <c r="H271" s="1501"/>
      <c r="I271" s="1501"/>
      <c r="J271" s="1501"/>
      <c r="K271" s="1501"/>
      <c r="L271" s="1501"/>
      <c r="M271" s="1501"/>
      <c r="N271" s="1501"/>
      <c r="O271" s="1496"/>
      <c r="P271" s="1290"/>
      <c r="Q271" s="1290"/>
      <c r="R271" s="1290"/>
      <c r="S271" s="1291"/>
      <c r="T271" s="547"/>
      <c r="U271" s="547"/>
      <c r="V271" s="547"/>
      <c r="W271" s="547"/>
      <c r="X271" s="547"/>
      <c r="Y271" s="547"/>
      <c r="Z271" s="547"/>
      <c r="AA271" s="547"/>
      <c r="AB271" s="547"/>
      <c r="CQ271" s="462"/>
      <c r="CR271" s="462"/>
      <c r="CS271" s="462"/>
      <c r="CT271" s="462"/>
      <c r="CU271" s="549"/>
      <c r="CV271" s="549"/>
      <c r="CW271" s="462"/>
      <c r="CX271" s="462"/>
      <c r="CY271" s="462"/>
      <c r="CZ271" s="462"/>
      <c r="DA271" s="462"/>
      <c r="DB271" s="462"/>
      <c r="DC271" s="462"/>
      <c r="DD271" s="462"/>
      <c r="DE271" s="462"/>
      <c r="DF271" s="462"/>
      <c r="DG271" s="462"/>
      <c r="DH271" s="462"/>
      <c r="DI271" s="462"/>
      <c r="DJ271" s="462"/>
      <c r="DK271" s="462"/>
      <c r="DL271" s="462"/>
      <c r="DM271" s="462"/>
      <c r="DN271" s="462"/>
      <c r="DO271" s="462"/>
      <c r="DP271" s="462"/>
      <c r="DQ271" s="462"/>
      <c r="DR271" s="462"/>
    </row>
    <row r="272" spans="2:122" s="546" customFormat="1" x14ac:dyDescent="0.2">
      <c r="B272" s="792"/>
      <c r="C272" s="1501"/>
      <c r="D272" s="1501"/>
      <c r="E272" s="1501"/>
      <c r="F272" s="1501"/>
      <c r="G272" s="1501"/>
      <c r="H272" s="1501"/>
      <c r="I272" s="1501"/>
      <c r="J272" s="1501"/>
      <c r="K272" s="1501"/>
      <c r="L272" s="1501"/>
      <c r="M272" s="1501"/>
      <c r="N272" s="1501"/>
      <c r="O272" s="1496"/>
      <c r="P272" s="1290"/>
      <c r="Q272" s="1290"/>
      <c r="R272" s="1290"/>
      <c r="S272" s="1291"/>
      <c r="T272" s="547"/>
      <c r="U272" s="547"/>
      <c r="V272" s="547"/>
      <c r="W272" s="547"/>
      <c r="X272" s="547"/>
      <c r="Y272" s="547"/>
      <c r="Z272" s="547"/>
      <c r="AA272" s="547"/>
      <c r="AB272" s="547"/>
      <c r="CQ272" s="462"/>
      <c r="CR272" s="462"/>
      <c r="CS272" s="462"/>
      <c r="CT272" s="462"/>
      <c r="CU272" s="549"/>
      <c r="CV272" s="549"/>
      <c r="CW272" s="462"/>
      <c r="CX272" s="462"/>
      <c r="CY272" s="462"/>
      <c r="CZ272" s="462"/>
      <c r="DA272" s="462"/>
      <c r="DB272" s="462"/>
      <c r="DC272" s="462"/>
      <c r="DD272" s="462"/>
      <c r="DE272" s="462"/>
      <c r="DF272" s="462"/>
      <c r="DG272" s="462"/>
      <c r="DH272" s="462"/>
      <c r="DI272" s="462"/>
      <c r="DJ272" s="462"/>
      <c r="DK272" s="462"/>
      <c r="DL272" s="462"/>
      <c r="DM272" s="462"/>
      <c r="DN272" s="462"/>
      <c r="DO272" s="462"/>
      <c r="DP272" s="462"/>
      <c r="DQ272" s="462"/>
      <c r="DR272" s="462"/>
    </row>
    <row r="273" spans="2:122" s="546" customFormat="1" x14ac:dyDescent="0.2">
      <c r="B273" s="792"/>
      <c r="C273" s="1501"/>
      <c r="D273" s="1501"/>
      <c r="E273" s="1501"/>
      <c r="F273" s="1501"/>
      <c r="G273" s="1501"/>
      <c r="H273" s="1501"/>
      <c r="I273" s="1501"/>
      <c r="J273" s="1501"/>
      <c r="K273" s="1501"/>
      <c r="L273" s="1501"/>
      <c r="M273" s="1501"/>
      <c r="N273" s="1501"/>
      <c r="O273" s="1496"/>
      <c r="P273" s="1290"/>
      <c r="Q273" s="1290"/>
      <c r="R273" s="1290"/>
      <c r="S273" s="1291"/>
      <c r="T273" s="547"/>
      <c r="U273" s="547"/>
      <c r="V273" s="547"/>
      <c r="W273" s="547"/>
      <c r="X273" s="547"/>
      <c r="Y273" s="547"/>
      <c r="Z273" s="547"/>
      <c r="AA273" s="547"/>
      <c r="AB273" s="547"/>
      <c r="CQ273" s="462"/>
      <c r="CR273" s="462"/>
      <c r="CS273" s="462"/>
      <c r="CT273" s="462"/>
      <c r="CU273" s="549"/>
      <c r="CV273" s="549"/>
      <c r="CW273" s="462"/>
      <c r="CX273" s="462"/>
      <c r="CY273" s="462"/>
      <c r="CZ273" s="462"/>
      <c r="DA273" s="462"/>
      <c r="DB273" s="462"/>
      <c r="DC273" s="462"/>
      <c r="DD273" s="462"/>
      <c r="DE273" s="462"/>
      <c r="DF273" s="462"/>
      <c r="DG273" s="462"/>
      <c r="DH273" s="462"/>
      <c r="DI273" s="462"/>
      <c r="DJ273" s="462"/>
      <c r="DK273" s="462"/>
      <c r="DL273" s="462"/>
      <c r="DM273" s="462"/>
      <c r="DN273" s="462"/>
      <c r="DO273" s="462"/>
      <c r="DP273" s="462"/>
      <c r="DQ273" s="462"/>
      <c r="DR273" s="462"/>
    </row>
    <row r="274" spans="2:122" s="546" customFormat="1" x14ac:dyDescent="0.2">
      <c r="B274" s="792"/>
      <c r="C274" s="1501"/>
      <c r="D274" s="1501"/>
      <c r="E274" s="1501"/>
      <c r="F274" s="1501"/>
      <c r="G274" s="1501"/>
      <c r="H274" s="1501"/>
      <c r="I274" s="1501"/>
      <c r="J274" s="1501"/>
      <c r="K274" s="1501"/>
      <c r="L274" s="1501"/>
      <c r="M274" s="1501"/>
      <c r="N274" s="1501"/>
      <c r="O274" s="1496"/>
      <c r="P274" s="1290"/>
      <c r="Q274" s="1290"/>
      <c r="R274" s="1290"/>
      <c r="S274" s="1291"/>
      <c r="T274" s="547"/>
      <c r="U274" s="547"/>
      <c r="V274" s="547"/>
      <c r="W274" s="547"/>
      <c r="X274" s="547"/>
      <c r="Y274" s="547"/>
      <c r="Z274" s="547"/>
      <c r="AA274" s="547"/>
      <c r="AB274" s="547"/>
      <c r="CQ274" s="462"/>
      <c r="CR274" s="462"/>
      <c r="CS274" s="462"/>
      <c r="CT274" s="462"/>
      <c r="CU274" s="549"/>
      <c r="CV274" s="549"/>
      <c r="CW274" s="462"/>
      <c r="CX274" s="462"/>
      <c r="CY274" s="462"/>
      <c r="CZ274" s="462"/>
      <c r="DA274" s="462"/>
      <c r="DB274" s="462"/>
      <c r="DC274" s="462"/>
      <c r="DD274" s="462"/>
      <c r="DE274" s="462"/>
      <c r="DF274" s="462"/>
      <c r="DG274" s="462"/>
      <c r="DH274" s="462"/>
      <c r="DI274" s="462"/>
      <c r="DJ274" s="462"/>
      <c r="DK274" s="462"/>
      <c r="DL274" s="462"/>
      <c r="DM274" s="462"/>
      <c r="DN274" s="462"/>
      <c r="DO274" s="462"/>
      <c r="DP274" s="462"/>
      <c r="DQ274" s="462"/>
      <c r="DR274" s="462"/>
    </row>
    <row r="275" spans="2:122" s="546" customFormat="1" x14ac:dyDescent="0.2">
      <c r="B275" s="792"/>
      <c r="C275" s="1501"/>
      <c r="D275" s="1501"/>
      <c r="E275" s="1501"/>
      <c r="F275" s="1501"/>
      <c r="G275" s="1501"/>
      <c r="H275" s="1501"/>
      <c r="I275" s="1501"/>
      <c r="J275" s="1501"/>
      <c r="K275" s="1501"/>
      <c r="L275" s="1501"/>
      <c r="M275" s="1501"/>
      <c r="N275" s="1501"/>
      <c r="O275" s="1496"/>
      <c r="P275" s="1290"/>
      <c r="Q275" s="1290"/>
      <c r="R275" s="1290"/>
      <c r="S275" s="1291"/>
      <c r="T275" s="547"/>
      <c r="U275" s="547"/>
      <c r="V275" s="547"/>
      <c r="W275" s="547"/>
      <c r="X275" s="547"/>
      <c r="Y275" s="547"/>
      <c r="Z275" s="547"/>
      <c r="AA275" s="547"/>
      <c r="AB275" s="547"/>
      <c r="CQ275" s="462"/>
      <c r="CR275" s="462"/>
      <c r="CS275" s="462"/>
      <c r="CT275" s="462"/>
      <c r="CU275" s="549"/>
      <c r="CV275" s="549"/>
      <c r="CW275" s="462"/>
      <c r="CX275" s="462"/>
      <c r="CY275" s="462"/>
      <c r="CZ275" s="462"/>
      <c r="DA275" s="462"/>
      <c r="DB275" s="462"/>
      <c r="DC275" s="462"/>
      <c r="DD275" s="462"/>
      <c r="DE275" s="462"/>
      <c r="DF275" s="462"/>
      <c r="DG275" s="462"/>
      <c r="DH275" s="462"/>
      <c r="DI275" s="462"/>
      <c r="DJ275" s="462"/>
      <c r="DK275" s="462"/>
      <c r="DL275" s="462"/>
      <c r="DM275" s="462"/>
      <c r="DN275" s="462"/>
      <c r="DO275" s="462"/>
      <c r="DP275" s="462"/>
      <c r="DQ275" s="462"/>
      <c r="DR275" s="462"/>
    </row>
    <row r="276" spans="2:122" s="546" customFormat="1" x14ac:dyDescent="0.2">
      <c r="B276" s="792"/>
      <c r="C276" s="1501"/>
      <c r="D276" s="1501"/>
      <c r="E276" s="1501"/>
      <c r="F276" s="1501"/>
      <c r="G276" s="1501"/>
      <c r="H276" s="1501"/>
      <c r="I276" s="1501"/>
      <c r="J276" s="1501"/>
      <c r="K276" s="1501"/>
      <c r="L276" s="1501"/>
      <c r="M276" s="1501"/>
      <c r="N276" s="1501"/>
      <c r="O276" s="1496"/>
      <c r="P276" s="1290"/>
      <c r="Q276" s="1290"/>
      <c r="R276" s="1290"/>
      <c r="S276" s="1291"/>
      <c r="T276" s="547"/>
      <c r="U276" s="547"/>
      <c r="V276" s="547"/>
      <c r="W276" s="547"/>
      <c r="X276" s="547"/>
      <c r="Y276" s="547"/>
      <c r="Z276" s="547"/>
      <c r="AA276" s="547"/>
      <c r="AB276" s="547"/>
      <c r="CQ276" s="462"/>
      <c r="CR276" s="462"/>
      <c r="CS276" s="462"/>
      <c r="CT276" s="462"/>
      <c r="CU276" s="549"/>
      <c r="CV276" s="549"/>
      <c r="CW276" s="462"/>
      <c r="CX276" s="462"/>
      <c r="CY276" s="462"/>
      <c r="CZ276" s="462"/>
      <c r="DA276" s="462"/>
      <c r="DB276" s="462"/>
      <c r="DC276" s="462"/>
      <c r="DD276" s="462"/>
      <c r="DE276" s="462"/>
      <c r="DF276" s="462"/>
      <c r="DG276" s="462"/>
      <c r="DH276" s="462"/>
      <c r="DI276" s="462"/>
      <c r="DJ276" s="462"/>
      <c r="DK276" s="462"/>
      <c r="DL276" s="462"/>
      <c r="DM276" s="462"/>
      <c r="DN276" s="462"/>
      <c r="DO276" s="462"/>
      <c r="DP276" s="462"/>
      <c r="DQ276" s="462"/>
      <c r="DR276" s="462"/>
    </row>
    <row r="277" spans="2:122" s="546" customFormat="1" x14ac:dyDescent="0.2">
      <c r="B277" s="792"/>
      <c r="C277" s="1501"/>
      <c r="D277" s="1501"/>
      <c r="E277" s="1501"/>
      <c r="F277" s="1501"/>
      <c r="G277" s="1501"/>
      <c r="H277" s="1501"/>
      <c r="I277" s="1501"/>
      <c r="J277" s="1501"/>
      <c r="K277" s="1501"/>
      <c r="L277" s="1501"/>
      <c r="M277" s="1501"/>
      <c r="N277" s="1501"/>
      <c r="O277" s="1496"/>
      <c r="P277" s="1290"/>
      <c r="Q277" s="1290"/>
      <c r="R277" s="1290"/>
      <c r="S277" s="1291"/>
      <c r="T277" s="547"/>
      <c r="U277" s="547"/>
      <c r="V277" s="547"/>
      <c r="W277" s="547"/>
      <c r="X277" s="547"/>
      <c r="Y277" s="547"/>
      <c r="Z277" s="547"/>
      <c r="AA277" s="547"/>
      <c r="AB277" s="547"/>
      <c r="CQ277" s="462"/>
      <c r="CR277" s="462"/>
      <c r="CS277" s="462"/>
      <c r="CT277" s="462"/>
      <c r="CU277" s="549"/>
      <c r="CV277" s="549"/>
      <c r="CW277" s="462"/>
      <c r="CX277" s="462"/>
      <c r="CY277" s="462"/>
      <c r="CZ277" s="462"/>
      <c r="DA277" s="462"/>
      <c r="DB277" s="462"/>
      <c r="DC277" s="462"/>
      <c r="DD277" s="462"/>
      <c r="DE277" s="462"/>
      <c r="DF277" s="462"/>
      <c r="DG277" s="462"/>
      <c r="DH277" s="462"/>
      <c r="DI277" s="462"/>
      <c r="DJ277" s="462"/>
      <c r="DK277" s="462"/>
      <c r="DL277" s="462"/>
      <c r="DM277" s="462"/>
      <c r="DN277" s="462"/>
      <c r="DO277" s="462"/>
      <c r="DP277" s="462"/>
      <c r="DQ277" s="462"/>
      <c r="DR277" s="462"/>
    </row>
    <row r="278" spans="2:122" s="546" customFormat="1" x14ac:dyDescent="0.2">
      <c r="B278" s="792"/>
      <c r="C278" s="1501"/>
      <c r="D278" s="1501"/>
      <c r="E278" s="1501"/>
      <c r="F278" s="1501"/>
      <c r="G278" s="1501"/>
      <c r="H278" s="1501"/>
      <c r="I278" s="1501"/>
      <c r="J278" s="1501"/>
      <c r="K278" s="1501"/>
      <c r="L278" s="1501"/>
      <c r="M278" s="1501"/>
      <c r="N278" s="1501"/>
      <c r="O278" s="1496"/>
      <c r="P278" s="1290"/>
      <c r="Q278" s="1290"/>
      <c r="R278" s="1290"/>
      <c r="S278" s="1291"/>
      <c r="T278" s="547"/>
      <c r="U278" s="547"/>
      <c r="V278" s="547"/>
      <c r="W278" s="547"/>
      <c r="X278" s="547"/>
      <c r="Y278" s="547"/>
      <c r="Z278" s="547"/>
      <c r="AA278" s="547"/>
      <c r="AB278" s="547"/>
      <c r="CQ278" s="462"/>
      <c r="CR278" s="462"/>
      <c r="CS278" s="462"/>
      <c r="CT278" s="462"/>
      <c r="CU278" s="549"/>
      <c r="CV278" s="549"/>
      <c r="CW278" s="462"/>
      <c r="CX278" s="462"/>
      <c r="CY278" s="462"/>
      <c r="CZ278" s="462"/>
      <c r="DA278" s="462"/>
      <c r="DB278" s="462"/>
      <c r="DC278" s="462"/>
      <c r="DD278" s="462"/>
      <c r="DE278" s="462"/>
      <c r="DF278" s="462"/>
      <c r="DG278" s="462"/>
      <c r="DH278" s="462"/>
      <c r="DI278" s="462"/>
      <c r="DJ278" s="462"/>
      <c r="DK278" s="462"/>
      <c r="DL278" s="462"/>
      <c r="DM278" s="462"/>
      <c r="DN278" s="462"/>
      <c r="DO278" s="462"/>
      <c r="DP278" s="462"/>
      <c r="DQ278" s="462"/>
      <c r="DR278" s="462"/>
    </row>
    <row r="279" spans="2:122" s="546" customFormat="1" x14ac:dyDescent="0.2">
      <c r="B279" s="792"/>
      <c r="C279" s="1501"/>
      <c r="D279" s="1501"/>
      <c r="E279" s="1501"/>
      <c r="F279" s="1501"/>
      <c r="G279" s="1501"/>
      <c r="H279" s="1501"/>
      <c r="I279" s="1501"/>
      <c r="J279" s="1501"/>
      <c r="K279" s="1501"/>
      <c r="L279" s="1501"/>
      <c r="M279" s="1501"/>
      <c r="N279" s="1501"/>
      <c r="O279" s="1496"/>
      <c r="P279" s="1290"/>
      <c r="Q279" s="1290"/>
      <c r="R279" s="1290"/>
      <c r="S279" s="1291"/>
      <c r="T279" s="547"/>
      <c r="U279" s="547"/>
      <c r="V279" s="547"/>
      <c r="W279" s="547"/>
      <c r="X279" s="547"/>
      <c r="Y279" s="547"/>
      <c r="Z279" s="547"/>
      <c r="AA279" s="547"/>
      <c r="AB279" s="547"/>
      <c r="CQ279" s="462"/>
      <c r="CR279" s="462"/>
      <c r="CS279" s="462"/>
      <c r="CT279" s="462"/>
      <c r="CU279" s="549"/>
      <c r="CV279" s="549"/>
      <c r="CW279" s="462"/>
      <c r="CX279" s="462"/>
      <c r="CY279" s="462"/>
      <c r="CZ279" s="462"/>
      <c r="DA279" s="462"/>
      <c r="DB279" s="462"/>
      <c r="DC279" s="462"/>
      <c r="DD279" s="462"/>
      <c r="DE279" s="462"/>
      <c r="DF279" s="462"/>
      <c r="DG279" s="462"/>
      <c r="DH279" s="462"/>
      <c r="DI279" s="462"/>
      <c r="DJ279" s="462"/>
      <c r="DK279" s="462"/>
      <c r="DL279" s="462"/>
      <c r="DM279" s="462"/>
      <c r="DN279" s="462"/>
      <c r="DO279" s="462"/>
      <c r="DP279" s="462"/>
      <c r="DQ279" s="462"/>
      <c r="DR279" s="462"/>
    </row>
    <row r="280" spans="2:122" s="546" customFormat="1" x14ac:dyDescent="0.2">
      <c r="B280" s="792"/>
      <c r="C280" s="1501"/>
      <c r="D280" s="1501"/>
      <c r="E280" s="1501"/>
      <c r="F280" s="1501"/>
      <c r="G280" s="1501"/>
      <c r="H280" s="1501"/>
      <c r="I280" s="1501"/>
      <c r="J280" s="1501"/>
      <c r="K280" s="1501"/>
      <c r="L280" s="1501"/>
      <c r="M280" s="1501"/>
      <c r="N280" s="1501"/>
      <c r="O280" s="1496"/>
      <c r="P280" s="1290"/>
      <c r="Q280" s="1290"/>
      <c r="R280" s="1290"/>
      <c r="S280" s="1291"/>
      <c r="T280" s="547"/>
      <c r="U280" s="547"/>
      <c r="V280" s="547"/>
      <c r="W280" s="547"/>
      <c r="X280" s="547"/>
      <c r="Y280" s="547"/>
      <c r="Z280" s="547"/>
      <c r="AA280" s="547"/>
      <c r="AB280" s="547"/>
      <c r="CQ280" s="462"/>
      <c r="CR280" s="462"/>
      <c r="CS280" s="462"/>
      <c r="CT280" s="462"/>
      <c r="CU280" s="549"/>
      <c r="CV280" s="549"/>
      <c r="CW280" s="462"/>
      <c r="CX280" s="462"/>
      <c r="CY280" s="462"/>
      <c r="CZ280" s="462"/>
      <c r="DA280" s="462"/>
      <c r="DB280" s="462"/>
      <c r="DC280" s="462"/>
      <c r="DD280" s="462"/>
      <c r="DE280" s="462"/>
      <c r="DF280" s="462"/>
      <c r="DG280" s="462"/>
      <c r="DH280" s="462"/>
      <c r="DI280" s="462"/>
      <c r="DJ280" s="462"/>
      <c r="DK280" s="462"/>
      <c r="DL280" s="462"/>
      <c r="DM280" s="462"/>
      <c r="DN280" s="462"/>
      <c r="DO280" s="462"/>
      <c r="DP280" s="462"/>
      <c r="DQ280" s="462"/>
      <c r="DR280" s="462"/>
    </row>
    <row r="281" spans="2:122" s="546" customFormat="1" x14ac:dyDescent="0.2">
      <c r="B281" s="792"/>
      <c r="C281" s="1501"/>
      <c r="D281" s="1501"/>
      <c r="E281" s="1501"/>
      <c r="F281" s="1501"/>
      <c r="G281" s="1501"/>
      <c r="H281" s="1501"/>
      <c r="I281" s="1501"/>
      <c r="J281" s="1501"/>
      <c r="K281" s="1501"/>
      <c r="L281" s="1501"/>
      <c r="M281" s="1501"/>
      <c r="N281" s="1501"/>
      <c r="O281" s="1496"/>
      <c r="P281" s="1290"/>
      <c r="Q281" s="1290"/>
      <c r="R281" s="1290"/>
      <c r="S281" s="1291"/>
      <c r="T281" s="547"/>
      <c r="U281" s="547"/>
      <c r="V281" s="547"/>
      <c r="W281" s="547"/>
      <c r="X281" s="547"/>
      <c r="Y281" s="547"/>
      <c r="Z281" s="547"/>
      <c r="AA281" s="547"/>
      <c r="AB281" s="547"/>
      <c r="CQ281" s="462"/>
      <c r="CR281" s="462"/>
      <c r="CS281" s="462"/>
      <c r="CT281" s="462"/>
      <c r="CU281" s="549"/>
      <c r="CV281" s="549"/>
      <c r="CW281" s="462"/>
      <c r="CX281" s="462"/>
      <c r="CY281" s="462"/>
      <c r="CZ281" s="462"/>
      <c r="DA281" s="462"/>
      <c r="DB281" s="462"/>
      <c r="DC281" s="462"/>
      <c r="DD281" s="462"/>
      <c r="DE281" s="462"/>
      <c r="DF281" s="462"/>
      <c r="DG281" s="462"/>
      <c r="DH281" s="462"/>
      <c r="DI281" s="462"/>
      <c r="DJ281" s="462"/>
      <c r="DK281" s="462"/>
      <c r="DL281" s="462"/>
      <c r="DM281" s="462"/>
      <c r="DN281" s="462"/>
      <c r="DO281" s="462"/>
      <c r="DP281" s="462"/>
      <c r="DQ281" s="462"/>
      <c r="DR281" s="462"/>
    </row>
    <row r="282" spans="2:122" s="546" customFormat="1" x14ac:dyDescent="0.2">
      <c r="B282" s="792"/>
      <c r="C282" s="1501"/>
      <c r="D282" s="1501"/>
      <c r="E282" s="1501"/>
      <c r="F282" s="1501"/>
      <c r="G282" s="1501"/>
      <c r="H282" s="1501"/>
      <c r="I282" s="1501"/>
      <c r="J282" s="1501"/>
      <c r="K282" s="1501"/>
      <c r="L282" s="1501"/>
      <c r="M282" s="1501"/>
      <c r="N282" s="1501"/>
      <c r="O282" s="1496"/>
      <c r="P282" s="1290"/>
      <c r="Q282" s="1290"/>
      <c r="R282" s="1290"/>
      <c r="S282" s="1291"/>
      <c r="T282" s="547"/>
      <c r="U282" s="547"/>
      <c r="V282" s="547"/>
      <c r="W282" s="547"/>
      <c r="X282" s="547"/>
      <c r="Y282" s="547"/>
      <c r="Z282" s="547"/>
      <c r="AA282" s="547"/>
      <c r="AB282" s="547"/>
      <c r="CQ282" s="462"/>
      <c r="CR282" s="462"/>
      <c r="CS282" s="462"/>
      <c r="CT282" s="462"/>
      <c r="CU282" s="549"/>
      <c r="CV282" s="549"/>
      <c r="CW282" s="462"/>
      <c r="CX282" s="462"/>
      <c r="CY282" s="462"/>
      <c r="CZ282" s="462"/>
      <c r="DA282" s="462"/>
      <c r="DB282" s="462"/>
      <c r="DC282" s="462"/>
      <c r="DD282" s="462"/>
      <c r="DE282" s="462"/>
      <c r="DF282" s="462"/>
      <c r="DG282" s="462"/>
      <c r="DH282" s="462"/>
      <c r="DI282" s="462"/>
      <c r="DJ282" s="462"/>
      <c r="DK282" s="462"/>
      <c r="DL282" s="462"/>
      <c r="DM282" s="462"/>
      <c r="DN282" s="462"/>
      <c r="DO282" s="462"/>
      <c r="DP282" s="462"/>
      <c r="DQ282" s="462"/>
      <c r="DR282" s="462"/>
    </row>
    <row r="283" spans="2:122" s="546" customFormat="1" x14ac:dyDescent="0.2">
      <c r="B283" s="792"/>
      <c r="C283" s="1501"/>
      <c r="D283" s="1501"/>
      <c r="E283" s="1501"/>
      <c r="F283" s="1501"/>
      <c r="G283" s="1501"/>
      <c r="H283" s="1501"/>
      <c r="I283" s="1501"/>
      <c r="J283" s="1501"/>
      <c r="K283" s="1501"/>
      <c r="L283" s="1501"/>
      <c r="M283" s="1501"/>
      <c r="N283" s="1501"/>
      <c r="O283" s="1496"/>
      <c r="P283" s="1290"/>
      <c r="Q283" s="1290"/>
      <c r="R283" s="1290"/>
      <c r="S283" s="1291"/>
      <c r="T283" s="547"/>
      <c r="U283" s="547"/>
      <c r="V283" s="547"/>
      <c r="W283" s="547"/>
      <c r="X283" s="547"/>
      <c r="Y283" s="547"/>
      <c r="Z283" s="547"/>
      <c r="AA283" s="547"/>
      <c r="AB283" s="547"/>
      <c r="CQ283" s="462"/>
      <c r="CR283" s="462"/>
      <c r="CS283" s="462"/>
      <c r="CT283" s="462"/>
      <c r="CU283" s="549"/>
      <c r="CV283" s="549"/>
      <c r="CW283" s="462"/>
      <c r="CX283" s="462"/>
      <c r="CY283" s="462"/>
      <c r="CZ283" s="462"/>
      <c r="DA283" s="462"/>
      <c r="DB283" s="462"/>
      <c r="DC283" s="462"/>
      <c r="DD283" s="462"/>
      <c r="DE283" s="462"/>
      <c r="DF283" s="462"/>
      <c r="DG283" s="462"/>
      <c r="DH283" s="462"/>
      <c r="DI283" s="462"/>
      <c r="DJ283" s="462"/>
      <c r="DK283" s="462"/>
      <c r="DL283" s="462"/>
      <c r="DM283" s="462"/>
      <c r="DN283" s="462"/>
      <c r="DO283" s="462"/>
      <c r="DP283" s="462"/>
      <c r="DQ283" s="462"/>
      <c r="DR283" s="462"/>
    </row>
    <row r="284" spans="2:122" s="546" customFormat="1" x14ac:dyDescent="0.2">
      <c r="B284" s="792"/>
      <c r="C284" s="1501"/>
      <c r="D284" s="1501"/>
      <c r="E284" s="1501"/>
      <c r="F284" s="1501"/>
      <c r="G284" s="1501"/>
      <c r="H284" s="1501"/>
      <c r="I284" s="1501"/>
      <c r="J284" s="1501"/>
      <c r="K284" s="1501"/>
      <c r="L284" s="1501"/>
      <c r="M284" s="1501"/>
      <c r="N284" s="1501"/>
      <c r="O284" s="1496"/>
      <c r="P284" s="1290"/>
      <c r="Q284" s="1290"/>
      <c r="R284" s="1290"/>
      <c r="S284" s="1291"/>
      <c r="T284" s="547"/>
      <c r="U284" s="547"/>
      <c r="V284" s="547"/>
      <c r="W284" s="547"/>
      <c r="X284" s="547"/>
      <c r="Y284" s="547"/>
      <c r="Z284" s="547"/>
      <c r="AA284" s="547"/>
      <c r="AB284" s="547"/>
      <c r="CQ284" s="462"/>
      <c r="CR284" s="462"/>
      <c r="CS284" s="462"/>
      <c r="CT284" s="462"/>
      <c r="CU284" s="549"/>
      <c r="CV284" s="549"/>
      <c r="CW284" s="462"/>
      <c r="CX284" s="462"/>
      <c r="CY284" s="462"/>
      <c r="CZ284" s="462"/>
      <c r="DA284" s="462"/>
      <c r="DB284" s="462"/>
      <c r="DC284" s="462"/>
      <c r="DD284" s="462"/>
      <c r="DE284" s="462"/>
      <c r="DF284" s="462"/>
      <c r="DG284" s="462"/>
      <c r="DH284" s="462"/>
      <c r="DI284" s="462"/>
      <c r="DJ284" s="462"/>
      <c r="DK284" s="462"/>
      <c r="DL284" s="462"/>
      <c r="DM284" s="462"/>
      <c r="DN284" s="462"/>
      <c r="DO284" s="462"/>
      <c r="DP284" s="462"/>
      <c r="DQ284" s="462"/>
      <c r="DR284" s="462"/>
    </row>
    <row r="285" spans="2:122" s="546" customFormat="1" x14ac:dyDescent="0.2">
      <c r="B285" s="792"/>
      <c r="C285" s="1501"/>
      <c r="D285" s="1501"/>
      <c r="E285" s="1501"/>
      <c r="F285" s="1501"/>
      <c r="G285" s="1501"/>
      <c r="H285" s="1501"/>
      <c r="I285" s="1501"/>
      <c r="J285" s="1501"/>
      <c r="K285" s="1501"/>
      <c r="L285" s="1501"/>
      <c r="M285" s="1501"/>
      <c r="N285" s="1501"/>
      <c r="O285" s="1496"/>
      <c r="P285" s="1290"/>
      <c r="Q285" s="1290"/>
      <c r="R285" s="1290"/>
      <c r="S285" s="1291"/>
      <c r="T285" s="547"/>
      <c r="U285" s="547"/>
      <c r="V285" s="547"/>
      <c r="W285" s="547"/>
      <c r="X285" s="547"/>
      <c r="Y285" s="547"/>
      <c r="Z285" s="547"/>
      <c r="AA285" s="547"/>
      <c r="AB285" s="547"/>
      <c r="CQ285" s="462"/>
      <c r="CR285" s="462"/>
      <c r="CS285" s="462"/>
      <c r="CT285" s="462"/>
      <c r="CU285" s="549"/>
      <c r="CV285" s="549"/>
      <c r="CW285" s="462"/>
      <c r="CX285" s="462"/>
      <c r="CY285" s="462"/>
      <c r="CZ285" s="462"/>
      <c r="DA285" s="462"/>
      <c r="DB285" s="462"/>
      <c r="DC285" s="462"/>
      <c r="DD285" s="462"/>
      <c r="DE285" s="462"/>
      <c r="DF285" s="462"/>
      <c r="DG285" s="462"/>
      <c r="DH285" s="462"/>
      <c r="DI285" s="462"/>
      <c r="DJ285" s="462"/>
      <c r="DK285" s="462"/>
      <c r="DL285" s="462"/>
      <c r="DM285" s="462"/>
      <c r="DN285" s="462"/>
      <c r="DO285" s="462"/>
      <c r="DP285" s="462"/>
      <c r="DQ285" s="462"/>
      <c r="DR285" s="462"/>
    </row>
    <row r="286" spans="2:122" s="546" customFormat="1" x14ac:dyDescent="0.2">
      <c r="B286" s="792"/>
      <c r="C286" s="1501"/>
      <c r="D286" s="1501"/>
      <c r="E286" s="1501"/>
      <c r="F286" s="1501"/>
      <c r="G286" s="1501"/>
      <c r="H286" s="1501"/>
      <c r="I286" s="1501"/>
      <c r="J286" s="1501"/>
      <c r="K286" s="1501"/>
      <c r="L286" s="1501"/>
      <c r="M286" s="1501"/>
      <c r="N286" s="1501"/>
      <c r="O286" s="1496"/>
      <c r="P286" s="1290"/>
      <c r="Q286" s="1290"/>
      <c r="R286" s="1290"/>
      <c r="S286" s="1291"/>
      <c r="T286" s="547"/>
      <c r="U286" s="547"/>
      <c r="V286" s="547"/>
      <c r="W286" s="547"/>
      <c r="X286" s="547"/>
      <c r="Y286" s="547"/>
      <c r="Z286" s="547"/>
      <c r="AA286" s="547"/>
      <c r="AB286" s="547"/>
      <c r="CQ286" s="462"/>
      <c r="CR286" s="462"/>
      <c r="CS286" s="462"/>
      <c r="CT286" s="462"/>
      <c r="CU286" s="549"/>
      <c r="CV286" s="549"/>
      <c r="CW286" s="462"/>
      <c r="CX286" s="462"/>
      <c r="CY286" s="462"/>
      <c r="CZ286" s="462"/>
      <c r="DA286" s="462"/>
      <c r="DB286" s="462"/>
      <c r="DC286" s="462"/>
      <c r="DD286" s="462"/>
      <c r="DE286" s="462"/>
      <c r="DF286" s="462"/>
      <c r="DG286" s="462"/>
      <c r="DH286" s="462"/>
      <c r="DI286" s="462"/>
      <c r="DJ286" s="462"/>
      <c r="DK286" s="462"/>
      <c r="DL286" s="462"/>
      <c r="DM286" s="462"/>
      <c r="DN286" s="462"/>
      <c r="DO286" s="462"/>
      <c r="DP286" s="462"/>
      <c r="DQ286" s="462"/>
      <c r="DR286" s="462"/>
    </row>
    <row r="287" spans="2:122" s="546" customFormat="1" x14ac:dyDescent="0.2">
      <c r="B287" s="792"/>
      <c r="C287" s="1501"/>
      <c r="D287" s="1501"/>
      <c r="E287" s="1501"/>
      <c r="F287" s="1501"/>
      <c r="G287" s="1501"/>
      <c r="H287" s="1501"/>
      <c r="I287" s="1501"/>
      <c r="J287" s="1501"/>
      <c r="K287" s="1501"/>
      <c r="L287" s="1501"/>
      <c r="M287" s="1501"/>
      <c r="N287" s="1501"/>
      <c r="O287" s="1496"/>
      <c r="P287" s="1290"/>
      <c r="Q287" s="1290"/>
      <c r="R287" s="1290"/>
      <c r="S287" s="1291"/>
      <c r="T287" s="547"/>
      <c r="U287" s="547"/>
      <c r="V287" s="547"/>
      <c r="W287" s="547"/>
      <c r="X287" s="547"/>
      <c r="Y287" s="547"/>
      <c r="Z287" s="547"/>
      <c r="AA287" s="547"/>
      <c r="AB287" s="547"/>
      <c r="CQ287" s="462"/>
      <c r="CR287" s="462"/>
      <c r="CS287" s="462"/>
      <c r="CT287" s="462"/>
      <c r="CU287" s="549"/>
      <c r="CV287" s="549"/>
      <c r="CW287" s="462"/>
      <c r="CX287" s="462"/>
      <c r="CY287" s="462"/>
      <c r="CZ287" s="462"/>
      <c r="DA287" s="462"/>
      <c r="DB287" s="462"/>
      <c r="DC287" s="462"/>
      <c r="DD287" s="462"/>
      <c r="DE287" s="462"/>
      <c r="DF287" s="462"/>
      <c r="DG287" s="462"/>
      <c r="DH287" s="462"/>
      <c r="DI287" s="462"/>
      <c r="DJ287" s="462"/>
      <c r="DK287" s="462"/>
      <c r="DL287" s="462"/>
      <c r="DM287" s="462"/>
      <c r="DN287" s="462"/>
      <c r="DO287" s="462"/>
      <c r="DP287" s="462"/>
      <c r="DQ287" s="462"/>
      <c r="DR287" s="462"/>
    </row>
    <row r="288" spans="2:122" s="546" customFormat="1" x14ac:dyDescent="0.2">
      <c r="B288" s="792"/>
      <c r="C288" s="1501"/>
      <c r="D288" s="1501"/>
      <c r="E288" s="1501"/>
      <c r="F288" s="1501"/>
      <c r="G288" s="1501"/>
      <c r="H288" s="1501"/>
      <c r="I288" s="1501"/>
      <c r="J288" s="1501"/>
      <c r="K288" s="1501"/>
      <c r="L288" s="1501"/>
      <c r="M288" s="1501"/>
      <c r="N288" s="1501"/>
      <c r="O288" s="1496"/>
      <c r="P288" s="1290"/>
      <c r="Q288" s="1290"/>
      <c r="R288" s="1290"/>
      <c r="S288" s="1291"/>
      <c r="T288" s="547"/>
      <c r="U288" s="547"/>
      <c r="V288" s="547"/>
      <c r="W288" s="547"/>
      <c r="X288" s="547"/>
      <c r="Y288" s="547"/>
      <c r="Z288" s="547"/>
      <c r="AA288" s="547"/>
      <c r="AB288" s="547"/>
      <c r="CQ288" s="462"/>
      <c r="CR288" s="462"/>
      <c r="CS288" s="462"/>
      <c r="CT288" s="462"/>
      <c r="CU288" s="549"/>
      <c r="CV288" s="549"/>
      <c r="CW288" s="462"/>
      <c r="CX288" s="462"/>
      <c r="CY288" s="462"/>
      <c r="CZ288" s="462"/>
      <c r="DA288" s="462"/>
      <c r="DB288" s="462"/>
      <c r="DC288" s="462"/>
      <c r="DD288" s="462"/>
      <c r="DE288" s="462"/>
      <c r="DF288" s="462"/>
      <c r="DG288" s="462"/>
      <c r="DH288" s="462"/>
      <c r="DI288" s="462"/>
      <c r="DJ288" s="462"/>
      <c r="DK288" s="462"/>
      <c r="DL288" s="462"/>
      <c r="DM288" s="462"/>
      <c r="DN288" s="462"/>
      <c r="DO288" s="462"/>
      <c r="DP288" s="462"/>
      <c r="DQ288" s="462"/>
      <c r="DR288" s="462"/>
    </row>
    <row r="289" spans="2:122" s="546" customFormat="1" x14ac:dyDescent="0.2">
      <c r="B289" s="792"/>
      <c r="C289" s="1501"/>
      <c r="D289" s="1501"/>
      <c r="E289" s="1501"/>
      <c r="F289" s="1501"/>
      <c r="G289" s="1501"/>
      <c r="H289" s="1501"/>
      <c r="I289" s="1501"/>
      <c r="J289" s="1501"/>
      <c r="K289" s="1501"/>
      <c r="L289" s="1501"/>
      <c r="M289" s="1501"/>
      <c r="N289" s="1501"/>
      <c r="O289" s="1496"/>
      <c r="P289" s="1290"/>
      <c r="Q289" s="1290"/>
      <c r="R289" s="1290"/>
      <c r="S289" s="1291"/>
      <c r="T289" s="547"/>
      <c r="U289" s="547"/>
      <c r="V289" s="547"/>
      <c r="W289" s="547"/>
      <c r="X289" s="547"/>
      <c r="Y289" s="547"/>
      <c r="Z289" s="547"/>
      <c r="AA289" s="547"/>
      <c r="AB289" s="547"/>
      <c r="CQ289" s="462"/>
      <c r="CR289" s="462"/>
      <c r="CS289" s="462"/>
      <c r="CT289" s="462"/>
      <c r="CU289" s="549"/>
      <c r="CV289" s="549"/>
      <c r="CW289" s="462"/>
      <c r="CX289" s="462"/>
      <c r="CY289" s="462"/>
      <c r="CZ289" s="462"/>
      <c r="DA289" s="462"/>
      <c r="DB289" s="462"/>
      <c r="DC289" s="462"/>
      <c r="DD289" s="462"/>
      <c r="DE289" s="462"/>
      <c r="DF289" s="462"/>
      <c r="DG289" s="462"/>
      <c r="DH289" s="462"/>
      <c r="DI289" s="462"/>
      <c r="DJ289" s="462"/>
      <c r="DK289" s="462"/>
      <c r="DL289" s="462"/>
      <c r="DM289" s="462"/>
      <c r="DN289" s="462"/>
      <c r="DO289" s="462"/>
      <c r="DP289" s="462"/>
      <c r="DQ289" s="462"/>
      <c r="DR289" s="462"/>
    </row>
    <row r="290" spans="2:122" s="546" customFormat="1" x14ac:dyDescent="0.2">
      <c r="B290" s="792"/>
      <c r="C290" s="1501"/>
      <c r="D290" s="1501"/>
      <c r="E290" s="1501"/>
      <c r="F290" s="1501"/>
      <c r="G290" s="1501"/>
      <c r="H290" s="1501"/>
      <c r="I290" s="1501"/>
      <c r="J290" s="1501"/>
      <c r="K290" s="1501"/>
      <c r="L290" s="1501"/>
      <c r="M290" s="1501"/>
      <c r="N290" s="1501"/>
      <c r="O290" s="1496"/>
      <c r="P290" s="1290"/>
      <c r="Q290" s="1290"/>
      <c r="R290" s="1290"/>
      <c r="S290" s="1291"/>
      <c r="T290" s="547"/>
      <c r="U290" s="547"/>
      <c r="V290" s="547"/>
      <c r="W290" s="547"/>
      <c r="X290" s="547"/>
      <c r="Y290" s="547"/>
      <c r="Z290" s="547"/>
      <c r="AA290" s="547"/>
      <c r="AB290" s="547"/>
      <c r="CQ290" s="462"/>
      <c r="CR290" s="462"/>
      <c r="CS290" s="462"/>
      <c r="CT290" s="462"/>
      <c r="CU290" s="549"/>
      <c r="CV290" s="549"/>
      <c r="CW290" s="462"/>
      <c r="CX290" s="462"/>
      <c r="CY290" s="462"/>
      <c r="CZ290" s="462"/>
      <c r="DA290" s="462"/>
      <c r="DB290" s="462"/>
      <c r="DC290" s="462"/>
      <c r="DD290" s="462"/>
      <c r="DE290" s="462"/>
      <c r="DF290" s="462"/>
      <c r="DG290" s="462"/>
      <c r="DH290" s="462"/>
      <c r="DI290" s="462"/>
      <c r="DJ290" s="462"/>
      <c r="DK290" s="462"/>
      <c r="DL290" s="462"/>
      <c r="DM290" s="462"/>
      <c r="DN290" s="462"/>
      <c r="DO290" s="462"/>
      <c r="DP290" s="462"/>
      <c r="DQ290" s="462"/>
      <c r="DR290" s="462"/>
    </row>
    <row r="291" spans="2:122" s="546" customFormat="1" x14ac:dyDescent="0.2">
      <c r="B291" s="792"/>
      <c r="C291" s="1501"/>
      <c r="D291" s="1501"/>
      <c r="E291" s="1501"/>
      <c r="F291" s="1501"/>
      <c r="G291" s="1501"/>
      <c r="H291" s="1501"/>
      <c r="I291" s="1501"/>
      <c r="J291" s="1501"/>
      <c r="K291" s="1501"/>
      <c r="L291" s="1501"/>
      <c r="M291" s="1501"/>
      <c r="N291" s="1501"/>
      <c r="O291" s="1496"/>
      <c r="P291" s="1290"/>
      <c r="Q291" s="1290"/>
      <c r="R291" s="1290"/>
      <c r="S291" s="1291"/>
      <c r="T291" s="547"/>
      <c r="U291" s="547"/>
      <c r="V291" s="547"/>
      <c r="W291" s="547"/>
      <c r="X291" s="547"/>
      <c r="Y291" s="547"/>
      <c r="Z291" s="547"/>
      <c r="AA291" s="547"/>
      <c r="AB291" s="547"/>
      <c r="CQ291" s="462"/>
      <c r="CR291" s="462"/>
      <c r="CS291" s="462"/>
      <c r="CT291" s="462"/>
      <c r="CU291" s="549"/>
      <c r="CV291" s="549"/>
      <c r="CW291" s="462"/>
      <c r="CX291" s="462"/>
      <c r="CY291" s="462"/>
      <c r="CZ291" s="462"/>
      <c r="DA291" s="462"/>
      <c r="DB291" s="462"/>
      <c r="DC291" s="462"/>
      <c r="DD291" s="462"/>
      <c r="DE291" s="462"/>
      <c r="DF291" s="462"/>
      <c r="DG291" s="462"/>
      <c r="DH291" s="462"/>
      <c r="DI291" s="462"/>
      <c r="DJ291" s="462"/>
      <c r="DK291" s="462"/>
      <c r="DL291" s="462"/>
      <c r="DM291" s="462"/>
      <c r="DN291" s="462"/>
      <c r="DO291" s="462"/>
      <c r="DP291" s="462"/>
      <c r="DQ291" s="462"/>
      <c r="DR291" s="462"/>
    </row>
    <row r="292" spans="2:122" s="546" customFormat="1" x14ac:dyDescent="0.2">
      <c r="B292" s="792"/>
      <c r="C292" s="1501"/>
      <c r="D292" s="1501"/>
      <c r="E292" s="1501"/>
      <c r="F292" s="1501"/>
      <c r="G292" s="1501"/>
      <c r="H292" s="1501"/>
      <c r="I292" s="1501"/>
      <c r="J292" s="1501"/>
      <c r="K292" s="1501"/>
      <c r="L292" s="1501"/>
      <c r="M292" s="1501"/>
      <c r="N292" s="1501"/>
      <c r="O292" s="1496"/>
      <c r="P292" s="1290"/>
      <c r="Q292" s="1290"/>
      <c r="R292" s="1290"/>
      <c r="S292" s="1291"/>
      <c r="T292" s="547"/>
      <c r="U292" s="547"/>
      <c r="V292" s="547"/>
      <c r="W292" s="547"/>
      <c r="X292" s="547"/>
      <c r="Y292" s="547"/>
      <c r="Z292" s="547"/>
      <c r="AA292" s="547"/>
      <c r="AB292" s="547"/>
      <c r="CQ292" s="462"/>
      <c r="CR292" s="462"/>
      <c r="CS292" s="462"/>
      <c r="CT292" s="462"/>
      <c r="CU292" s="549"/>
      <c r="CV292" s="549"/>
      <c r="CW292" s="462"/>
      <c r="CX292" s="462"/>
      <c r="CY292" s="462"/>
      <c r="CZ292" s="462"/>
      <c r="DA292" s="462"/>
      <c r="DB292" s="462"/>
      <c r="DC292" s="462"/>
      <c r="DD292" s="462"/>
      <c r="DE292" s="462"/>
      <c r="DF292" s="462"/>
      <c r="DG292" s="462"/>
      <c r="DH292" s="462"/>
      <c r="DI292" s="462"/>
      <c r="DJ292" s="462"/>
      <c r="DK292" s="462"/>
      <c r="DL292" s="462"/>
      <c r="DM292" s="462"/>
      <c r="DN292" s="462"/>
      <c r="DO292" s="462"/>
      <c r="DP292" s="462"/>
      <c r="DQ292" s="462"/>
      <c r="DR292" s="462"/>
    </row>
    <row r="293" spans="2:122" s="546" customFormat="1" x14ac:dyDescent="0.2">
      <c r="B293" s="792"/>
      <c r="C293" s="1501"/>
      <c r="D293" s="1501"/>
      <c r="E293" s="1501"/>
      <c r="F293" s="1501"/>
      <c r="G293" s="1501"/>
      <c r="H293" s="1501"/>
      <c r="I293" s="1501"/>
      <c r="J293" s="1501"/>
      <c r="K293" s="1501"/>
      <c r="L293" s="1501"/>
      <c r="M293" s="1501"/>
      <c r="N293" s="1501"/>
      <c r="O293" s="1496"/>
      <c r="P293" s="1290"/>
      <c r="Q293" s="1290"/>
      <c r="R293" s="1290"/>
      <c r="S293" s="1291"/>
      <c r="T293" s="547"/>
      <c r="U293" s="547"/>
      <c r="V293" s="547"/>
      <c r="W293" s="547"/>
      <c r="X293" s="547"/>
      <c r="Y293" s="547"/>
      <c r="Z293" s="547"/>
      <c r="AA293" s="547"/>
      <c r="AB293" s="547"/>
      <c r="CQ293" s="462"/>
      <c r="CR293" s="462"/>
      <c r="CS293" s="462"/>
      <c r="CT293" s="462"/>
      <c r="CU293" s="549"/>
      <c r="CV293" s="549"/>
      <c r="CW293" s="462"/>
      <c r="CX293" s="462"/>
      <c r="CY293" s="462"/>
      <c r="CZ293" s="462"/>
      <c r="DA293" s="462"/>
      <c r="DB293" s="462"/>
      <c r="DC293" s="462"/>
      <c r="DD293" s="462"/>
      <c r="DE293" s="462"/>
      <c r="DF293" s="462"/>
      <c r="DG293" s="462"/>
      <c r="DH293" s="462"/>
      <c r="DI293" s="462"/>
      <c r="DJ293" s="462"/>
      <c r="DK293" s="462"/>
      <c r="DL293" s="462"/>
      <c r="DM293" s="462"/>
      <c r="DN293" s="462"/>
      <c r="DO293" s="462"/>
      <c r="DP293" s="462"/>
      <c r="DQ293" s="462"/>
      <c r="DR293" s="462"/>
    </row>
    <row r="294" spans="2:122" s="546" customFormat="1" x14ac:dyDescent="0.2">
      <c r="B294" s="792"/>
      <c r="C294" s="1501"/>
      <c r="D294" s="1501"/>
      <c r="E294" s="1501"/>
      <c r="F294" s="1501"/>
      <c r="G294" s="1501"/>
      <c r="H294" s="1501"/>
      <c r="I294" s="1501"/>
      <c r="J294" s="1501"/>
      <c r="K294" s="1501"/>
      <c r="L294" s="1501"/>
      <c r="M294" s="1501"/>
      <c r="N294" s="1501"/>
      <c r="O294" s="1496"/>
      <c r="P294" s="1290"/>
      <c r="Q294" s="1290"/>
      <c r="R294" s="1290"/>
      <c r="S294" s="1291"/>
      <c r="T294" s="547"/>
      <c r="U294" s="547"/>
      <c r="V294" s="547"/>
      <c r="W294" s="547"/>
      <c r="X294" s="547"/>
      <c r="Y294" s="547"/>
      <c r="Z294" s="547"/>
      <c r="AA294" s="547"/>
      <c r="AB294" s="547"/>
      <c r="CQ294" s="462"/>
      <c r="CR294" s="462"/>
      <c r="CS294" s="462"/>
      <c r="CT294" s="462"/>
      <c r="CU294" s="549"/>
      <c r="CV294" s="549"/>
      <c r="CW294" s="462"/>
      <c r="CX294" s="462"/>
      <c r="CY294" s="462"/>
      <c r="CZ294" s="462"/>
      <c r="DA294" s="462"/>
      <c r="DB294" s="462"/>
      <c r="DC294" s="462"/>
      <c r="DD294" s="462"/>
      <c r="DE294" s="462"/>
      <c r="DF294" s="462"/>
      <c r="DG294" s="462"/>
      <c r="DH294" s="462"/>
      <c r="DI294" s="462"/>
      <c r="DJ294" s="462"/>
      <c r="DK294" s="462"/>
      <c r="DL294" s="462"/>
      <c r="DM294" s="462"/>
      <c r="DN294" s="462"/>
      <c r="DO294" s="462"/>
      <c r="DP294" s="462"/>
      <c r="DQ294" s="462"/>
      <c r="DR294" s="462"/>
    </row>
    <row r="295" spans="2:122" s="546" customFormat="1" x14ac:dyDescent="0.2">
      <c r="B295" s="792"/>
      <c r="C295" s="1501"/>
      <c r="D295" s="1501"/>
      <c r="E295" s="1501"/>
      <c r="F295" s="1501"/>
      <c r="G295" s="1501"/>
      <c r="H295" s="1501"/>
      <c r="I295" s="1501"/>
      <c r="J295" s="1501"/>
      <c r="K295" s="1501"/>
      <c r="L295" s="1501"/>
      <c r="M295" s="1501"/>
      <c r="N295" s="1501"/>
      <c r="O295" s="1496"/>
      <c r="P295" s="1290"/>
      <c r="Q295" s="1290"/>
      <c r="R295" s="1290"/>
      <c r="S295" s="1291"/>
      <c r="T295" s="547"/>
      <c r="U295" s="547"/>
      <c r="V295" s="547"/>
      <c r="W295" s="547"/>
      <c r="X295" s="547"/>
      <c r="Y295" s="547"/>
      <c r="Z295" s="547"/>
      <c r="AA295" s="547"/>
      <c r="AB295" s="547"/>
      <c r="CQ295" s="462"/>
      <c r="CR295" s="462"/>
      <c r="CS295" s="462"/>
      <c r="CT295" s="462"/>
      <c r="CU295" s="549"/>
      <c r="CV295" s="549"/>
      <c r="CW295" s="462"/>
      <c r="CX295" s="462"/>
      <c r="CY295" s="462"/>
      <c r="CZ295" s="462"/>
      <c r="DA295" s="462"/>
      <c r="DB295" s="462"/>
      <c r="DC295" s="462"/>
      <c r="DD295" s="462"/>
      <c r="DE295" s="462"/>
      <c r="DF295" s="462"/>
      <c r="DG295" s="462"/>
      <c r="DH295" s="462"/>
      <c r="DI295" s="462"/>
      <c r="DJ295" s="462"/>
      <c r="DK295" s="462"/>
      <c r="DL295" s="462"/>
      <c r="DM295" s="462"/>
      <c r="DN295" s="462"/>
      <c r="DO295" s="462"/>
      <c r="DP295" s="462"/>
      <c r="DQ295" s="462"/>
      <c r="DR295" s="462"/>
    </row>
    <row r="296" spans="2:122" s="546" customFormat="1" x14ac:dyDescent="0.2">
      <c r="B296" s="792"/>
      <c r="C296" s="1501"/>
      <c r="D296" s="1501"/>
      <c r="E296" s="1501"/>
      <c r="F296" s="1501"/>
      <c r="G296" s="1501"/>
      <c r="H296" s="1501"/>
      <c r="I296" s="1501"/>
      <c r="J296" s="1501"/>
      <c r="K296" s="1501"/>
      <c r="L296" s="1501"/>
      <c r="M296" s="1501"/>
      <c r="N296" s="1501"/>
      <c r="O296" s="1496"/>
      <c r="P296" s="1290"/>
      <c r="Q296" s="1290"/>
      <c r="R296" s="1290"/>
      <c r="S296" s="1291"/>
      <c r="T296" s="547"/>
      <c r="U296" s="547"/>
      <c r="V296" s="547"/>
      <c r="W296" s="547"/>
      <c r="X296" s="547"/>
      <c r="Y296" s="547"/>
      <c r="Z296" s="547"/>
      <c r="AA296" s="547"/>
      <c r="AB296" s="547"/>
      <c r="CQ296" s="462"/>
      <c r="CR296" s="462"/>
      <c r="CS296" s="462"/>
      <c r="CT296" s="462"/>
      <c r="CU296" s="549"/>
      <c r="CV296" s="549"/>
      <c r="CW296" s="462"/>
      <c r="CX296" s="462"/>
      <c r="CY296" s="462"/>
      <c r="CZ296" s="462"/>
      <c r="DA296" s="462"/>
      <c r="DB296" s="462"/>
      <c r="DC296" s="462"/>
      <c r="DD296" s="462"/>
      <c r="DE296" s="462"/>
      <c r="DF296" s="462"/>
      <c r="DG296" s="462"/>
      <c r="DH296" s="462"/>
      <c r="DI296" s="462"/>
      <c r="DJ296" s="462"/>
      <c r="DK296" s="462"/>
      <c r="DL296" s="462"/>
      <c r="DM296" s="462"/>
      <c r="DN296" s="462"/>
      <c r="DO296" s="462"/>
      <c r="DP296" s="462"/>
      <c r="DQ296" s="462"/>
      <c r="DR296" s="462"/>
    </row>
    <row r="297" spans="2:122" s="546" customFormat="1" x14ac:dyDescent="0.2">
      <c r="B297" s="792"/>
      <c r="C297" s="1501"/>
      <c r="D297" s="1501"/>
      <c r="E297" s="1501"/>
      <c r="F297" s="1501"/>
      <c r="G297" s="1501"/>
      <c r="H297" s="1501"/>
      <c r="I297" s="1501"/>
      <c r="J297" s="1501"/>
      <c r="K297" s="1501"/>
      <c r="L297" s="1501"/>
      <c r="M297" s="1501"/>
      <c r="N297" s="1501"/>
      <c r="O297" s="1496"/>
      <c r="P297" s="1290"/>
      <c r="Q297" s="1290"/>
      <c r="R297" s="1290"/>
      <c r="S297" s="1291"/>
      <c r="T297" s="547"/>
      <c r="U297" s="547"/>
      <c r="V297" s="547"/>
      <c r="W297" s="547"/>
      <c r="X297" s="547"/>
      <c r="Y297" s="547"/>
      <c r="Z297" s="547"/>
      <c r="AA297" s="547"/>
      <c r="AB297" s="547"/>
      <c r="CQ297" s="462"/>
      <c r="CR297" s="462"/>
      <c r="CS297" s="462"/>
      <c r="CT297" s="462"/>
      <c r="CU297" s="549"/>
      <c r="CV297" s="549"/>
      <c r="CW297" s="462"/>
      <c r="CX297" s="462"/>
      <c r="CY297" s="462"/>
      <c r="CZ297" s="462"/>
      <c r="DA297" s="462"/>
      <c r="DB297" s="462"/>
      <c r="DC297" s="462"/>
      <c r="DD297" s="462"/>
      <c r="DE297" s="462"/>
      <c r="DF297" s="462"/>
      <c r="DG297" s="462"/>
      <c r="DH297" s="462"/>
      <c r="DI297" s="462"/>
      <c r="DJ297" s="462"/>
      <c r="DK297" s="462"/>
      <c r="DL297" s="462"/>
      <c r="DM297" s="462"/>
      <c r="DN297" s="462"/>
      <c r="DO297" s="462"/>
      <c r="DP297" s="462"/>
      <c r="DQ297" s="462"/>
      <c r="DR297" s="462"/>
    </row>
    <row r="298" spans="2:122" s="546" customFormat="1" x14ac:dyDescent="0.2">
      <c r="B298" s="792"/>
      <c r="C298" s="1501"/>
      <c r="D298" s="1501"/>
      <c r="E298" s="1501"/>
      <c r="F298" s="1501"/>
      <c r="G298" s="1501"/>
      <c r="H298" s="1501"/>
      <c r="I298" s="1501"/>
      <c r="J298" s="1501"/>
      <c r="K298" s="1501"/>
      <c r="L298" s="1501"/>
      <c r="M298" s="1501"/>
      <c r="N298" s="1501"/>
      <c r="O298" s="1496"/>
      <c r="P298" s="1290"/>
      <c r="Q298" s="1290"/>
      <c r="R298" s="1290"/>
      <c r="S298" s="1291"/>
      <c r="T298" s="547"/>
      <c r="U298" s="547"/>
      <c r="V298" s="547"/>
      <c r="W298" s="547"/>
      <c r="X298" s="547"/>
      <c r="Y298" s="547"/>
      <c r="Z298" s="547"/>
      <c r="AA298" s="547"/>
      <c r="AB298" s="547"/>
      <c r="CQ298" s="462"/>
      <c r="CR298" s="462"/>
      <c r="CS298" s="462"/>
      <c r="CT298" s="462"/>
      <c r="CU298" s="549"/>
      <c r="CV298" s="549"/>
      <c r="CW298" s="462"/>
      <c r="CX298" s="462"/>
      <c r="CY298" s="462"/>
      <c r="CZ298" s="462"/>
      <c r="DA298" s="462"/>
      <c r="DB298" s="462"/>
      <c r="DC298" s="462"/>
      <c r="DD298" s="462"/>
      <c r="DE298" s="462"/>
      <c r="DF298" s="462"/>
      <c r="DG298" s="462"/>
      <c r="DH298" s="462"/>
      <c r="DI298" s="462"/>
      <c r="DJ298" s="462"/>
      <c r="DK298" s="462"/>
      <c r="DL298" s="462"/>
      <c r="DM298" s="462"/>
      <c r="DN298" s="462"/>
      <c r="DO298" s="462"/>
      <c r="DP298" s="462"/>
      <c r="DQ298" s="462"/>
      <c r="DR298" s="462"/>
    </row>
    <row r="299" spans="2:122" s="546" customFormat="1" x14ac:dyDescent="0.2">
      <c r="B299" s="792"/>
      <c r="C299" s="1501"/>
      <c r="D299" s="1501"/>
      <c r="E299" s="1501"/>
      <c r="F299" s="1501"/>
      <c r="G299" s="1501"/>
      <c r="H299" s="1501"/>
      <c r="I299" s="1501"/>
      <c r="J299" s="1501"/>
      <c r="K299" s="1501"/>
      <c r="L299" s="1501"/>
      <c r="M299" s="1501"/>
      <c r="N299" s="1501"/>
      <c r="O299" s="1496"/>
      <c r="P299" s="1290"/>
      <c r="Q299" s="1290"/>
      <c r="R299" s="1290"/>
      <c r="S299" s="1291"/>
      <c r="T299" s="547"/>
      <c r="U299" s="547"/>
      <c r="V299" s="547"/>
      <c r="W299" s="547"/>
      <c r="X299" s="547"/>
      <c r="Y299" s="547"/>
      <c r="Z299" s="547"/>
      <c r="AA299" s="547"/>
      <c r="AB299" s="547"/>
      <c r="CQ299" s="462"/>
      <c r="CR299" s="462"/>
      <c r="CS299" s="462"/>
      <c r="CT299" s="462"/>
      <c r="CU299" s="549"/>
      <c r="CV299" s="549"/>
      <c r="CW299" s="462"/>
      <c r="CX299" s="462"/>
      <c r="CY299" s="462"/>
      <c r="CZ299" s="462"/>
      <c r="DA299" s="462"/>
      <c r="DB299" s="462"/>
      <c r="DC299" s="462"/>
      <c r="DD299" s="462"/>
      <c r="DE299" s="462"/>
      <c r="DF299" s="462"/>
      <c r="DG299" s="462"/>
      <c r="DH299" s="462"/>
      <c r="DI299" s="462"/>
      <c r="DJ299" s="462"/>
      <c r="DK299" s="462"/>
      <c r="DL299" s="462"/>
      <c r="DM299" s="462"/>
      <c r="DN299" s="462"/>
      <c r="DO299" s="462"/>
      <c r="DP299" s="462"/>
      <c r="DQ299" s="462"/>
      <c r="DR299" s="462"/>
    </row>
    <row r="300" spans="2:122" s="546" customFormat="1" x14ac:dyDescent="0.2">
      <c r="B300" s="792"/>
      <c r="C300" s="1501"/>
      <c r="D300" s="1501"/>
      <c r="E300" s="1501"/>
      <c r="F300" s="1501"/>
      <c r="G300" s="1501"/>
      <c r="H300" s="1501"/>
      <c r="I300" s="1501"/>
      <c r="J300" s="1501"/>
      <c r="K300" s="1501"/>
      <c r="L300" s="1501"/>
      <c r="M300" s="1501"/>
      <c r="N300" s="1501"/>
      <c r="O300" s="1496"/>
      <c r="P300" s="1290"/>
      <c r="Q300" s="1290"/>
      <c r="R300" s="1290"/>
      <c r="S300" s="1291"/>
      <c r="T300" s="547"/>
      <c r="U300" s="547"/>
      <c r="V300" s="547"/>
      <c r="W300" s="547"/>
      <c r="X300" s="547"/>
      <c r="Y300" s="547"/>
      <c r="Z300" s="547"/>
      <c r="AA300" s="547"/>
      <c r="AB300" s="547"/>
      <c r="CQ300" s="462"/>
      <c r="CR300" s="462"/>
      <c r="CS300" s="462"/>
      <c r="CT300" s="462"/>
      <c r="CU300" s="549"/>
      <c r="CV300" s="549"/>
      <c r="CW300" s="462"/>
      <c r="CX300" s="462"/>
      <c r="CY300" s="462"/>
      <c r="CZ300" s="462"/>
      <c r="DA300" s="462"/>
      <c r="DB300" s="462"/>
      <c r="DC300" s="462"/>
      <c r="DD300" s="462"/>
      <c r="DE300" s="462"/>
      <c r="DF300" s="462"/>
      <c r="DG300" s="462"/>
      <c r="DH300" s="462"/>
      <c r="DI300" s="462"/>
      <c r="DJ300" s="462"/>
      <c r="DK300" s="462"/>
      <c r="DL300" s="462"/>
      <c r="DM300" s="462"/>
      <c r="DN300" s="462"/>
      <c r="DO300" s="462"/>
      <c r="DP300" s="462"/>
      <c r="DQ300" s="462"/>
      <c r="DR300" s="462"/>
    </row>
    <row r="301" spans="2:122" s="546" customFormat="1" x14ac:dyDescent="0.2">
      <c r="B301" s="792"/>
      <c r="C301" s="1501"/>
      <c r="D301" s="1501"/>
      <c r="E301" s="1501"/>
      <c r="F301" s="1501"/>
      <c r="G301" s="1501"/>
      <c r="H301" s="1501"/>
      <c r="I301" s="1501"/>
      <c r="J301" s="1501"/>
      <c r="K301" s="1501"/>
      <c r="L301" s="1501"/>
      <c r="M301" s="1501"/>
      <c r="N301" s="1501"/>
      <c r="O301" s="1496"/>
      <c r="P301" s="1290"/>
      <c r="Q301" s="1290"/>
      <c r="R301" s="1290"/>
      <c r="S301" s="1291"/>
      <c r="T301" s="547"/>
      <c r="U301" s="547"/>
      <c r="V301" s="547"/>
      <c r="W301" s="547"/>
      <c r="X301" s="547"/>
      <c r="Y301" s="547"/>
      <c r="Z301" s="547"/>
      <c r="AA301" s="547"/>
      <c r="AB301" s="547"/>
      <c r="CQ301" s="462"/>
      <c r="CR301" s="462"/>
      <c r="CS301" s="462"/>
      <c r="CT301" s="462"/>
      <c r="CU301" s="549"/>
      <c r="CV301" s="549"/>
      <c r="CW301" s="462"/>
      <c r="CX301" s="462"/>
      <c r="CY301" s="462"/>
      <c r="CZ301" s="462"/>
      <c r="DA301" s="462"/>
      <c r="DB301" s="462"/>
      <c r="DC301" s="462"/>
      <c r="DD301" s="462"/>
      <c r="DE301" s="462"/>
      <c r="DF301" s="462"/>
      <c r="DG301" s="462"/>
      <c r="DH301" s="462"/>
      <c r="DI301" s="462"/>
      <c r="DJ301" s="462"/>
      <c r="DK301" s="462"/>
      <c r="DL301" s="462"/>
      <c r="DM301" s="462"/>
      <c r="DN301" s="462"/>
      <c r="DO301" s="462"/>
      <c r="DP301" s="462"/>
      <c r="DQ301" s="462"/>
      <c r="DR301" s="462"/>
    </row>
    <row r="302" spans="2:122" s="546" customFormat="1" x14ac:dyDescent="0.2">
      <c r="B302" s="792"/>
      <c r="C302" s="1501"/>
      <c r="D302" s="1501"/>
      <c r="E302" s="1501"/>
      <c r="F302" s="1501"/>
      <c r="G302" s="1501"/>
      <c r="H302" s="1501"/>
      <c r="I302" s="1501"/>
      <c r="J302" s="1501"/>
      <c r="K302" s="1501"/>
      <c r="L302" s="1501"/>
      <c r="M302" s="1501"/>
      <c r="N302" s="1501"/>
      <c r="O302" s="1496"/>
      <c r="P302" s="1290"/>
      <c r="Q302" s="1290"/>
      <c r="R302" s="1290"/>
      <c r="S302" s="1291"/>
      <c r="T302" s="547"/>
      <c r="U302" s="547"/>
      <c r="V302" s="547"/>
      <c r="W302" s="547"/>
      <c r="X302" s="547"/>
      <c r="Y302" s="547"/>
      <c r="Z302" s="547"/>
      <c r="AA302" s="547"/>
      <c r="AB302" s="547"/>
      <c r="CQ302" s="462"/>
      <c r="CR302" s="462"/>
      <c r="CS302" s="462"/>
      <c r="CT302" s="462"/>
      <c r="CU302" s="549"/>
      <c r="CV302" s="549"/>
      <c r="CW302" s="462"/>
      <c r="CX302" s="462"/>
      <c r="CY302" s="462"/>
      <c r="CZ302" s="462"/>
      <c r="DA302" s="462"/>
      <c r="DB302" s="462"/>
      <c r="DC302" s="462"/>
      <c r="DD302" s="462"/>
      <c r="DE302" s="462"/>
      <c r="DF302" s="462"/>
      <c r="DG302" s="462"/>
      <c r="DH302" s="462"/>
      <c r="DI302" s="462"/>
      <c r="DJ302" s="462"/>
      <c r="DK302" s="462"/>
      <c r="DL302" s="462"/>
      <c r="DM302" s="462"/>
      <c r="DN302" s="462"/>
      <c r="DO302" s="462"/>
      <c r="DP302" s="462"/>
      <c r="DQ302" s="462"/>
      <c r="DR302" s="462"/>
    </row>
    <row r="303" spans="2:122" s="546" customFormat="1" x14ac:dyDescent="0.2">
      <c r="B303" s="792"/>
      <c r="C303" s="1501"/>
      <c r="D303" s="1501"/>
      <c r="E303" s="1501"/>
      <c r="F303" s="1501"/>
      <c r="G303" s="1501"/>
      <c r="H303" s="1501"/>
      <c r="I303" s="1501"/>
      <c r="J303" s="1501"/>
      <c r="K303" s="1501"/>
      <c r="L303" s="1501"/>
      <c r="M303" s="1501"/>
      <c r="N303" s="1501"/>
      <c r="O303" s="1496"/>
      <c r="P303" s="1290"/>
      <c r="Q303" s="1290"/>
      <c r="R303" s="1290"/>
      <c r="S303" s="1291"/>
      <c r="T303" s="547"/>
      <c r="U303" s="547"/>
      <c r="V303" s="547"/>
      <c r="W303" s="547"/>
      <c r="X303" s="547"/>
      <c r="Y303" s="547"/>
      <c r="Z303" s="547"/>
      <c r="AA303" s="547"/>
      <c r="AB303" s="547"/>
      <c r="CQ303" s="462"/>
      <c r="CR303" s="462"/>
      <c r="CS303" s="462"/>
      <c r="CT303" s="462"/>
      <c r="CU303" s="549"/>
      <c r="CV303" s="549"/>
      <c r="CW303" s="462"/>
      <c r="CX303" s="462"/>
      <c r="CY303" s="462"/>
      <c r="CZ303" s="462"/>
      <c r="DA303" s="462"/>
      <c r="DB303" s="462"/>
      <c r="DC303" s="462"/>
      <c r="DD303" s="462"/>
      <c r="DE303" s="462"/>
      <c r="DF303" s="462"/>
      <c r="DG303" s="462"/>
      <c r="DH303" s="462"/>
      <c r="DI303" s="462"/>
      <c r="DJ303" s="462"/>
      <c r="DK303" s="462"/>
      <c r="DL303" s="462"/>
      <c r="DM303" s="462"/>
      <c r="DN303" s="462"/>
      <c r="DO303" s="462"/>
      <c r="DP303" s="462"/>
      <c r="DQ303" s="462"/>
      <c r="DR303" s="462"/>
    </row>
    <row r="304" spans="2:122" s="546" customFormat="1" x14ac:dyDescent="0.2">
      <c r="B304" s="792"/>
      <c r="C304" s="1501"/>
      <c r="D304" s="1501"/>
      <c r="E304" s="1501"/>
      <c r="F304" s="1501"/>
      <c r="G304" s="1501"/>
      <c r="H304" s="1501"/>
      <c r="I304" s="1501"/>
      <c r="J304" s="1501"/>
      <c r="K304" s="1501"/>
      <c r="L304" s="1501"/>
      <c r="M304" s="1501"/>
      <c r="N304" s="1501"/>
      <c r="O304" s="1496"/>
      <c r="P304" s="1290"/>
      <c r="Q304" s="1290"/>
      <c r="R304" s="1290"/>
      <c r="S304" s="1291"/>
      <c r="T304" s="547"/>
      <c r="U304" s="547"/>
      <c r="V304" s="547"/>
      <c r="W304" s="547"/>
      <c r="X304" s="547"/>
      <c r="Y304" s="547"/>
      <c r="Z304" s="547"/>
      <c r="AA304" s="547"/>
      <c r="AB304" s="547"/>
      <c r="CQ304" s="462"/>
      <c r="CR304" s="462"/>
      <c r="CS304" s="462"/>
      <c r="CT304" s="462"/>
      <c r="CU304" s="549"/>
      <c r="CV304" s="549"/>
      <c r="CW304" s="462"/>
      <c r="CX304" s="462"/>
      <c r="CY304" s="462"/>
      <c r="CZ304" s="462"/>
      <c r="DA304" s="462"/>
      <c r="DB304" s="462"/>
      <c r="DC304" s="462"/>
      <c r="DD304" s="462"/>
      <c r="DE304" s="462"/>
      <c r="DF304" s="462"/>
      <c r="DG304" s="462"/>
      <c r="DH304" s="462"/>
      <c r="DI304" s="462"/>
      <c r="DJ304" s="462"/>
      <c r="DK304" s="462"/>
      <c r="DL304" s="462"/>
      <c r="DM304" s="462"/>
      <c r="DN304" s="462"/>
      <c r="DO304" s="462"/>
      <c r="DP304" s="462"/>
      <c r="DQ304" s="462"/>
      <c r="DR304" s="462"/>
    </row>
    <row r="305" spans="2:122" s="546" customFormat="1" x14ac:dyDescent="0.2">
      <c r="B305" s="792"/>
      <c r="C305" s="1501"/>
      <c r="D305" s="1501"/>
      <c r="E305" s="1501"/>
      <c r="F305" s="1501"/>
      <c r="G305" s="1501"/>
      <c r="H305" s="1501"/>
      <c r="I305" s="1501"/>
      <c r="J305" s="1501"/>
      <c r="K305" s="1501"/>
      <c r="L305" s="1501"/>
      <c r="M305" s="1501"/>
      <c r="N305" s="1501"/>
      <c r="O305" s="1496"/>
      <c r="P305" s="1290"/>
      <c r="Q305" s="1290"/>
      <c r="R305" s="1290"/>
      <c r="S305" s="1291"/>
      <c r="T305" s="547"/>
      <c r="U305" s="547"/>
      <c r="V305" s="547"/>
      <c r="W305" s="547"/>
      <c r="X305" s="547"/>
      <c r="Y305" s="547"/>
      <c r="Z305" s="547"/>
      <c r="AA305" s="547"/>
      <c r="AB305" s="547"/>
      <c r="CQ305" s="462"/>
      <c r="CR305" s="462"/>
      <c r="CS305" s="462"/>
      <c r="CT305" s="462"/>
      <c r="CU305" s="549"/>
      <c r="CV305" s="549"/>
      <c r="CW305" s="462"/>
      <c r="CX305" s="462"/>
      <c r="CY305" s="462"/>
      <c r="CZ305" s="462"/>
      <c r="DA305" s="462"/>
      <c r="DB305" s="462"/>
      <c r="DC305" s="462"/>
      <c r="DD305" s="462"/>
      <c r="DE305" s="462"/>
      <c r="DF305" s="462"/>
      <c r="DG305" s="462"/>
      <c r="DH305" s="462"/>
      <c r="DI305" s="462"/>
      <c r="DJ305" s="462"/>
      <c r="DK305" s="462"/>
      <c r="DL305" s="462"/>
      <c r="DM305" s="462"/>
      <c r="DN305" s="462"/>
      <c r="DO305" s="462"/>
      <c r="DP305" s="462"/>
      <c r="DQ305" s="462"/>
      <c r="DR305" s="462"/>
    </row>
    <row r="306" spans="2:122" s="546" customFormat="1" x14ac:dyDescent="0.2">
      <c r="B306" s="792"/>
      <c r="C306" s="1501"/>
      <c r="D306" s="1501"/>
      <c r="E306" s="1501"/>
      <c r="F306" s="1501"/>
      <c r="G306" s="1501"/>
      <c r="H306" s="1501"/>
      <c r="I306" s="1501"/>
      <c r="J306" s="1501"/>
      <c r="K306" s="1501"/>
      <c r="L306" s="1501"/>
      <c r="M306" s="1501"/>
      <c r="N306" s="1501"/>
      <c r="O306" s="1496"/>
      <c r="P306" s="1290"/>
      <c r="Q306" s="1290"/>
      <c r="R306" s="1290"/>
      <c r="S306" s="1291"/>
      <c r="T306" s="547"/>
      <c r="U306" s="547"/>
      <c r="V306" s="547"/>
      <c r="W306" s="547"/>
      <c r="X306" s="547"/>
      <c r="Y306" s="547"/>
      <c r="Z306" s="547"/>
      <c r="AA306" s="547"/>
      <c r="AB306" s="547"/>
      <c r="CQ306" s="462"/>
      <c r="CR306" s="462"/>
      <c r="CS306" s="462"/>
      <c r="CT306" s="462"/>
      <c r="CU306" s="549"/>
      <c r="CV306" s="549"/>
      <c r="CW306" s="462"/>
      <c r="CX306" s="462"/>
      <c r="CY306" s="462"/>
      <c r="CZ306" s="462"/>
      <c r="DA306" s="462"/>
      <c r="DB306" s="462"/>
      <c r="DC306" s="462"/>
      <c r="DD306" s="462"/>
      <c r="DE306" s="462"/>
      <c r="DF306" s="462"/>
      <c r="DG306" s="462"/>
      <c r="DH306" s="462"/>
      <c r="DI306" s="462"/>
      <c r="DJ306" s="462"/>
      <c r="DK306" s="462"/>
      <c r="DL306" s="462"/>
      <c r="DM306" s="462"/>
      <c r="DN306" s="462"/>
      <c r="DO306" s="462"/>
      <c r="DP306" s="462"/>
      <c r="DQ306" s="462"/>
      <c r="DR306" s="462"/>
    </row>
    <row r="307" spans="2:122" s="546" customFormat="1" x14ac:dyDescent="0.2">
      <c r="B307" s="792"/>
      <c r="C307" s="1501"/>
      <c r="D307" s="1501"/>
      <c r="E307" s="1501"/>
      <c r="F307" s="1501"/>
      <c r="G307" s="1501"/>
      <c r="H307" s="1501"/>
      <c r="I307" s="1501"/>
      <c r="J307" s="1501"/>
      <c r="K307" s="1501"/>
      <c r="L307" s="1501"/>
      <c r="M307" s="1501"/>
      <c r="N307" s="1501"/>
      <c r="O307" s="1496"/>
      <c r="P307" s="1290"/>
      <c r="Q307" s="1290"/>
      <c r="R307" s="1290"/>
      <c r="S307" s="1291"/>
      <c r="T307" s="547"/>
      <c r="U307" s="547"/>
      <c r="V307" s="547"/>
      <c r="W307" s="547"/>
      <c r="X307" s="547"/>
      <c r="Y307" s="547"/>
      <c r="Z307" s="547"/>
      <c r="AA307" s="547"/>
      <c r="AB307" s="547"/>
      <c r="CQ307" s="462"/>
      <c r="CR307" s="462"/>
      <c r="CS307" s="462"/>
      <c r="CT307" s="462"/>
      <c r="CU307" s="549"/>
      <c r="CV307" s="549"/>
      <c r="CW307" s="462"/>
      <c r="CX307" s="462"/>
      <c r="CY307" s="462"/>
      <c r="CZ307" s="462"/>
      <c r="DA307" s="462"/>
      <c r="DB307" s="462"/>
      <c r="DC307" s="462"/>
      <c r="DD307" s="462"/>
      <c r="DE307" s="462"/>
      <c r="DF307" s="462"/>
      <c r="DG307" s="462"/>
      <c r="DH307" s="462"/>
      <c r="DI307" s="462"/>
      <c r="DJ307" s="462"/>
      <c r="DK307" s="462"/>
      <c r="DL307" s="462"/>
      <c r="DM307" s="462"/>
      <c r="DN307" s="462"/>
      <c r="DO307" s="462"/>
      <c r="DP307" s="462"/>
      <c r="DQ307" s="462"/>
      <c r="DR307" s="462"/>
    </row>
    <row r="308" spans="2:122" s="546" customFormat="1" x14ac:dyDescent="0.2">
      <c r="B308" s="792"/>
      <c r="C308" s="1501"/>
      <c r="D308" s="1501"/>
      <c r="E308" s="1501"/>
      <c r="F308" s="1501"/>
      <c r="G308" s="1501"/>
      <c r="H308" s="1501"/>
      <c r="I308" s="1501"/>
      <c r="J308" s="1501"/>
      <c r="K308" s="1501"/>
      <c r="L308" s="1501"/>
      <c r="M308" s="1501"/>
      <c r="N308" s="1501"/>
      <c r="O308" s="1496"/>
      <c r="P308" s="1290"/>
      <c r="Q308" s="1290"/>
      <c r="R308" s="1290"/>
      <c r="S308" s="1291"/>
      <c r="T308" s="547"/>
      <c r="U308" s="547"/>
      <c r="V308" s="547"/>
      <c r="W308" s="547"/>
      <c r="X308" s="547"/>
      <c r="Y308" s="547"/>
      <c r="Z308" s="547"/>
      <c r="AA308" s="547"/>
      <c r="AB308" s="547"/>
      <c r="CQ308" s="462"/>
      <c r="CR308" s="462"/>
      <c r="CS308" s="462"/>
      <c r="CT308" s="462"/>
      <c r="CU308" s="549"/>
      <c r="CV308" s="549"/>
      <c r="CW308" s="462"/>
      <c r="CX308" s="462"/>
      <c r="CY308" s="462"/>
      <c r="CZ308" s="462"/>
      <c r="DA308" s="462"/>
      <c r="DB308" s="462"/>
      <c r="DC308" s="462"/>
      <c r="DD308" s="462"/>
      <c r="DE308" s="462"/>
      <c r="DF308" s="462"/>
      <c r="DG308" s="462"/>
      <c r="DH308" s="462"/>
      <c r="DI308" s="462"/>
      <c r="DJ308" s="462"/>
      <c r="DK308" s="462"/>
      <c r="DL308" s="462"/>
      <c r="DM308" s="462"/>
      <c r="DN308" s="462"/>
      <c r="DO308" s="462"/>
      <c r="DP308" s="462"/>
      <c r="DQ308" s="462"/>
      <c r="DR308" s="462"/>
    </row>
    <row r="309" spans="2:122" s="546" customFormat="1" x14ac:dyDescent="0.2">
      <c r="B309" s="792"/>
      <c r="C309" s="1501"/>
      <c r="D309" s="1501"/>
      <c r="E309" s="1501"/>
      <c r="F309" s="1501"/>
      <c r="G309" s="1501"/>
      <c r="H309" s="1501"/>
      <c r="I309" s="1501"/>
      <c r="J309" s="1501"/>
      <c r="K309" s="1501"/>
      <c r="L309" s="1501"/>
      <c r="M309" s="1501"/>
      <c r="N309" s="1501"/>
      <c r="O309" s="1496"/>
      <c r="P309" s="1290"/>
      <c r="Q309" s="1290"/>
      <c r="R309" s="1290"/>
      <c r="S309" s="1291"/>
      <c r="T309" s="547"/>
      <c r="U309" s="547"/>
      <c r="V309" s="547"/>
      <c r="W309" s="547"/>
      <c r="X309" s="547"/>
      <c r="Y309" s="547"/>
      <c r="Z309" s="547"/>
      <c r="AA309" s="547"/>
      <c r="AB309" s="547"/>
      <c r="CQ309" s="462"/>
      <c r="CR309" s="462"/>
      <c r="CS309" s="462"/>
      <c r="CT309" s="462"/>
      <c r="CU309" s="549"/>
      <c r="CV309" s="549"/>
      <c r="CW309" s="462"/>
      <c r="CX309" s="462"/>
      <c r="CY309" s="462"/>
      <c r="CZ309" s="462"/>
      <c r="DA309" s="462"/>
      <c r="DB309" s="462"/>
      <c r="DC309" s="462"/>
      <c r="DD309" s="462"/>
      <c r="DE309" s="462"/>
      <c r="DF309" s="462"/>
      <c r="DG309" s="462"/>
      <c r="DH309" s="462"/>
      <c r="DI309" s="462"/>
      <c r="DJ309" s="462"/>
      <c r="DK309" s="462"/>
      <c r="DL309" s="462"/>
      <c r="DM309" s="462"/>
      <c r="DN309" s="462"/>
      <c r="DO309" s="462"/>
      <c r="DP309" s="462"/>
      <c r="DQ309" s="462"/>
      <c r="DR309" s="462"/>
    </row>
    <row r="310" spans="2:122" s="546" customFormat="1" x14ac:dyDescent="0.2">
      <c r="B310" s="792"/>
      <c r="C310" s="1501"/>
      <c r="D310" s="1501"/>
      <c r="E310" s="1501"/>
      <c r="F310" s="1501"/>
      <c r="G310" s="1501"/>
      <c r="H310" s="1501"/>
      <c r="I310" s="1501"/>
      <c r="J310" s="1501"/>
      <c r="K310" s="1501"/>
      <c r="L310" s="1501"/>
      <c r="M310" s="1501"/>
      <c r="N310" s="1501"/>
      <c r="O310" s="1496"/>
      <c r="P310" s="1290"/>
      <c r="Q310" s="1290"/>
      <c r="R310" s="1290"/>
      <c r="S310" s="1291"/>
      <c r="T310" s="547"/>
      <c r="U310" s="547"/>
      <c r="V310" s="547"/>
      <c r="W310" s="547"/>
      <c r="X310" s="547"/>
      <c r="Y310" s="547"/>
      <c r="Z310" s="547"/>
      <c r="AA310" s="547"/>
      <c r="AB310" s="547"/>
      <c r="CQ310" s="462"/>
      <c r="CR310" s="462"/>
      <c r="CS310" s="462"/>
      <c r="CT310" s="462"/>
      <c r="CU310" s="549"/>
      <c r="CV310" s="549"/>
      <c r="CW310" s="462"/>
      <c r="CX310" s="462"/>
      <c r="CY310" s="462"/>
      <c r="CZ310" s="462"/>
      <c r="DA310" s="462"/>
      <c r="DB310" s="462"/>
      <c r="DC310" s="462"/>
      <c r="DD310" s="462"/>
      <c r="DE310" s="462"/>
      <c r="DF310" s="462"/>
      <c r="DG310" s="462"/>
      <c r="DH310" s="462"/>
      <c r="DI310" s="462"/>
      <c r="DJ310" s="462"/>
      <c r="DK310" s="462"/>
      <c r="DL310" s="462"/>
      <c r="DM310" s="462"/>
      <c r="DN310" s="462"/>
      <c r="DO310" s="462"/>
      <c r="DP310" s="462"/>
      <c r="DQ310" s="462"/>
      <c r="DR310" s="462"/>
    </row>
    <row r="311" spans="2:122" s="546" customFormat="1" x14ac:dyDescent="0.2">
      <c r="B311" s="792"/>
      <c r="C311" s="1501"/>
      <c r="D311" s="1501"/>
      <c r="E311" s="1501"/>
      <c r="F311" s="1501"/>
      <c r="G311" s="1501"/>
      <c r="H311" s="1501"/>
      <c r="I311" s="1501"/>
      <c r="J311" s="1501"/>
      <c r="K311" s="1501"/>
      <c r="L311" s="1501"/>
      <c r="M311" s="1501"/>
      <c r="N311" s="1501"/>
      <c r="O311" s="1496"/>
      <c r="P311" s="1290"/>
      <c r="Q311" s="1290"/>
      <c r="R311" s="1290"/>
      <c r="S311" s="1291"/>
      <c r="T311" s="547"/>
      <c r="U311" s="547"/>
      <c r="V311" s="547"/>
      <c r="W311" s="547"/>
      <c r="X311" s="547"/>
      <c r="Y311" s="547"/>
      <c r="Z311" s="547"/>
      <c r="AA311" s="547"/>
      <c r="AB311" s="547"/>
      <c r="CQ311" s="462"/>
      <c r="CR311" s="462"/>
      <c r="CS311" s="462"/>
      <c r="CT311" s="462"/>
      <c r="CU311" s="549"/>
      <c r="CV311" s="549"/>
      <c r="CW311" s="462"/>
      <c r="CX311" s="462"/>
      <c r="CY311" s="462"/>
      <c r="CZ311" s="462"/>
      <c r="DA311" s="462"/>
      <c r="DB311" s="462"/>
      <c r="DC311" s="462"/>
      <c r="DD311" s="462"/>
      <c r="DE311" s="462"/>
      <c r="DF311" s="462"/>
      <c r="DG311" s="462"/>
      <c r="DH311" s="462"/>
      <c r="DI311" s="462"/>
      <c r="DJ311" s="462"/>
      <c r="DK311" s="462"/>
      <c r="DL311" s="462"/>
      <c r="DM311" s="462"/>
      <c r="DN311" s="462"/>
      <c r="DO311" s="462"/>
      <c r="DP311" s="462"/>
      <c r="DQ311" s="462"/>
      <c r="DR311" s="462"/>
    </row>
    <row r="312" spans="2:122" s="546" customFormat="1" x14ac:dyDescent="0.2">
      <c r="B312" s="792"/>
      <c r="C312" s="1501"/>
      <c r="D312" s="1501"/>
      <c r="E312" s="1501"/>
      <c r="F312" s="1501"/>
      <c r="G312" s="1501"/>
      <c r="H312" s="1501"/>
      <c r="I312" s="1501"/>
      <c r="J312" s="1501"/>
      <c r="K312" s="1501"/>
      <c r="L312" s="1501"/>
      <c r="M312" s="1501"/>
      <c r="N312" s="1501"/>
      <c r="O312" s="1496"/>
      <c r="P312" s="1290"/>
      <c r="Q312" s="1290"/>
      <c r="R312" s="1290"/>
      <c r="S312" s="1291"/>
      <c r="T312" s="547"/>
      <c r="U312" s="547"/>
      <c r="V312" s="547"/>
      <c r="W312" s="547"/>
      <c r="X312" s="547"/>
      <c r="Y312" s="547"/>
      <c r="Z312" s="547"/>
      <c r="AA312" s="547"/>
      <c r="AB312" s="547"/>
      <c r="CQ312" s="462"/>
      <c r="CR312" s="462"/>
      <c r="CS312" s="462"/>
      <c r="CT312" s="462"/>
      <c r="CU312" s="549"/>
      <c r="CV312" s="549"/>
      <c r="CW312" s="462"/>
      <c r="CX312" s="462"/>
      <c r="CY312" s="462"/>
      <c r="CZ312" s="462"/>
      <c r="DA312" s="462"/>
      <c r="DB312" s="462"/>
      <c r="DC312" s="462"/>
      <c r="DD312" s="462"/>
      <c r="DE312" s="462"/>
      <c r="DF312" s="462"/>
      <c r="DG312" s="462"/>
      <c r="DH312" s="462"/>
      <c r="DI312" s="462"/>
      <c r="DJ312" s="462"/>
      <c r="DK312" s="462"/>
      <c r="DL312" s="462"/>
      <c r="DM312" s="462"/>
      <c r="DN312" s="462"/>
      <c r="DO312" s="462"/>
      <c r="DP312" s="462"/>
      <c r="DQ312" s="462"/>
      <c r="DR312" s="462"/>
    </row>
    <row r="313" spans="2:122" s="546" customFormat="1" x14ac:dyDescent="0.2">
      <c r="B313" s="792"/>
      <c r="C313" s="1501"/>
      <c r="D313" s="1501"/>
      <c r="E313" s="1501"/>
      <c r="F313" s="1501"/>
      <c r="G313" s="1501"/>
      <c r="H313" s="1501"/>
      <c r="I313" s="1501"/>
      <c r="J313" s="1501"/>
      <c r="K313" s="1501"/>
      <c r="L313" s="1501"/>
      <c r="M313" s="1501"/>
      <c r="N313" s="1501"/>
      <c r="O313" s="1496"/>
      <c r="P313" s="1290"/>
      <c r="Q313" s="1290"/>
      <c r="R313" s="1290"/>
      <c r="S313" s="1291"/>
      <c r="T313" s="547"/>
      <c r="U313" s="547"/>
      <c r="V313" s="547"/>
      <c r="W313" s="547"/>
      <c r="X313" s="547"/>
      <c r="Y313" s="547"/>
      <c r="Z313" s="547"/>
      <c r="AA313" s="547"/>
      <c r="AB313" s="547"/>
      <c r="CQ313" s="462"/>
      <c r="CR313" s="462"/>
      <c r="CS313" s="462"/>
      <c r="CT313" s="462"/>
      <c r="CU313" s="549"/>
      <c r="CV313" s="549"/>
      <c r="CW313" s="462"/>
      <c r="CX313" s="462"/>
      <c r="CY313" s="462"/>
      <c r="CZ313" s="462"/>
      <c r="DA313" s="462"/>
      <c r="DB313" s="462"/>
      <c r="DC313" s="462"/>
      <c r="DD313" s="462"/>
      <c r="DE313" s="462"/>
      <c r="DF313" s="462"/>
      <c r="DG313" s="462"/>
      <c r="DH313" s="462"/>
      <c r="DI313" s="462"/>
      <c r="DJ313" s="462"/>
      <c r="DK313" s="462"/>
      <c r="DL313" s="462"/>
      <c r="DM313" s="462"/>
      <c r="DN313" s="462"/>
      <c r="DO313" s="462"/>
      <c r="DP313" s="462"/>
      <c r="DQ313" s="462"/>
      <c r="DR313" s="462"/>
    </row>
    <row r="314" spans="2:122" s="546" customFormat="1" x14ac:dyDescent="0.2">
      <c r="B314" s="792"/>
      <c r="C314" s="1501"/>
      <c r="D314" s="1501"/>
      <c r="E314" s="1501"/>
      <c r="F314" s="1501"/>
      <c r="G314" s="1501"/>
      <c r="H314" s="1501"/>
      <c r="I314" s="1501"/>
      <c r="J314" s="1501"/>
      <c r="K314" s="1501"/>
      <c r="L314" s="1501"/>
      <c r="M314" s="1501"/>
      <c r="N314" s="1501"/>
      <c r="O314" s="1496"/>
      <c r="P314" s="1290"/>
      <c r="Q314" s="1290"/>
      <c r="R314" s="1290"/>
      <c r="S314" s="1291"/>
      <c r="T314" s="547"/>
      <c r="U314" s="547"/>
      <c r="V314" s="547"/>
      <c r="W314" s="547"/>
      <c r="X314" s="547"/>
      <c r="Y314" s="547"/>
      <c r="Z314" s="547"/>
      <c r="AA314" s="547"/>
      <c r="AB314" s="547"/>
      <c r="CQ314" s="462"/>
      <c r="CR314" s="462"/>
      <c r="CS314" s="462"/>
      <c r="CT314" s="462"/>
      <c r="CU314" s="549"/>
      <c r="CV314" s="549"/>
      <c r="CW314" s="462"/>
      <c r="CX314" s="462"/>
      <c r="CY314" s="462"/>
      <c r="CZ314" s="462"/>
      <c r="DA314" s="462"/>
      <c r="DB314" s="462"/>
      <c r="DC314" s="462"/>
      <c r="DD314" s="462"/>
      <c r="DE314" s="462"/>
      <c r="DF314" s="462"/>
      <c r="DG314" s="462"/>
      <c r="DH314" s="462"/>
      <c r="DI314" s="462"/>
      <c r="DJ314" s="462"/>
      <c r="DK314" s="462"/>
      <c r="DL314" s="462"/>
      <c r="DM314" s="462"/>
      <c r="DN314" s="462"/>
      <c r="DO314" s="462"/>
      <c r="DP314" s="462"/>
      <c r="DQ314" s="462"/>
      <c r="DR314" s="462"/>
    </row>
    <row r="315" spans="2:122" s="546" customFormat="1" x14ac:dyDescent="0.2">
      <c r="B315" s="792"/>
      <c r="C315" s="1501"/>
      <c r="D315" s="1501"/>
      <c r="E315" s="1501"/>
      <c r="F315" s="1501"/>
      <c r="G315" s="1501"/>
      <c r="H315" s="1501"/>
      <c r="I315" s="1501"/>
      <c r="J315" s="1501"/>
      <c r="K315" s="1501"/>
      <c r="L315" s="1501"/>
      <c r="M315" s="1501"/>
      <c r="N315" s="1501"/>
      <c r="O315" s="1496"/>
      <c r="P315" s="1290"/>
      <c r="Q315" s="1290"/>
      <c r="R315" s="1290"/>
      <c r="S315" s="1291"/>
      <c r="T315" s="547"/>
      <c r="U315" s="547"/>
      <c r="V315" s="547"/>
      <c r="W315" s="547"/>
      <c r="X315" s="547"/>
      <c r="Y315" s="547"/>
      <c r="Z315" s="547"/>
      <c r="AA315" s="547"/>
      <c r="AB315" s="547"/>
      <c r="CQ315" s="462"/>
      <c r="CR315" s="462"/>
      <c r="CS315" s="462"/>
      <c r="CT315" s="462"/>
      <c r="CU315" s="549"/>
      <c r="CV315" s="549"/>
      <c r="CW315" s="462"/>
      <c r="CX315" s="462"/>
      <c r="CY315" s="462"/>
      <c r="CZ315" s="462"/>
      <c r="DA315" s="462"/>
      <c r="DB315" s="462"/>
      <c r="DC315" s="462"/>
      <c r="DD315" s="462"/>
      <c r="DE315" s="462"/>
      <c r="DF315" s="462"/>
      <c r="DG315" s="462"/>
      <c r="DH315" s="462"/>
      <c r="DI315" s="462"/>
      <c r="DJ315" s="462"/>
      <c r="DK315" s="462"/>
      <c r="DL315" s="462"/>
      <c r="DM315" s="462"/>
      <c r="DN315" s="462"/>
      <c r="DO315" s="462"/>
      <c r="DP315" s="462"/>
      <c r="DQ315" s="462"/>
      <c r="DR315" s="462"/>
    </row>
    <row r="316" spans="2:122" s="546" customFormat="1" x14ac:dyDescent="0.2">
      <c r="B316" s="792"/>
      <c r="C316" s="1501"/>
      <c r="D316" s="1501"/>
      <c r="E316" s="1501"/>
      <c r="F316" s="1501"/>
      <c r="G316" s="1501"/>
      <c r="H316" s="1501"/>
      <c r="I316" s="1501"/>
      <c r="J316" s="1501"/>
      <c r="K316" s="1501"/>
      <c r="L316" s="1501"/>
      <c r="M316" s="1501"/>
      <c r="N316" s="1501"/>
      <c r="O316" s="1496"/>
      <c r="P316" s="1290"/>
      <c r="Q316" s="1290"/>
      <c r="R316" s="1290"/>
      <c r="S316" s="1291"/>
      <c r="T316" s="547"/>
      <c r="U316" s="547"/>
      <c r="V316" s="547"/>
      <c r="W316" s="547"/>
      <c r="X316" s="547"/>
      <c r="Y316" s="547"/>
      <c r="Z316" s="547"/>
      <c r="AA316" s="547"/>
      <c r="AB316" s="547"/>
      <c r="CQ316" s="462"/>
      <c r="CR316" s="462"/>
      <c r="CS316" s="462"/>
      <c r="CT316" s="462"/>
      <c r="CU316" s="549"/>
      <c r="CV316" s="549"/>
      <c r="CW316" s="462"/>
      <c r="CX316" s="462"/>
      <c r="CY316" s="462"/>
      <c r="CZ316" s="462"/>
      <c r="DA316" s="462"/>
      <c r="DB316" s="462"/>
      <c r="DC316" s="462"/>
      <c r="DD316" s="462"/>
      <c r="DE316" s="462"/>
      <c r="DF316" s="462"/>
      <c r="DG316" s="462"/>
      <c r="DH316" s="462"/>
      <c r="DI316" s="462"/>
      <c r="DJ316" s="462"/>
      <c r="DK316" s="462"/>
      <c r="DL316" s="462"/>
      <c r="DM316" s="462"/>
      <c r="DN316" s="462"/>
      <c r="DO316" s="462"/>
      <c r="DP316" s="462"/>
      <c r="DQ316" s="462"/>
      <c r="DR316" s="462"/>
    </row>
    <row r="317" spans="2:122" s="546" customFormat="1" x14ac:dyDescent="0.2">
      <c r="B317" s="792"/>
      <c r="C317" s="1501"/>
      <c r="D317" s="1501"/>
      <c r="E317" s="1501"/>
      <c r="F317" s="1501"/>
      <c r="G317" s="1501"/>
      <c r="H317" s="1501"/>
      <c r="I317" s="1501"/>
      <c r="J317" s="1501"/>
      <c r="K317" s="1501"/>
      <c r="L317" s="1501"/>
      <c r="M317" s="1501"/>
      <c r="N317" s="1501"/>
      <c r="O317" s="1496"/>
      <c r="P317" s="1290"/>
      <c r="Q317" s="1290"/>
      <c r="R317" s="1290"/>
      <c r="S317" s="1291"/>
      <c r="T317" s="547"/>
      <c r="U317" s="547"/>
      <c r="V317" s="547"/>
      <c r="W317" s="547"/>
      <c r="X317" s="547"/>
      <c r="Y317" s="547"/>
      <c r="Z317" s="547"/>
      <c r="AA317" s="547"/>
      <c r="AB317" s="547"/>
      <c r="CQ317" s="462"/>
      <c r="CR317" s="462"/>
      <c r="CS317" s="462"/>
      <c r="CT317" s="462"/>
      <c r="CU317" s="549"/>
      <c r="CV317" s="549"/>
      <c r="CW317" s="462"/>
      <c r="CX317" s="462"/>
      <c r="CY317" s="462"/>
      <c r="CZ317" s="462"/>
      <c r="DA317" s="462"/>
      <c r="DB317" s="462"/>
      <c r="DC317" s="462"/>
      <c r="DD317" s="462"/>
      <c r="DE317" s="462"/>
      <c r="DF317" s="462"/>
      <c r="DG317" s="462"/>
      <c r="DH317" s="462"/>
      <c r="DI317" s="462"/>
      <c r="DJ317" s="462"/>
      <c r="DK317" s="462"/>
      <c r="DL317" s="462"/>
      <c r="DM317" s="462"/>
      <c r="DN317" s="462"/>
      <c r="DO317" s="462"/>
      <c r="DP317" s="462"/>
      <c r="DQ317" s="462"/>
      <c r="DR317" s="462"/>
    </row>
    <row r="318" spans="2:122" s="546" customFormat="1" x14ac:dyDescent="0.2">
      <c r="B318" s="792"/>
      <c r="C318" s="1501"/>
      <c r="D318" s="1501"/>
      <c r="E318" s="1501"/>
      <c r="F318" s="1501"/>
      <c r="G318" s="1501"/>
      <c r="H318" s="1501"/>
      <c r="I318" s="1501"/>
      <c r="J318" s="1501"/>
      <c r="K318" s="1501"/>
      <c r="L318" s="1501"/>
      <c r="M318" s="1501"/>
      <c r="N318" s="1501"/>
      <c r="O318" s="1496"/>
      <c r="P318" s="1290"/>
      <c r="Q318" s="1290"/>
      <c r="R318" s="1290"/>
      <c r="S318" s="1291"/>
      <c r="T318" s="547"/>
      <c r="U318" s="547"/>
      <c r="V318" s="547"/>
      <c r="W318" s="547"/>
      <c r="X318" s="547"/>
      <c r="Y318" s="547"/>
      <c r="Z318" s="547"/>
      <c r="AA318" s="547"/>
      <c r="AB318" s="547"/>
      <c r="CQ318" s="462"/>
      <c r="CR318" s="462"/>
      <c r="CS318" s="462"/>
      <c r="CT318" s="462"/>
      <c r="CU318" s="549"/>
      <c r="CV318" s="549"/>
      <c r="CW318" s="462"/>
      <c r="CX318" s="462"/>
      <c r="CY318" s="462"/>
      <c r="CZ318" s="462"/>
      <c r="DA318" s="462"/>
      <c r="DB318" s="462"/>
      <c r="DC318" s="462"/>
      <c r="DD318" s="462"/>
      <c r="DE318" s="462"/>
      <c r="DF318" s="462"/>
      <c r="DG318" s="462"/>
      <c r="DH318" s="462"/>
      <c r="DI318" s="462"/>
      <c r="DJ318" s="462"/>
      <c r="DK318" s="462"/>
      <c r="DL318" s="462"/>
      <c r="DM318" s="462"/>
      <c r="DN318" s="462"/>
      <c r="DO318" s="462"/>
      <c r="DP318" s="462"/>
      <c r="DQ318" s="462"/>
      <c r="DR318" s="462"/>
    </row>
    <row r="319" spans="2:122" s="546" customFormat="1" x14ac:dyDescent="0.2">
      <c r="B319" s="792"/>
      <c r="C319" s="1501"/>
      <c r="D319" s="1501"/>
      <c r="E319" s="1501"/>
      <c r="F319" s="1501"/>
      <c r="G319" s="1501"/>
      <c r="H319" s="1501"/>
      <c r="I319" s="1501"/>
      <c r="J319" s="1501"/>
      <c r="K319" s="1501"/>
      <c r="L319" s="1501"/>
      <c r="M319" s="1501"/>
      <c r="N319" s="1501"/>
      <c r="O319" s="1496"/>
      <c r="P319" s="1290"/>
      <c r="Q319" s="1290"/>
      <c r="R319" s="1290"/>
      <c r="S319" s="1291"/>
      <c r="T319" s="547"/>
      <c r="U319" s="547"/>
      <c r="V319" s="547"/>
      <c r="W319" s="547"/>
      <c r="X319" s="547"/>
      <c r="Y319" s="547"/>
      <c r="Z319" s="547"/>
      <c r="AA319" s="547"/>
      <c r="AB319" s="547"/>
      <c r="CQ319" s="462"/>
      <c r="CR319" s="462"/>
      <c r="CS319" s="462"/>
      <c r="CT319" s="462"/>
      <c r="CU319" s="549"/>
      <c r="CV319" s="549"/>
      <c r="CW319" s="462"/>
      <c r="CX319" s="462"/>
      <c r="CY319" s="462"/>
      <c r="CZ319" s="462"/>
      <c r="DA319" s="462"/>
      <c r="DB319" s="462"/>
      <c r="DC319" s="462"/>
      <c r="DD319" s="462"/>
      <c r="DE319" s="462"/>
      <c r="DF319" s="462"/>
      <c r="DG319" s="462"/>
      <c r="DH319" s="462"/>
      <c r="DI319" s="462"/>
      <c r="DJ319" s="462"/>
      <c r="DK319" s="462"/>
      <c r="DL319" s="462"/>
      <c r="DM319" s="462"/>
      <c r="DN319" s="462"/>
      <c r="DO319" s="462"/>
      <c r="DP319" s="462"/>
      <c r="DQ319" s="462"/>
      <c r="DR319" s="462"/>
    </row>
    <row r="320" spans="2:122" s="546" customFormat="1" x14ac:dyDescent="0.2">
      <c r="B320" s="792"/>
      <c r="C320" s="1501"/>
      <c r="D320" s="1501"/>
      <c r="E320" s="1501"/>
      <c r="F320" s="1501"/>
      <c r="G320" s="1501"/>
      <c r="H320" s="1501"/>
      <c r="I320" s="1501"/>
      <c r="J320" s="1501"/>
      <c r="K320" s="1501"/>
      <c r="L320" s="1501"/>
      <c r="M320" s="1501"/>
      <c r="N320" s="1501"/>
      <c r="O320" s="1496"/>
      <c r="P320" s="1290"/>
      <c r="Q320" s="1290"/>
      <c r="R320" s="1290"/>
      <c r="S320" s="1291"/>
      <c r="T320" s="547"/>
      <c r="U320" s="547"/>
      <c r="V320" s="547"/>
      <c r="W320" s="547"/>
      <c r="X320" s="547"/>
      <c r="Y320" s="547"/>
      <c r="Z320" s="547"/>
      <c r="AA320" s="547"/>
      <c r="AB320" s="547"/>
      <c r="CQ320" s="462"/>
      <c r="CR320" s="462"/>
      <c r="CS320" s="462"/>
      <c r="CT320" s="462"/>
      <c r="CU320" s="549"/>
      <c r="CV320" s="549"/>
      <c r="CW320" s="462"/>
      <c r="CX320" s="462"/>
      <c r="CY320" s="462"/>
      <c r="CZ320" s="462"/>
      <c r="DA320" s="462"/>
      <c r="DB320" s="462"/>
      <c r="DC320" s="462"/>
      <c r="DD320" s="462"/>
      <c r="DE320" s="462"/>
      <c r="DF320" s="462"/>
      <c r="DG320" s="462"/>
      <c r="DH320" s="462"/>
      <c r="DI320" s="462"/>
      <c r="DJ320" s="462"/>
      <c r="DK320" s="462"/>
      <c r="DL320" s="462"/>
      <c r="DM320" s="462"/>
      <c r="DN320" s="462"/>
      <c r="DO320" s="462"/>
      <c r="DP320" s="462"/>
      <c r="DQ320" s="462"/>
      <c r="DR320" s="462"/>
    </row>
    <row r="321" spans="2:122" s="546" customFormat="1" x14ac:dyDescent="0.2">
      <c r="B321" s="792"/>
      <c r="C321" s="1501"/>
      <c r="D321" s="1501"/>
      <c r="E321" s="1501"/>
      <c r="F321" s="1501"/>
      <c r="G321" s="1501"/>
      <c r="H321" s="1501"/>
      <c r="I321" s="1501"/>
      <c r="J321" s="1501"/>
      <c r="K321" s="1501"/>
      <c r="L321" s="1501"/>
      <c r="M321" s="1501"/>
      <c r="N321" s="1501"/>
      <c r="O321" s="1496"/>
      <c r="P321" s="1290"/>
      <c r="Q321" s="1290"/>
      <c r="R321" s="1290"/>
      <c r="S321" s="1291"/>
      <c r="T321" s="547"/>
      <c r="U321" s="547"/>
      <c r="V321" s="547"/>
      <c r="W321" s="547"/>
      <c r="X321" s="547"/>
      <c r="Y321" s="547"/>
      <c r="Z321" s="547"/>
      <c r="AA321" s="547"/>
      <c r="AB321" s="547"/>
      <c r="CQ321" s="462"/>
      <c r="CR321" s="462"/>
      <c r="CS321" s="462"/>
      <c r="CT321" s="462"/>
      <c r="CU321" s="549"/>
      <c r="CV321" s="549"/>
      <c r="CW321" s="462"/>
      <c r="CX321" s="462"/>
      <c r="CY321" s="462"/>
      <c r="CZ321" s="462"/>
      <c r="DA321" s="462"/>
      <c r="DB321" s="462"/>
      <c r="DC321" s="462"/>
      <c r="DD321" s="462"/>
      <c r="DE321" s="462"/>
      <c r="DF321" s="462"/>
      <c r="DG321" s="462"/>
      <c r="DH321" s="462"/>
      <c r="DI321" s="462"/>
      <c r="DJ321" s="462"/>
      <c r="DK321" s="462"/>
      <c r="DL321" s="462"/>
      <c r="DM321" s="462"/>
      <c r="DN321" s="462"/>
      <c r="DO321" s="462"/>
      <c r="DP321" s="462"/>
      <c r="DQ321" s="462"/>
      <c r="DR321" s="462"/>
    </row>
    <row r="322" spans="2:122" s="546" customFormat="1" x14ac:dyDescent="0.2">
      <c r="B322" s="792"/>
      <c r="C322" s="1501"/>
      <c r="D322" s="1501"/>
      <c r="E322" s="1501"/>
      <c r="F322" s="1501"/>
      <c r="G322" s="1501"/>
      <c r="H322" s="1501"/>
      <c r="I322" s="1501"/>
      <c r="J322" s="1501"/>
      <c r="K322" s="1501"/>
      <c r="L322" s="1501"/>
      <c r="M322" s="1501"/>
      <c r="N322" s="1501"/>
      <c r="O322" s="1496"/>
      <c r="P322" s="1290"/>
      <c r="Q322" s="1290"/>
      <c r="R322" s="1290"/>
      <c r="S322" s="1291"/>
      <c r="T322" s="547"/>
      <c r="U322" s="547"/>
      <c r="V322" s="547"/>
      <c r="W322" s="547"/>
      <c r="X322" s="547"/>
      <c r="Y322" s="547"/>
      <c r="Z322" s="547"/>
      <c r="AA322" s="547"/>
      <c r="AB322" s="547"/>
      <c r="CQ322" s="462"/>
      <c r="CR322" s="462"/>
      <c r="CS322" s="462"/>
      <c r="CT322" s="462"/>
      <c r="CU322" s="549"/>
      <c r="CV322" s="549"/>
      <c r="CW322" s="462"/>
      <c r="CX322" s="462"/>
      <c r="CY322" s="462"/>
      <c r="CZ322" s="462"/>
      <c r="DA322" s="462"/>
      <c r="DB322" s="462"/>
      <c r="DC322" s="462"/>
      <c r="DD322" s="462"/>
      <c r="DE322" s="462"/>
      <c r="DF322" s="462"/>
      <c r="DG322" s="462"/>
      <c r="DH322" s="462"/>
      <c r="DI322" s="462"/>
      <c r="DJ322" s="462"/>
      <c r="DK322" s="462"/>
      <c r="DL322" s="462"/>
      <c r="DM322" s="462"/>
      <c r="DN322" s="462"/>
      <c r="DO322" s="462"/>
      <c r="DP322" s="462"/>
      <c r="DQ322" s="462"/>
      <c r="DR322" s="462"/>
    </row>
    <row r="323" spans="2:122" s="546" customFormat="1" x14ac:dyDescent="0.2">
      <c r="B323" s="792"/>
      <c r="C323" s="1501"/>
      <c r="D323" s="1501"/>
      <c r="E323" s="1501"/>
      <c r="F323" s="1501"/>
      <c r="G323" s="1501"/>
      <c r="H323" s="1501"/>
      <c r="I323" s="1501"/>
      <c r="J323" s="1501"/>
      <c r="K323" s="1501"/>
      <c r="L323" s="1501"/>
      <c r="M323" s="1501"/>
      <c r="N323" s="1501"/>
      <c r="O323" s="1496"/>
      <c r="P323" s="1290"/>
      <c r="Q323" s="1290"/>
      <c r="R323" s="1290"/>
      <c r="S323" s="1291"/>
      <c r="T323" s="547"/>
      <c r="U323" s="547"/>
      <c r="V323" s="547"/>
      <c r="W323" s="547"/>
      <c r="X323" s="547"/>
      <c r="Y323" s="547"/>
      <c r="Z323" s="547"/>
      <c r="AA323" s="547"/>
      <c r="AB323" s="547"/>
      <c r="CQ323" s="462"/>
      <c r="CR323" s="462"/>
      <c r="CS323" s="462"/>
      <c r="CT323" s="462"/>
      <c r="CU323" s="549"/>
      <c r="CV323" s="549"/>
      <c r="CW323" s="462"/>
      <c r="CX323" s="462"/>
      <c r="CY323" s="462"/>
      <c r="CZ323" s="462"/>
      <c r="DA323" s="462"/>
      <c r="DB323" s="462"/>
      <c r="DC323" s="462"/>
      <c r="DD323" s="462"/>
      <c r="DE323" s="462"/>
      <c r="DF323" s="462"/>
      <c r="DG323" s="462"/>
      <c r="DH323" s="462"/>
      <c r="DI323" s="462"/>
      <c r="DJ323" s="462"/>
      <c r="DK323" s="462"/>
      <c r="DL323" s="462"/>
      <c r="DM323" s="462"/>
      <c r="DN323" s="462"/>
      <c r="DO323" s="462"/>
      <c r="DP323" s="462"/>
      <c r="DQ323" s="462"/>
      <c r="DR323" s="462"/>
    </row>
    <row r="324" spans="2:122" s="546" customFormat="1" x14ac:dyDescent="0.2">
      <c r="B324" s="792"/>
      <c r="C324" s="1501"/>
      <c r="D324" s="1501"/>
      <c r="E324" s="1501"/>
      <c r="F324" s="1501"/>
      <c r="G324" s="1501"/>
      <c r="H324" s="1501"/>
      <c r="I324" s="1501"/>
      <c r="J324" s="1501"/>
      <c r="K324" s="1501"/>
      <c r="L324" s="1501"/>
      <c r="M324" s="1501"/>
      <c r="N324" s="1501"/>
      <c r="O324" s="1496"/>
      <c r="P324" s="1290"/>
      <c r="Q324" s="1290"/>
      <c r="R324" s="1290"/>
      <c r="S324" s="1291"/>
      <c r="T324" s="547"/>
      <c r="U324" s="547"/>
      <c r="V324" s="547"/>
      <c r="W324" s="547"/>
      <c r="X324" s="547"/>
      <c r="Y324" s="547"/>
      <c r="Z324" s="547"/>
      <c r="AA324" s="547"/>
      <c r="AB324" s="547"/>
      <c r="CQ324" s="462"/>
      <c r="CR324" s="462"/>
      <c r="CS324" s="462"/>
      <c r="CT324" s="462"/>
      <c r="CU324" s="549"/>
      <c r="CV324" s="549"/>
      <c r="CW324" s="462"/>
      <c r="CX324" s="462"/>
      <c r="CY324" s="462"/>
      <c r="CZ324" s="462"/>
      <c r="DA324" s="462"/>
      <c r="DB324" s="462"/>
      <c r="DC324" s="462"/>
      <c r="DD324" s="462"/>
      <c r="DE324" s="462"/>
      <c r="DF324" s="462"/>
      <c r="DG324" s="462"/>
      <c r="DH324" s="462"/>
      <c r="DI324" s="462"/>
      <c r="DJ324" s="462"/>
      <c r="DK324" s="462"/>
      <c r="DL324" s="462"/>
      <c r="DM324" s="462"/>
      <c r="DN324" s="462"/>
      <c r="DO324" s="462"/>
      <c r="DP324" s="462"/>
      <c r="DQ324" s="462"/>
      <c r="DR324" s="462"/>
    </row>
    <row r="325" spans="2:122" s="546" customFormat="1" x14ac:dyDescent="0.2">
      <c r="B325" s="792"/>
      <c r="C325" s="1501"/>
      <c r="D325" s="1501"/>
      <c r="E325" s="1501"/>
      <c r="F325" s="1501"/>
      <c r="G325" s="1501"/>
      <c r="H325" s="1501"/>
      <c r="I325" s="1501"/>
      <c r="J325" s="1501"/>
      <c r="K325" s="1501"/>
      <c r="L325" s="1501"/>
      <c r="M325" s="1501"/>
      <c r="N325" s="1501"/>
      <c r="O325" s="1496"/>
      <c r="P325" s="1290"/>
      <c r="Q325" s="1290"/>
      <c r="R325" s="1290"/>
      <c r="S325" s="1291"/>
      <c r="T325" s="547"/>
      <c r="U325" s="547"/>
      <c r="V325" s="547"/>
      <c r="W325" s="547"/>
      <c r="X325" s="547"/>
      <c r="Y325" s="547"/>
      <c r="Z325" s="547"/>
      <c r="AA325" s="547"/>
      <c r="AB325" s="547"/>
      <c r="CQ325" s="462"/>
      <c r="CR325" s="462"/>
      <c r="CS325" s="462"/>
      <c r="CT325" s="462"/>
      <c r="CU325" s="549"/>
      <c r="CV325" s="549"/>
      <c r="CW325" s="462"/>
      <c r="CX325" s="462"/>
      <c r="CY325" s="462"/>
      <c r="CZ325" s="462"/>
      <c r="DA325" s="462"/>
      <c r="DB325" s="462"/>
      <c r="DC325" s="462"/>
      <c r="DD325" s="462"/>
      <c r="DE325" s="462"/>
      <c r="DF325" s="462"/>
      <c r="DG325" s="462"/>
      <c r="DH325" s="462"/>
      <c r="DI325" s="462"/>
      <c r="DJ325" s="462"/>
      <c r="DK325" s="462"/>
      <c r="DL325" s="462"/>
      <c r="DM325" s="462"/>
      <c r="DN325" s="462"/>
      <c r="DO325" s="462"/>
      <c r="DP325" s="462"/>
      <c r="DQ325" s="462"/>
      <c r="DR325" s="462"/>
    </row>
    <row r="326" spans="2:122" s="546" customFormat="1" x14ac:dyDescent="0.2">
      <c r="B326" s="792"/>
      <c r="C326" s="1501"/>
      <c r="D326" s="1501"/>
      <c r="E326" s="1501"/>
      <c r="F326" s="1501"/>
      <c r="G326" s="1501"/>
      <c r="H326" s="1501"/>
      <c r="I326" s="1501"/>
      <c r="J326" s="1501"/>
      <c r="K326" s="1501"/>
      <c r="L326" s="1501"/>
      <c r="M326" s="1501"/>
      <c r="N326" s="1501"/>
      <c r="O326" s="1496"/>
      <c r="P326" s="1290"/>
      <c r="Q326" s="1290"/>
      <c r="R326" s="1290"/>
      <c r="S326" s="1291"/>
      <c r="T326" s="547"/>
      <c r="U326" s="547"/>
      <c r="V326" s="547"/>
      <c r="W326" s="547"/>
      <c r="X326" s="547"/>
      <c r="Y326" s="547"/>
      <c r="Z326" s="547"/>
      <c r="AA326" s="547"/>
      <c r="AB326" s="547"/>
      <c r="CQ326" s="462"/>
      <c r="CR326" s="462"/>
      <c r="CS326" s="462"/>
      <c r="CT326" s="462"/>
      <c r="CU326" s="549"/>
      <c r="CV326" s="549"/>
      <c r="CW326" s="462"/>
      <c r="CX326" s="462"/>
      <c r="CY326" s="462"/>
      <c r="CZ326" s="462"/>
      <c r="DA326" s="462"/>
      <c r="DB326" s="462"/>
      <c r="DC326" s="462"/>
      <c r="DD326" s="462"/>
      <c r="DE326" s="462"/>
      <c r="DF326" s="462"/>
      <c r="DG326" s="462"/>
      <c r="DH326" s="462"/>
      <c r="DI326" s="462"/>
      <c r="DJ326" s="462"/>
      <c r="DK326" s="462"/>
      <c r="DL326" s="462"/>
      <c r="DM326" s="462"/>
      <c r="DN326" s="462"/>
      <c r="DO326" s="462"/>
      <c r="DP326" s="462"/>
      <c r="DQ326" s="462"/>
      <c r="DR326" s="462"/>
    </row>
    <row r="327" spans="2:122" s="546" customFormat="1" x14ac:dyDescent="0.2">
      <c r="B327" s="792"/>
      <c r="C327" s="1501"/>
      <c r="D327" s="1501"/>
      <c r="E327" s="1501"/>
      <c r="F327" s="1501"/>
      <c r="G327" s="1501"/>
      <c r="H327" s="1501"/>
      <c r="I327" s="1501"/>
      <c r="J327" s="1501"/>
      <c r="K327" s="1501"/>
      <c r="L327" s="1501"/>
      <c r="M327" s="1501"/>
      <c r="N327" s="1501"/>
      <c r="O327" s="1496"/>
      <c r="P327" s="1290"/>
      <c r="Q327" s="1290"/>
      <c r="R327" s="1290"/>
      <c r="S327" s="1291"/>
      <c r="T327" s="547"/>
      <c r="U327" s="547"/>
      <c r="V327" s="547"/>
      <c r="W327" s="547"/>
      <c r="X327" s="547"/>
      <c r="Y327" s="547"/>
      <c r="Z327" s="547"/>
      <c r="AA327" s="547"/>
      <c r="AB327" s="547"/>
      <c r="CQ327" s="462"/>
      <c r="CR327" s="462"/>
      <c r="CS327" s="462"/>
      <c r="CT327" s="462"/>
      <c r="CU327" s="549"/>
      <c r="CV327" s="549"/>
      <c r="CW327" s="462"/>
      <c r="CX327" s="462"/>
      <c r="CY327" s="462"/>
      <c r="CZ327" s="462"/>
      <c r="DA327" s="462"/>
      <c r="DB327" s="462"/>
      <c r="DC327" s="462"/>
      <c r="DD327" s="462"/>
      <c r="DE327" s="462"/>
      <c r="DF327" s="462"/>
      <c r="DG327" s="462"/>
      <c r="DH327" s="462"/>
      <c r="DI327" s="462"/>
      <c r="DJ327" s="462"/>
      <c r="DK327" s="462"/>
      <c r="DL327" s="462"/>
      <c r="DM327" s="462"/>
      <c r="DN327" s="462"/>
      <c r="DO327" s="462"/>
      <c r="DP327" s="462"/>
      <c r="DQ327" s="462"/>
      <c r="DR327" s="462"/>
    </row>
    <row r="328" spans="2:122" s="546" customFormat="1" x14ac:dyDescent="0.2">
      <c r="B328" s="792"/>
      <c r="C328" s="1501"/>
      <c r="D328" s="1501"/>
      <c r="E328" s="1501"/>
      <c r="F328" s="1501"/>
      <c r="G328" s="1501"/>
      <c r="H328" s="1501"/>
      <c r="I328" s="1501"/>
      <c r="J328" s="1501"/>
      <c r="K328" s="1501"/>
      <c r="L328" s="1501"/>
      <c r="M328" s="1501"/>
      <c r="N328" s="1501"/>
      <c r="O328" s="1496"/>
      <c r="P328" s="1290"/>
      <c r="Q328" s="1290"/>
      <c r="R328" s="1290"/>
      <c r="S328" s="1291"/>
      <c r="T328" s="547"/>
      <c r="U328" s="547"/>
      <c r="V328" s="547"/>
      <c r="W328" s="547"/>
      <c r="X328" s="547"/>
      <c r="Y328" s="547"/>
      <c r="Z328" s="547"/>
      <c r="AA328" s="547"/>
      <c r="AB328" s="547"/>
      <c r="CQ328" s="462"/>
      <c r="CR328" s="462"/>
      <c r="CS328" s="462"/>
      <c r="CT328" s="462"/>
      <c r="CU328" s="549"/>
      <c r="CV328" s="549"/>
      <c r="CW328" s="462"/>
      <c r="CX328" s="462"/>
      <c r="CY328" s="462"/>
      <c r="CZ328" s="462"/>
      <c r="DA328" s="462"/>
      <c r="DB328" s="462"/>
      <c r="DC328" s="462"/>
      <c r="DD328" s="462"/>
      <c r="DE328" s="462"/>
      <c r="DF328" s="462"/>
      <c r="DG328" s="462"/>
      <c r="DH328" s="462"/>
      <c r="DI328" s="462"/>
      <c r="DJ328" s="462"/>
      <c r="DK328" s="462"/>
      <c r="DL328" s="462"/>
      <c r="DM328" s="462"/>
      <c r="DN328" s="462"/>
      <c r="DO328" s="462"/>
      <c r="DP328" s="462"/>
      <c r="DQ328" s="462"/>
      <c r="DR328" s="462"/>
    </row>
    <row r="329" spans="2:122" s="546" customFormat="1" x14ac:dyDescent="0.2">
      <c r="B329" s="792"/>
      <c r="C329" s="1501"/>
      <c r="D329" s="1501"/>
      <c r="E329" s="1501"/>
      <c r="F329" s="1501"/>
      <c r="G329" s="1501"/>
      <c r="H329" s="1501"/>
      <c r="I329" s="1501"/>
      <c r="J329" s="1501"/>
      <c r="K329" s="1501"/>
      <c r="L329" s="1501"/>
      <c r="M329" s="1501"/>
      <c r="N329" s="1501"/>
      <c r="O329" s="1496"/>
      <c r="P329" s="1290"/>
      <c r="Q329" s="1290"/>
      <c r="R329" s="1290"/>
      <c r="S329" s="1291"/>
      <c r="T329" s="547"/>
      <c r="U329" s="547"/>
      <c r="V329" s="547"/>
      <c r="W329" s="547"/>
      <c r="X329" s="547"/>
      <c r="Y329" s="547"/>
      <c r="Z329" s="547"/>
      <c r="AA329" s="547"/>
      <c r="AB329" s="547"/>
      <c r="CQ329" s="462"/>
      <c r="CR329" s="462"/>
      <c r="CS329" s="462"/>
      <c r="CT329" s="462"/>
      <c r="CU329" s="549"/>
      <c r="CV329" s="549"/>
      <c r="CW329" s="462"/>
      <c r="CX329" s="462"/>
      <c r="CY329" s="462"/>
      <c r="CZ329" s="462"/>
      <c r="DA329" s="462"/>
      <c r="DB329" s="462"/>
      <c r="DC329" s="462"/>
      <c r="DD329" s="462"/>
      <c r="DE329" s="462"/>
      <c r="DF329" s="462"/>
      <c r="DG329" s="462"/>
      <c r="DH329" s="462"/>
      <c r="DI329" s="462"/>
      <c r="DJ329" s="462"/>
      <c r="DK329" s="462"/>
      <c r="DL329" s="462"/>
      <c r="DM329" s="462"/>
      <c r="DN329" s="462"/>
      <c r="DO329" s="462"/>
      <c r="DP329" s="462"/>
      <c r="DQ329" s="462"/>
      <c r="DR329" s="462"/>
    </row>
    <row r="330" spans="2:122" s="546" customFormat="1" x14ac:dyDescent="0.2">
      <c r="B330" s="792"/>
      <c r="C330" s="1501"/>
      <c r="D330" s="1501"/>
      <c r="E330" s="1501"/>
      <c r="F330" s="1501"/>
      <c r="G330" s="1501"/>
      <c r="H330" s="1501"/>
      <c r="I330" s="1501"/>
      <c r="J330" s="1501"/>
      <c r="K330" s="1501"/>
      <c r="L330" s="1501"/>
      <c r="M330" s="1501"/>
      <c r="N330" s="1501"/>
      <c r="O330" s="1496"/>
      <c r="P330" s="1290"/>
      <c r="Q330" s="1290"/>
      <c r="R330" s="1290"/>
      <c r="S330" s="1291"/>
      <c r="T330" s="547"/>
      <c r="U330" s="547"/>
      <c r="V330" s="547"/>
      <c r="W330" s="547"/>
      <c r="X330" s="547"/>
      <c r="Y330" s="547"/>
      <c r="Z330" s="547"/>
      <c r="AA330" s="547"/>
      <c r="AB330" s="547"/>
      <c r="CQ330" s="462"/>
      <c r="CR330" s="462"/>
      <c r="CS330" s="462"/>
      <c r="CT330" s="462"/>
      <c r="CU330" s="549"/>
      <c r="CV330" s="549"/>
      <c r="CW330" s="462"/>
      <c r="CX330" s="462"/>
      <c r="CY330" s="462"/>
      <c r="CZ330" s="462"/>
      <c r="DA330" s="462"/>
      <c r="DB330" s="462"/>
      <c r="DC330" s="462"/>
      <c r="DD330" s="462"/>
      <c r="DE330" s="462"/>
      <c r="DF330" s="462"/>
      <c r="DG330" s="462"/>
      <c r="DH330" s="462"/>
      <c r="DI330" s="462"/>
      <c r="DJ330" s="462"/>
      <c r="DK330" s="462"/>
      <c r="DL330" s="462"/>
      <c r="DM330" s="462"/>
      <c r="DN330" s="462"/>
      <c r="DO330" s="462"/>
      <c r="DP330" s="462"/>
      <c r="DQ330" s="462"/>
      <c r="DR330" s="462"/>
    </row>
    <row r="331" spans="2:122" s="546" customFormat="1" x14ac:dyDescent="0.2">
      <c r="B331" s="792"/>
      <c r="C331" s="1501"/>
      <c r="D331" s="1501"/>
      <c r="E331" s="1501"/>
      <c r="F331" s="1501"/>
      <c r="G331" s="1501"/>
      <c r="H331" s="1501"/>
      <c r="I331" s="1501"/>
      <c r="J331" s="1501"/>
      <c r="K331" s="1501"/>
      <c r="L331" s="1501"/>
      <c r="M331" s="1501"/>
      <c r="N331" s="1501"/>
      <c r="O331" s="1496"/>
      <c r="P331" s="1290"/>
      <c r="Q331" s="1290"/>
      <c r="R331" s="1290"/>
      <c r="S331" s="1291"/>
      <c r="T331" s="547"/>
      <c r="U331" s="547"/>
      <c r="V331" s="547"/>
      <c r="W331" s="547"/>
      <c r="X331" s="547"/>
      <c r="Y331" s="547"/>
      <c r="Z331" s="547"/>
      <c r="AA331" s="547"/>
      <c r="AB331" s="547"/>
      <c r="CQ331" s="462"/>
      <c r="CR331" s="462"/>
      <c r="CS331" s="462"/>
      <c r="CT331" s="462"/>
      <c r="CU331" s="549"/>
      <c r="CV331" s="549"/>
      <c r="CW331" s="462"/>
      <c r="CX331" s="462"/>
      <c r="CY331" s="462"/>
      <c r="CZ331" s="462"/>
      <c r="DA331" s="462"/>
      <c r="DB331" s="462"/>
      <c r="DC331" s="462"/>
      <c r="DD331" s="462"/>
      <c r="DE331" s="462"/>
      <c r="DF331" s="462"/>
      <c r="DG331" s="462"/>
      <c r="DH331" s="462"/>
      <c r="DI331" s="462"/>
      <c r="DJ331" s="462"/>
      <c r="DK331" s="462"/>
      <c r="DL331" s="462"/>
      <c r="DM331" s="462"/>
      <c r="DN331" s="462"/>
      <c r="DO331" s="462"/>
      <c r="DP331" s="462"/>
      <c r="DQ331" s="462"/>
      <c r="DR331" s="462"/>
    </row>
    <row r="332" spans="2:122" s="546" customFormat="1" x14ac:dyDescent="0.2">
      <c r="B332" s="792"/>
      <c r="C332" s="1501"/>
      <c r="D332" s="1501"/>
      <c r="E332" s="1501"/>
      <c r="F332" s="1501"/>
      <c r="G332" s="1501"/>
      <c r="H332" s="1501"/>
      <c r="I332" s="1501"/>
      <c r="J332" s="1501"/>
      <c r="K332" s="1501"/>
      <c r="L332" s="1501"/>
      <c r="M332" s="1501"/>
      <c r="N332" s="1501"/>
      <c r="O332" s="1496"/>
      <c r="P332" s="1290"/>
      <c r="Q332" s="1290"/>
      <c r="R332" s="1290"/>
      <c r="S332" s="1291"/>
      <c r="T332" s="547"/>
      <c r="U332" s="547"/>
      <c r="V332" s="547"/>
      <c r="W332" s="547"/>
      <c r="X332" s="547"/>
      <c r="Y332" s="547"/>
      <c r="Z332" s="547"/>
      <c r="AA332" s="547"/>
      <c r="AB332" s="547"/>
      <c r="CQ332" s="462"/>
      <c r="CR332" s="462"/>
      <c r="CS332" s="462"/>
      <c r="CT332" s="462"/>
      <c r="CU332" s="549"/>
      <c r="CV332" s="549"/>
      <c r="CW332" s="462"/>
      <c r="CX332" s="462"/>
      <c r="CY332" s="462"/>
      <c r="CZ332" s="462"/>
      <c r="DA332" s="462"/>
      <c r="DB332" s="462"/>
      <c r="DC332" s="462"/>
      <c r="DD332" s="462"/>
      <c r="DE332" s="462"/>
      <c r="DF332" s="462"/>
      <c r="DG332" s="462"/>
      <c r="DH332" s="462"/>
      <c r="DI332" s="462"/>
      <c r="DJ332" s="462"/>
      <c r="DK332" s="462"/>
      <c r="DL332" s="462"/>
      <c r="DM332" s="462"/>
      <c r="DN332" s="462"/>
      <c r="DO332" s="462"/>
      <c r="DP332" s="462"/>
      <c r="DQ332" s="462"/>
      <c r="DR332" s="462"/>
    </row>
    <row r="333" spans="2:122" s="546" customFormat="1" x14ac:dyDescent="0.2">
      <c r="B333" s="792"/>
      <c r="C333" s="1501"/>
      <c r="D333" s="1501"/>
      <c r="E333" s="1501"/>
      <c r="F333" s="1501"/>
      <c r="G333" s="1501"/>
      <c r="H333" s="1501"/>
      <c r="I333" s="1501"/>
      <c r="J333" s="1501"/>
      <c r="K333" s="1501"/>
      <c r="L333" s="1501"/>
      <c r="M333" s="1501"/>
      <c r="N333" s="1501"/>
      <c r="O333" s="1496"/>
      <c r="P333" s="1290"/>
      <c r="Q333" s="1290"/>
      <c r="R333" s="1290"/>
      <c r="S333" s="1291"/>
      <c r="T333" s="547"/>
      <c r="U333" s="547"/>
      <c r="V333" s="547"/>
      <c r="W333" s="547"/>
      <c r="X333" s="547"/>
      <c r="Y333" s="547"/>
      <c r="Z333" s="547"/>
      <c r="AA333" s="547"/>
      <c r="AB333" s="547"/>
      <c r="CQ333" s="462"/>
      <c r="CR333" s="462"/>
      <c r="CS333" s="462"/>
      <c r="CT333" s="462"/>
      <c r="CU333" s="549"/>
      <c r="CV333" s="549"/>
      <c r="CW333" s="462"/>
      <c r="CX333" s="462"/>
      <c r="CY333" s="462"/>
      <c r="CZ333" s="462"/>
      <c r="DA333" s="462"/>
      <c r="DB333" s="462"/>
      <c r="DC333" s="462"/>
      <c r="DD333" s="462"/>
      <c r="DE333" s="462"/>
      <c r="DF333" s="462"/>
      <c r="DG333" s="462"/>
      <c r="DH333" s="462"/>
      <c r="DI333" s="462"/>
      <c r="DJ333" s="462"/>
      <c r="DK333" s="462"/>
      <c r="DL333" s="462"/>
      <c r="DM333" s="462"/>
      <c r="DN333" s="462"/>
      <c r="DO333" s="462"/>
      <c r="DP333" s="462"/>
      <c r="DQ333" s="462"/>
      <c r="DR333" s="462"/>
    </row>
    <row r="334" spans="2:122" s="546" customFormat="1" x14ac:dyDescent="0.2">
      <c r="B334" s="792"/>
      <c r="C334" s="1501"/>
      <c r="D334" s="1501"/>
      <c r="E334" s="1501"/>
      <c r="F334" s="1501"/>
      <c r="G334" s="1501"/>
      <c r="H334" s="1501"/>
      <c r="I334" s="1501"/>
      <c r="J334" s="1501"/>
      <c r="K334" s="1501"/>
      <c r="L334" s="1501"/>
      <c r="M334" s="1501"/>
      <c r="N334" s="1501"/>
      <c r="O334" s="1496"/>
      <c r="P334" s="1290"/>
      <c r="Q334" s="1290"/>
      <c r="R334" s="1290"/>
      <c r="S334" s="1291"/>
      <c r="T334" s="547"/>
      <c r="U334" s="547"/>
      <c r="V334" s="547"/>
      <c r="W334" s="547"/>
      <c r="X334" s="547"/>
      <c r="Y334" s="547"/>
      <c r="Z334" s="547"/>
      <c r="AA334" s="547"/>
      <c r="AB334" s="547"/>
      <c r="CQ334" s="462"/>
      <c r="CR334" s="462"/>
      <c r="CS334" s="462"/>
      <c r="CT334" s="462"/>
      <c r="CU334" s="549"/>
      <c r="CV334" s="549"/>
      <c r="CW334" s="462"/>
      <c r="CX334" s="462"/>
      <c r="CY334" s="462"/>
      <c r="CZ334" s="462"/>
      <c r="DA334" s="462"/>
      <c r="DB334" s="462"/>
      <c r="DC334" s="462"/>
      <c r="DD334" s="462"/>
      <c r="DE334" s="462"/>
      <c r="DF334" s="462"/>
      <c r="DG334" s="462"/>
      <c r="DH334" s="462"/>
      <c r="DI334" s="462"/>
      <c r="DJ334" s="462"/>
      <c r="DK334" s="462"/>
      <c r="DL334" s="462"/>
      <c r="DM334" s="462"/>
      <c r="DN334" s="462"/>
      <c r="DO334" s="462"/>
      <c r="DP334" s="462"/>
      <c r="DQ334" s="462"/>
      <c r="DR334" s="462"/>
    </row>
    <row r="335" spans="2:122" s="546" customFormat="1" x14ac:dyDescent="0.2">
      <c r="B335" s="792"/>
      <c r="C335" s="1501"/>
      <c r="D335" s="1501"/>
      <c r="E335" s="1501"/>
      <c r="F335" s="1501"/>
      <c r="G335" s="1501"/>
      <c r="H335" s="1501"/>
      <c r="I335" s="1501"/>
      <c r="J335" s="1501"/>
      <c r="K335" s="1501"/>
      <c r="L335" s="1501"/>
      <c r="M335" s="1501"/>
      <c r="N335" s="1501"/>
      <c r="O335" s="1496"/>
      <c r="P335" s="1290"/>
      <c r="Q335" s="1290"/>
      <c r="R335" s="1290"/>
      <c r="S335" s="1291"/>
      <c r="T335" s="547"/>
      <c r="U335" s="547"/>
      <c r="V335" s="547"/>
      <c r="W335" s="547"/>
      <c r="X335" s="547"/>
      <c r="Y335" s="547"/>
      <c r="Z335" s="547"/>
      <c r="AA335" s="547"/>
      <c r="AB335" s="547"/>
      <c r="CQ335" s="462"/>
      <c r="CR335" s="462"/>
      <c r="CS335" s="462"/>
      <c r="CT335" s="462"/>
      <c r="CU335" s="549"/>
      <c r="CV335" s="549"/>
      <c r="CW335" s="462"/>
      <c r="CX335" s="462"/>
      <c r="CY335" s="462"/>
      <c r="CZ335" s="462"/>
      <c r="DA335" s="462"/>
      <c r="DB335" s="462"/>
      <c r="DC335" s="462"/>
      <c r="DD335" s="462"/>
      <c r="DE335" s="462"/>
      <c r="DF335" s="462"/>
      <c r="DG335" s="462"/>
      <c r="DH335" s="462"/>
      <c r="DI335" s="462"/>
      <c r="DJ335" s="462"/>
      <c r="DK335" s="462"/>
      <c r="DL335" s="462"/>
      <c r="DM335" s="462"/>
      <c r="DN335" s="462"/>
      <c r="DO335" s="462"/>
      <c r="DP335" s="462"/>
      <c r="DQ335" s="462"/>
      <c r="DR335" s="462"/>
    </row>
    <row r="336" spans="2:122" s="546" customFormat="1" x14ac:dyDescent="0.2">
      <c r="B336" s="792"/>
      <c r="C336" s="1501"/>
      <c r="D336" s="1501"/>
      <c r="E336" s="1501"/>
      <c r="F336" s="1501"/>
      <c r="G336" s="1501"/>
      <c r="H336" s="1501"/>
      <c r="I336" s="1501"/>
      <c r="J336" s="1501"/>
      <c r="K336" s="1501"/>
      <c r="L336" s="1501"/>
      <c r="M336" s="1501"/>
      <c r="N336" s="1501"/>
      <c r="O336" s="1496"/>
      <c r="P336" s="1290"/>
      <c r="Q336" s="1290"/>
      <c r="R336" s="1290"/>
      <c r="S336" s="1291"/>
      <c r="T336" s="547"/>
      <c r="U336" s="547"/>
      <c r="V336" s="547"/>
      <c r="W336" s="547"/>
      <c r="X336" s="547"/>
      <c r="Y336" s="547"/>
      <c r="Z336" s="547"/>
      <c r="AA336" s="547"/>
      <c r="AB336" s="547"/>
      <c r="CQ336" s="462"/>
      <c r="CR336" s="462"/>
      <c r="CS336" s="462"/>
      <c r="CT336" s="462"/>
      <c r="CU336" s="549"/>
      <c r="CV336" s="549"/>
      <c r="CW336" s="462"/>
      <c r="CX336" s="462"/>
      <c r="CY336" s="462"/>
      <c r="CZ336" s="462"/>
      <c r="DA336" s="462"/>
      <c r="DB336" s="462"/>
      <c r="DC336" s="462"/>
      <c r="DD336" s="462"/>
      <c r="DE336" s="462"/>
      <c r="DF336" s="462"/>
      <c r="DG336" s="462"/>
      <c r="DH336" s="462"/>
      <c r="DI336" s="462"/>
      <c r="DJ336" s="462"/>
      <c r="DK336" s="462"/>
      <c r="DL336" s="462"/>
      <c r="DM336" s="462"/>
      <c r="DN336" s="462"/>
      <c r="DO336" s="462"/>
      <c r="DP336" s="462"/>
      <c r="DQ336" s="462"/>
      <c r="DR336" s="462"/>
    </row>
    <row r="337" spans="1:122" s="546" customFormat="1" x14ac:dyDescent="0.2">
      <c r="B337" s="792"/>
      <c r="C337" s="1501"/>
      <c r="D337" s="1501"/>
      <c r="E337" s="1501"/>
      <c r="F337" s="1501"/>
      <c r="G337" s="1501"/>
      <c r="H337" s="1501"/>
      <c r="I337" s="1501"/>
      <c r="J337" s="1501"/>
      <c r="K337" s="1501"/>
      <c r="L337" s="1501"/>
      <c r="M337" s="1501"/>
      <c r="N337" s="1501"/>
      <c r="O337" s="1496"/>
      <c r="P337" s="1290"/>
      <c r="Q337" s="1290"/>
      <c r="R337" s="1290"/>
      <c r="S337" s="1291"/>
      <c r="T337" s="547"/>
      <c r="U337" s="547"/>
      <c r="V337" s="547"/>
      <c r="W337" s="547"/>
      <c r="X337" s="547"/>
      <c r="Y337" s="547"/>
      <c r="Z337" s="547"/>
      <c r="AA337" s="547"/>
      <c r="AB337" s="547"/>
      <c r="CQ337" s="462"/>
      <c r="CR337" s="462"/>
      <c r="CS337" s="462"/>
      <c r="CT337" s="462"/>
      <c r="CU337" s="549"/>
      <c r="CV337" s="549"/>
      <c r="CW337" s="462"/>
      <c r="CX337" s="462"/>
      <c r="CY337" s="462"/>
      <c r="CZ337" s="462"/>
      <c r="DA337" s="462"/>
      <c r="DB337" s="462"/>
      <c r="DC337" s="462"/>
      <c r="DD337" s="462"/>
      <c r="DE337" s="462"/>
      <c r="DF337" s="462"/>
      <c r="DG337" s="462"/>
      <c r="DH337" s="462"/>
      <c r="DI337" s="462"/>
      <c r="DJ337" s="462"/>
      <c r="DK337" s="462"/>
      <c r="DL337" s="462"/>
      <c r="DM337" s="462"/>
      <c r="DN337" s="462"/>
      <c r="DO337" s="462"/>
      <c r="DP337" s="462"/>
      <c r="DQ337" s="462"/>
      <c r="DR337" s="462"/>
    </row>
    <row r="338" spans="1:122" s="546" customFormat="1" x14ac:dyDescent="0.2">
      <c r="B338" s="792"/>
      <c r="C338" s="1501"/>
      <c r="D338" s="1501"/>
      <c r="E338" s="1501"/>
      <c r="F338" s="1501"/>
      <c r="G338" s="1501"/>
      <c r="H338" s="1501"/>
      <c r="I338" s="1501"/>
      <c r="J338" s="1501"/>
      <c r="K338" s="1501"/>
      <c r="L338" s="1501"/>
      <c r="M338" s="1501"/>
      <c r="N338" s="1501"/>
      <c r="O338" s="1496"/>
      <c r="P338" s="1290"/>
      <c r="Q338" s="1290"/>
      <c r="R338" s="1290"/>
      <c r="S338" s="1291"/>
      <c r="T338" s="547"/>
      <c r="U338" s="547"/>
      <c r="V338" s="547"/>
      <c r="W338" s="547"/>
      <c r="X338" s="547"/>
      <c r="Y338" s="547"/>
      <c r="Z338" s="547"/>
      <c r="AA338" s="547"/>
      <c r="AB338" s="547"/>
      <c r="CQ338" s="462"/>
      <c r="CR338" s="462"/>
      <c r="CS338" s="462"/>
      <c r="CT338" s="462"/>
      <c r="CU338" s="549"/>
      <c r="CV338" s="549"/>
      <c r="CW338" s="462"/>
      <c r="CX338" s="462"/>
      <c r="CY338" s="462"/>
      <c r="CZ338" s="462"/>
      <c r="DA338" s="462"/>
      <c r="DB338" s="462"/>
      <c r="DC338" s="462"/>
      <c r="DD338" s="462"/>
      <c r="DE338" s="462"/>
      <c r="DF338" s="462"/>
      <c r="DG338" s="462"/>
      <c r="DH338" s="462"/>
      <c r="DI338" s="462"/>
      <c r="DJ338" s="462"/>
      <c r="DK338" s="462"/>
      <c r="DL338" s="462"/>
      <c r="DM338" s="462"/>
      <c r="DN338" s="462"/>
      <c r="DO338" s="462"/>
      <c r="DP338" s="462"/>
      <c r="DQ338" s="462"/>
      <c r="DR338" s="462"/>
    </row>
    <row r="339" spans="1:122" s="546" customFormat="1" x14ac:dyDescent="0.2">
      <c r="B339" s="792"/>
      <c r="C339" s="1501"/>
      <c r="D339" s="1501"/>
      <c r="E339" s="1501"/>
      <c r="F339" s="1501"/>
      <c r="G339" s="1501"/>
      <c r="H339" s="1501"/>
      <c r="I339" s="1501"/>
      <c r="J339" s="1501"/>
      <c r="K339" s="1501"/>
      <c r="L339" s="1501"/>
      <c r="M339" s="1501"/>
      <c r="N339" s="1501"/>
      <c r="O339" s="1496"/>
      <c r="P339" s="1290"/>
      <c r="Q339" s="1290"/>
      <c r="R339" s="1290"/>
      <c r="S339" s="1291"/>
      <c r="T339" s="547"/>
      <c r="U339" s="547"/>
      <c r="V339" s="547"/>
      <c r="W339" s="547"/>
      <c r="X339" s="547"/>
      <c r="Y339" s="547"/>
      <c r="Z339" s="547"/>
      <c r="AA339" s="547"/>
      <c r="AB339" s="547"/>
      <c r="CQ339" s="462"/>
      <c r="CR339" s="462"/>
      <c r="CS339" s="462"/>
      <c r="CT339" s="462"/>
      <c r="CU339" s="549"/>
      <c r="CV339" s="549"/>
      <c r="CW339" s="462"/>
      <c r="CX339" s="462"/>
      <c r="CY339" s="462"/>
      <c r="CZ339" s="462"/>
      <c r="DA339" s="462"/>
      <c r="DB339" s="462"/>
      <c r="DC339" s="462"/>
      <c r="DD339" s="462"/>
      <c r="DE339" s="462"/>
      <c r="DF339" s="462"/>
      <c r="DG339" s="462"/>
      <c r="DH339" s="462"/>
      <c r="DI339" s="462"/>
      <c r="DJ339" s="462"/>
      <c r="DK339" s="462"/>
      <c r="DL339" s="462"/>
      <c r="DM339" s="462"/>
      <c r="DN339" s="462"/>
      <c r="DO339" s="462"/>
      <c r="DP339" s="462"/>
      <c r="DQ339" s="462"/>
      <c r="DR339" s="462"/>
    </row>
    <row r="340" spans="1:122" s="546" customFormat="1" x14ac:dyDescent="0.2">
      <c r="B340" s="792"/>
      <c r="C340" s="1501"/>
      <c r="D340" s="1501"/>
      <c r="E340" s="1501"/>
      <c r="F340" s="1501"/>
      <c r="G340" s="1501"/>
      <c r="H340" s="1501"/>
      <c r="I340" s="1501"/>
      <c r="J340" s="1501"/>
      <c r="K340" s="1501"/>
      <c r="L340" s="1501"/>
      <c r="M340" s="1501"/>
      <c r="N340" s="1501"/>
      <c r="O340" s="1496"/>
      <c r="P340" s="1290"/>
      <c r="Q340" s="1290"/>
      <c r="R340" s="1290"/>
      <c r="S340" s="1291"/>
      <c r="T340" s="547"/>
      <c r="U340" s="547"/>
      <c r="V340" s="547"/>
      <c r="W340" s="547"/>
      <c r="X340" s="547"/>
      <c r="Y340" s="547"/>
      <c r="Z340" s="547"/>
      <c r="AA340" s="547"/>
      <c r="AB340" s="547"/>
      <c r="CQ340" s="462"/>
      <c r="CR340" s="462"/>
      <c r="CS340" s="462"/>
      <c r="CT340" s="462"/>
      <c r="CU340" s="549"/>
      <c r="CV340" s="549"/>
      <c r="CW340" s="462"/>
      <c r="CX340" s="462"/>
      <c r="CY340" s="462"/>
      <c r="CZ340" s="462"/>
      <c r="DA340" s="462"/>
      <c r="DB340" s="462"/>
      <c r="DC340" s="462"/>
      <c r="DD340" s="462"/>
      <c r="DE340" s="462"/>
      <c r="DF340" s="462"/>
      <c r="DG340" s="462"/>
      <c r="DH340" s="462"/>
      <c r="DI340" s="462"/>
      <c r="DJ340" s="462"/>
      <c r="DK340" s="462"/>
      <c r="DL340" s="462"/>
      <c r="DM340" s="462"/>
      <c r="DN340" s="462"/>
      <c r="DO340" s="462"/>
      <c r="DP340" s="462"/>
      <c r="DQ340" s="462"/>
      <c r="DR340" s="462"/>
    </row>
    <row r="341" spans="1:122" s="546" customFormat="1" x14ac:dyDescent="0.2">
      <c r="B341" s="792"/>
      <c r="C341" s="1501"/>
      <c r="D341" s="1501"/>
      <c r="E341" s="1501"/>
      <c r="F341" s="1501"/>
      <c r="G341" s="1501"/>
      <c r="H341" s="1501"/>
      <c r="I341" s="1501"/>
      <c r="J341" s="1501"/>
      <c r="K341" s="1501"/>
      <c r="L341" s="1501"/>
      <c r="M341" s="1501"/>
      <c r="N341" s="1501"/>
      <c r="O341" s="1496"/>
      <c r="P341" s="1290"/>
      <c r="Q341" s="1290"/>
      <c r="R341" s="1290"/>
      <c r="S341" s="1291"/>
      <c r="T341" s="547"/>
      <c r="U341" s="547"/>
      <c r="V341" s="547"/>
      <c r="W341" s="547"/>
      <c r="X341" s="547"/>
      <c r="Y341" s="547"/>
      <c r="Z341" s="547"/>
      <c r="AA341" s="547"/>
      <c r="AB341" s="547"/>
      <c r="CQ341" s="462"/>
      <c r="CR341" s="462"/>
      <c r="CS341" s="462"/>
      <c r="CT341" s="462"/>
      <c r="CU341" s="549"/>
      <c r="CV341" s="549"/>
      <c r="CW341" s="462"/>
      <c r="CX341" s="462"/>
      <c r="CY341" s="462"/>
      <c r="CZ341" s="462"/>
      <c r="DA341" s="462"/>
      <c r="DB341" s="462"/>
      <c r="DC341" s="462"/>
      <c r="DD341" s="462"/>
      <c r="DE341" s="462"/>
      <c r="DF341" s="462"/>
      <c r="DG341" s="462"/>
      <c r="DH341" s="462"/>
      <c r="DI341" s="462"/>
      <c r="DJ341" s="462"/>
      <c r="DK341" s="462"/>
      <c r="DL341" s="462"/>
      <c r="DM341" s="462"/>
      <c r="DN341" s="462"/>
      <c r="DO341" s="462"/>
      <c r="DP341" s="462"/>
      <c r="DQ341" s="462"/>
      <c r="DR341" s="462"/>
    </row>
    <row r="342" spans="1:122" s="546" customFormat="1" x14ac:dyDescent="0.2">
      <c r="B342" s="792"/>
      <c r="C342" s="1501"/>
      <c r="D342" s="1501"/>
      <c r="E342" s="1501"/>
      <c r="F342" s="1501"/>
      <c r="G342" s="1501"/>
      <c r="H342" s="1501"/>
      <c r="I342" s="1501"/>
      <c r="J342" s="1501"/>
      <c r="K342" s="1501"/>
      <c r="L342" s="1501"/>
      <c r="M342" s="1501"/>
      <c r="N342" s="1501"/>
      <c r="O342" s="1496"/>
      <c r="P342" s="1290"/>
      <c r="Q342" s="1290"/>
      <c r="R342" s="1290"/>
      <c r="S342" s="1291"/>
      <c r="T342" s="547"/>
      <c r="U342" s="547"/>
      <c r="V342" s="547"/>
      <c r="W342" s="547"/>
      <c r="X342" s="547"/>
      <c r="Y342" s="547"/>
      <c r="Z342" s="547"/>
      <c r="AA342" s="547"/>
      <c r="AB342" s="547"/>
      <c r="CQ342" s="462"/>
      <c r="CR342" s="462"/>
      <c r="CS342" s="462"/>
      <c r="CT342" s="462"/>
      <c r="CU342" s="549"/>
      <c r="CV342" s="549"/>
      <c r="CW342" s="462"/>
      <c r="CX342" s="462"/>
      <c r="CY342" s="462"/>
      <c r="CZ342" s="462"/>
      <c r="DA342" s="462"/>
      <c r="DB342" s="462"/>
      <c r="DC342" s="462"/>
      <c r="DD342" s="462"/>
      <c r="DE342" s="462"/>
      <c r="DF342" s="462"/>
      <c r="DG342" s="462"/>
      <c r="DH342" s="462"/>
      <c r="DI342" s="462"/>
      <c r="DJ342" s="462"/>
      <c r="DK342" s="462"/>
      <c r="DL342" s="462"/>
      <c r="DM342" s="462"/>
      <c r="DN342" s="462"/>
      <c r="DO342" s="462"/>
      <c r="DP342" s="462"/>
      <c r="DQ342" s="462"/>
      <c r="DR342" s="462"/>
    </row>
    <row r="343" spans="1:122" s="546" customFormat="1" x14ac:dyDescent="0.2">
      <c r="B343" s="792"/>
      <c r="C343" s="1501"/>
      <c r="D343" s="1501"/>
      <c r="E343" s="1501"/>
      <c r="F343" s="1501"/>
      <c r="G343" s="1501"/>
      <c r="H343" s="1501"/>
      <c r="I343" s="1501"/>
      <c r="J343" s="1501"/>
      <c r="K343" s="1501"/>
      <c r="L343" s="1501"/>
      <c r="M343" s="1501"/>
      <c r="N343" s="1501"/>
      <c r="O343" s="1496"/>
      <c r="P343" s="1290"/>
      <c r="Q343" s="1290"/>
      <c r="R343" s="1290"/>
      <c r="S343" s="1291"/>
      <c r="T343" s="547"/>
      <c r="U343" s="547"/>
      <c r="V343" s="547"/>
      <c r="W343" s="547"/>
      <c r="X343" s="547"/>
      <c r="Y343" s="547"/>
      <c r="Z343" s="547"/>
      <c r="AA343" s="547"/>
      <c r="AB343" s="547"/>
      <c r="CQ343" s="462"/>
      <c r="CR343" s="462"/>
      <c r="CS343" s="462"/>
      <c r="CT343" s="462"/>
      <c r="CU343" s="549"/>
      <c r="CV343" s="549"/>
      <c r="CW343" s="462"/>
      <c r="CX343" s="462"/>
      <c r="CY343" s="462"/>
      <c r="CZ343" s="462"/>
      <c r="DA343" s="462"/>
      <c r="DB343" s="462"/>
      <c r="DC343" s="462"/>
      <c r="DD343" s="462"/>
      <c r="DE343" s="462"/>
      <c r="DF343" s="462"/>
      <c r="DG343" s="462"/>
      <c r="DH343" s="462"/>
      <c r="DI343" s="462"/>
      <c r="DJ343" s="462"/>
      <c r="DK343" s="462"/>
      <c r="DL343" s="462"/>
      <c r="DM343" s="462"/>
      <c r="DN343" s="462"/>
      <c r="DO343" s="462"/>
      <c r="DP343" s="462"/>
      <c r="DQ343" s="462"/>
      <c r="DR343" s="462"/>
    </row>
    <row r="344" spans="1:122" s="546" customFormat="1" x14ac:dyDescent="0.2">
      <c r="B344" s="792"/>
      <c r="C344" s="1501"/>
      <c r="D344" s="1501"/>
      <c r="E344" s="1501"/>
      <c r="F344" s="1501"/>
      <c r="G344" s="1501"/>
      <c r="H344" s="1501"/>
      <c r="I344" s="1501"/>
      <c r="J344" s="1501"/>
      <c r="K344" s="1501"/>
      <c r="L344" s="1501"/>
      <c r="M344" s="1501"/>
      <c r="N344" s="1501"/>
      <c r="O344" s="1496"/>
      <c r="P344" s="1290"/>
      <c r="Q344" s="1290"/>
      <c r="R344" s="1290"/>
      <c r="S344" s="1291"/>
      <c r="T344" s="547"/>
      <c r="U344" s="547"/>
      <c r="V344" s="547"/>
      <c r="W344" s="547"/>
      <c r="X344" s="547"/>
      <c r="Y344" s="547"/>
      <c r="Z344" s="547"/>
      <c r="AA344" s="547"/>
      <c r="AB344" s="547"/>
      <c r="CQ344" s="462"/>
      <c r="CR344" s="462"/>
      <c r="CS344" s="462"/>
      <c r="CT344" s="462"/>
      <c r="CU344" s="549"/>
      <c r="CV344" s="549"/>
      <c r="CW344" s="462"/>
      <c r="CX344" s="462"/>
      <c r="CY344" s="462"/>
      <c r="CZ344" s="462"/>
      <c r="DA344" s="462"/>
      <c r="DB344" s="462"/>
      <c r="DC344" s="462"/>
      <c r="DD344" s="462"/>
      <c r="DE344" s="462"/>
      <c r="DF344" s="462"/>
      <c r="DG344" s="462"/>
      <c r="DH344" s="462"/>
      <c r="DI344" s="462"/>
      <c r="DJ344" s="462"/>
      <c r="DK344" s="462"/>
      <c r="DL344" s="462"/>
      <c r="DM344" s="462"/>
      <c r="DN344" s="462"/>
      <c r="DO344" s="462"/>
      <c r="DP344" s="462"/>
      <c r="DQ344" s="462"/>
      <c r="DR344" s="462"/>
    </row>
    <row r="345" spans="1:122" s="258" customFormat="1" x14ac:dyDescent="0.2">
      <c r="B345" s="628"/>
      <c r="C345" s="1289"/>
      <c r="D345" s="1290"/>
      <c r="E345" s="1291"/>
      <c r="F345" s="1290"/>
      <c r="G345" s="1291"/>
      <c r="H345" s="1290"/>
      <c r="I345" s="1291"/>
      <c r="J345" s="1290"/>
      <c r="K345" s="1292"/>
      <c r="L345" s="1289"/>
      <c r="M345" s="1292"/>
      <c r="N345" s="1289"/>
      <c r="O345" s="1290"/>
      <c r="P345" s="1290"/>
      <c r="Q345" s="1290"/>
      <c r="R345" s="1290"/>
      <c r="S345" s="1291"/>
      <c r="T345" s="1247"/>
      <c r="U345" s="1247"/>
      <c r="V345" s="1247"/>
      <c r="W345" s="1247"/>
      <c r="X345" s="1247"/>
      <c r="Y345" s="1247"/>
      <c r="Z345" s="1247"/>
      <c r="AA345" s="1247"/>
      <c r="AB345" s="1247"/>
      <c r="CQ345" s="446"/>
      <c r="CR345" s="446"/>
      <c r="CS345" s="446"/>
      <c r="CT345" s="446"/>
      <c r="CU345" s="634"/>
      <c r="CV345" s="634"/>
      <c r="CW345" s="446"/>
      <c r="CX345" s="446"/>
      <c r="CY345" s="446"/>
      <c r="CZ345" s="446"/>
      <c r="DA345" s="446"/>
      <c r="DB345" s="446"/>
      <c r="DC345" s="446"/>
      <c r="DD345" s="446"/>
      <c r="DE345" s="446"/>
      <c r="DF345" s="446"/>
      <c r="DG345" s="446"/>
      <c r="DH345" s="446"/>
      <c r="DI345" s="446"/>
      <c r="DJ345" s="446"/>
      <c r="DK345" s="446"/>
      <c r="DL345" s="446"/>
      <c r="DM345" s="446"/>
      <c r="DN345" s="446"/>
      <c r="DO345" s="446"/>
      <c r="DP345" s="446"/>
      <c r="DQ345" s="446"/>
      <c r="DR345" s="446"/>
    </row>
    <row r="346" spans="1:122" s="546" customFormat="1" ht="14.45" customHeight="1" x14ac:dyDescent="0.2">
      <c r="B346" s="548"/>
      <c r="C346" s="1289"/>
      <c r="D346" s="1290"/>
      <c r="E346" s="1291"/>
      <c r="F346" s="1290"/>
      <c r="G346" s="1291"/>
      <c r="H346" s="1290"/>
      <c r="I346" s="1291"/>
      <c r="J346" s="1290"/>
      <c r="K346" s="1292"/>
      <c r="L346" s="1289"/>
      <c r="M346" s="1292"/>
      <c r="N346" s="1289"/>
      <c r="S346" s="547"/>
      <c r="T346" s="547"/>
      <c r="U346" s="547"/>
      <c r="V346" s="547"/>
      <c r="W346" s="547"/>
      <c r="X346" s="547"/>
      <c r="Y346" s="547"/>
      <c r="Z346" s="547"/>
      <c r="AA346" s="547"/>
      <c r="AB346" s="547"/>
      <c r="CQ346" s="462"/>
      <c r="CR346" s="462"/>
      <c r="CS346" s="462"/>
      <c r="CT346" s="462"/>
      <c r="CU346" s="549"/>
      <c r="CV346" s="634"/>
      <c r="CW346" s="446"/>
      <c r="CX346" s="462"/>
      <c r="CY346" s="462"/>
      <c r="CZ346" s="462"/>
      <c r="DA346" s="462"/>
      <c r="DB346" s="462"/>
      <c r="DC346" s="462"/>
      <c r="DD346" s="462"/>
      <c r="DE346" s="462"/>
      <c r="DF346" s="462"/>
      <c r="DG346" s="462"/>
      <c r="DH346" s="462"/>
      <c r="DI346" s="462"/>
      <c r="DJ346" s="462"/>
      <c r="DK346" s="462"/>
      <c r="DL346" s="462"/>
      <c r="DM346" s="462"/>
      <c r="DN346" s="462"/>
      <c r="DO346" s="462"/>
      <c r="DP346" s="462"/>
      <c r="DQ346" s="462"/>
      <c r="DR346" s="462"/>
    </row>
    <row r="347" spans="1:122" s="475" customFormat="1" ht="15" customHeight="1" thickBot="1" x14ac:dyDescent="0.25">
      <c r="A347" s="256"/>
      <c r="C347" s="1303"/>
      <c r="D347" s="1303"/>
      <c r="E347" s="1304" t="str">
        <f ca="1">E349</f>
        <v>Betrag    2017</v>
      </c>
      <c r="F347" s="1620" t="str">
        <f ca="1">G349</f>
        <v>Betrag    2018</v>
      </c>
      <c r="G347" s="1622"/>
      <c r="H347" s="1620" t="str">
        <f ca="1">J349</f>
        <v>Betrag    2019</v>
      </c>
      <c r="I347" s="1621"/>
      <c r="J347" s="1622"/>
      <c r="K347" s="1620" t="str">
        <f ca="1">N349</f>
        <v>Betrag    2020</v>
      </c>
      <c r="L347" s="1621"/>
      <c r="M347" s="1621"/>
      <c r="N347" s="1622"/>
      <c r="O347" s="1617" t="str">
        <f ca="1">T349</f>
        <v>Betrag    2021</v>
      </c>
      <c r="P347" s="1618"/>
      <c r="Q347" s="1618"/>
      <c r="R347" s="1618"/>
      <c r="S347" s="1618"/>
      <c r="T347" s="1619"/>
      <c r="U347" s="543" t="s">
        <v>184</v>
      </c>
      <c r="V347" s="543"/>
      <c r="W347" s="543"/>
      <c r="X347" s="543"/>
      <c r="Y347" s="543"/>
      <c r="Z347" s="543"/>
      <c r="AA347" s="543"/>
      <c r="AB347" s="543"/>
      <c r="AC347" s="256"/>
      <c r="AD347" s="256"/>
      <c r="AE347" s="256"/>
      <c r="AF347" s="256"/>
      <c r="AG347" s="550" t="s">
        <v>185</v>
      </c>
      <c r="AH347" s="256"/>
      <c r="AI347" s="256"/>
      <c r="AJ347" s="256"/>
      <c r="AK347" s="256"/>
      <c r="AL347" s="256"/>
      <c r="AM347" s="256"/>
      <c r="AN347" s="256"/>
      <c r="CU347" s="446"/>
      <c r="CV347" s="446"/>
      <c r="CW347" s="446"/>
      <c r="DH347" s="446"/>
      <c r="DI347" s="446"/>
      <c r="DJ347" s="446"/>
      <c r="DK347" s="446"/>
      <c r="DL347" s="446"/>
      <c r="DM347" s="446"/>
      <c r="DN347" s="446"/>
      <c r="DO347" s="446"/>
      <c r="DP347" s="446"/>
      <c r="DQ347" s="446"/>
      <c r="DR347" s="446"/>
    </row>
    <row r="348" spans="1:122" s="475" customFormat="1" ht="15" customHeight="1" thickBot="1" x14ac:dyDescent="0.25">
      <c r="A348" s="256"/>
      <c r="C348" s="1303"/>
      <c r="D348" s="1305" t="s">
        <v>132</v>
      </c>
      <c r="E348" s="1306">
        <v>1</v>
      </c>
      <c r="F348" s="1307">
        <v>2</v>
      </c>
      <c r="G348" s="1308">
        <v>1</v>
      </c>
      <c r="H348" s="1307">
        <v>3</v>
      </c>
      <c r="I348" s="1309">
        <v>2</v>
      </c>
      <c r="J348" s="1310">
        <v>1</v>
      </c>
      <c r="K348" s="1311">
        <v>4</v>
      </c>
      <c r="L348" s="1312">
        <v>3</v>
      </c>
      <c r="M348" s="1309">
        <v>2</v>
      </c>
      <c r="N348" s="1313">
        <v>1</v>
      </c>
      <c r="O348" s="551">
        <v>5</v>
      </c>
      <c r="P348" s="552">
        <v>4</v>
      </c>
      <c r="Q348" s="552"/>
      <c r="R348" s="553">
        <v>3</v>
      </c>
      <c r="S348" s="554">
        <v>2</v>
      </c>
      <c r="T348" s="555">
        <v>1</v>
      </c>
      <c r="U348" s="556" t="str">
        <f ca="1">E349</f>
        <v>Betrag    2017</v>
      </c>
      <c r="V348" s="557" t="s">
        <v>129</v>
      </c>
      <c r="W348" s="557"/>
      <c r="X348" s="557"/>
      <c r="Y348" s="557"/>
      <c r="Z348" s="557"/>
      <c r="AA348" s="557"/>
      <c r="AB348" s="557"/>
      <c r="AC348" s="558"/>
      <c r="AD348" s="558"/>
      <c r="AE348" s="558"/>
      <c r="AF348" s="558"/>
      <c r="AG348" s="559" t="str">
        <f ca="1">R349</f>
        <v>Betrag    2019</v>
      </c>
      <c r="AH348" s="557" t="s">
        <v>129</v>
      </c>
      <c r="AI348" s="557"/>
      <c r="AJ348" s="557"/>
      <c r="AK348" s="557"/>
      <c r="AL348" s="557"/>
      <c r="AM348" s="557"/>
      <c r="AN348" s="557"/>
      <c r="AO348" s="560"/>
      <c r="AP348" s="560"/>
      <c r="AQ348" s="560"/>
      <c r="AR348" s="561"/>
      <c r="CU348" s="446"/>
      <c r="CV348" s="446"/>
      <c r="CW348" s="562" t="s">
        <v>132</v>
      </c>
      <c r="DH348" s="446"/>
      <c r="DI348" s="446"/>
      <c r="DJ348" s="446"/>
      <c r="DK348" s="446"/>
      <c r="DL348" s="446"/>
      <c r="DM348" s="446"/>
      <c r="DN348" s="446"/>
      <c r="DO348" s="446"/>
      <c r="DP348" s="446"/>
      <c r="DQ348" s="446"/>
      <c r="DR348" s="446"/>
    </row>
    <row r="349" spans="1:122" s="475" customFormat="1" ht="15" customHeight="1" thickBot="1" x14ac:dyDescent="0.25">
      <c r="A349" s="256"/>
      <c r="C349" s="1303"/>
      <c r="D349" s="1314" t="s">
        <v>131</v>
      </c>
      <c r="E349" s="1315" t="str">
        <f ca="1">E5</f>
        <v>Betrag    2017</v>
      </c>
      <c r="F349" s="1316" t="str">
        <f ca="1">E5</f>
        <v>Betrag    2017</v>
      </c>
      <c r="G349" s="1317" t="str">
        <f ca="1">G5</f>
        <v>Betrag    2018</v>
      </c>
      <c r="H349" s="1316" t="str">
        <f ca="1">E5</f>
        <v>Betrag    2017</v>
      </c>
      <c r="I349" s="1318" t="str">
        <f ca="1">G5</f>
        <v>Betrag    2018</v>
      </c>
      <c r="J349" s="1317" t="str">
        <f ca="1">I5</f>
        <v>Betrag    2019</v>
      </c>
      <c r="K349" s="1316" t="str">
        <f ca="1">E5</f>
        <v>Betrag    2017</v>
      </c>
      <c r="L349" s="1318" t="str">
        <f ca="1">G5</f>
        <v>Betrag    2018</v>
      </c>
      <c r="M349" s="1318" t="str">
        <f ca="1">I5</f>
        <v>Betrag    2019</v>
      </c>
      <c r="N349" s="1319" t="str">
        <f ca="1">K5</f>
        <v>Betrag    2020</v>
      </c>
      <c r="O349" s="564" t="str">
        <f ca="1">E5</f>
        <v>Betrag    2017</v>
      </c>
      <c r="P349" s="563" t="str">
        <f ca="1">G5</f>
        <v>Betrag    2018</v>
      </c>
      <c r="Q349" s="563"/>
      <c r="R349" s="565" t="str">
        <f ca="1">I5</f>
        <v>Betrag    2019</v>
      </c>
      <c r="S349" s="565" t="str">
        <f ca="1">K5</f>
        <v>Betrag    2020</v>
      </c>
      <c r="T349" s="566" t="str">
        <f ca="1">M5</f>
        <v>Betrag    2021</v>
      </c>
      <c r="U349" s="546" t="s">
        <v>73</v>
      </c>
      <c r="V349" s="546" t="s">
        <v>74</v>
      </c>
      <c r="W349" s="546" t="s">
        <v>75</v>
      </c>
      <c r="X349" s="546" t="s">
        <v>76</v>
      </c>
      <c r="Y349" s="546" t="s">
        <v>5</v>
      </c>
      <c r="Z349" s="546" t="s">
        <v>77</v>
      </c>
      <c r="AA349" s="546" t="s">
        <v>78</v>
      </c>
      <c r="AB349" s="546" t="s">
        <v>79</v>
      </c>
      <c r="AC349" s="546" t="s">
        <v>80</v>
      </c>
      <c r="AD349" s="546" t="s">
        <v>81</v>
      </c>
      <c r="AE349" s="546" t="s">
        <v>82</v>
      </c>
      <c r="AF349" s="546" t="s">
        <v>83</v>
      </c>
      <c r="AG349" s="567" t="s">
        <v>73</v>
      </c>
      <c r="AH349" s="546" t="s">
        <v>74</v>
      </c>
      <c r="AI349" s="546" t="s">
        <v>75</v>
      </c>
      <c r="AJ349" s="546" t="s">
        <v>76</v>
      </c>
      <c r="AK349" s="546" t="s">
        <v>5</v>
      </c>
      <c r="AL349" s="546" t="s">
        <v>77</v>
      </c>
      <c r="AM349" s="546" t="s">
        <v>78</v>
      </c>
      <c r="AN349" s="546" t="s">
        <v>79</v>
      </c>
      <c r="AO349" s="568" t="s">
        <v>80</v>
      </c>
      <c r="AP349" s="568" t="s">
        <v>81</v>
      </c>
      <c r="AQ349" s="568" t="s">
        <v>82</v>
      </c>
      <c r="AR349" s="569" t="s">
        <v>83</v>
      </c>
      <c r="CU349" s="446"/>
      <c r="CV349" s="446"/>
      <c r="CW349" s="562" t="s">
        <v>131</v>
      </c>
      <c r="DH349" s="446"/>
      <c r="DI349" s="446"/>
      <c r="DJ349" s="446"/>
      <c r="DK349" s="446"/>
      <c r="DL349" s="446"/>
      <c r="DM349" s="446"/>
      <c r="DN349" s="446"/>
      <c r="DO349" s="446"/>
      <c r="DP349" s="446"/>
      <c r="DQ349" s="446"/>
      <c r="DR349" s="446"/>
    </row>
    <row r="350" spans="1:122" s="475" customFormat="1" ht="15" customHeight="1" thickTop="1" x14ac:dyDescent="0.2">
      <c r="A350" s="256"/>
      <c r="C350" s="1303"/>
      <c r="D350" s="1320" t="s">
        <v>134</v>
      </c>
      <c r="E350" s="1321"/>
      <c r="F350" s="1322"/>
      <c r="G350" s="1323"/>
      <c r="H350" s="1324"/>
      <c r="I350" s="1325"/>
      <c r="J350" s="1326"/>
      <c r="K350" s="1324"/>
      <c r="L350" s="1325"/>
      <c r="M350" s="1325"/>
      <c r="N350" s="1326"/>
      <c r="O350" s="570"/>
      <c r="P350" s="571"/>
      <c r="Q350" s="571"/>
      <c r="R350" s="572"/>
      <c r="S350" s="572"/>
      <c r="T350" s="573"/>
      <c r="U350" s="574">
        <v>1</v>
      </c>
      <c r="V350" s="575">
        <v>2</v>
      </c>
      <c r="W350" s="575">
        <v>3</v>
      </c>
      <c r="X350" s="575">
        <v>4</v>
      </c>
      <c r="Y350" s="575">
        <v>5</v>
      </c>
      <c r="Z350" s="575">
        <v>6</v>
      </c>
      <c r="AA350" s="575">
        <v>7</v>
      </c>
      <c r="AB350" s="575">
        <v>8</v>
      </c>
      <c r="AC350" s="575">
        <v>9</v>
      </c>
      <c r="AD350" s="575">
        <v>10</v>
      </c>
      <c r="AE350" s="575">
        <v>11</v>
      </c>
      <c r="AF350" s="576">
        <v>12</v>
      </c>
      <c r="AG350" s="577">
        <v>1</v>
      </c>
      <c r="AH350" s="575">
        <v>2</v>
      </c>
      <c r="AI350" s="575">
        <v>3</v>
      </c>
      <c r="AJ350" s="575">
        <v>4</v>
      </c>
      <c r="AK350" s="575">
        <v>5</v>
      </c>
      <c r="AL350" s="575">
        <v>6</v>
      </c>
      <c r="AM350" s="575">
        <v>7</v>
      </c>
      <c r="AN350" s="575">
        <v>8</v>
      </c>
      <c r="AO350" s="578">
        <v>9</v>
      </c>
      <c r="AP350" s="578">
        <v>10</v>
      </c>
      <c r="AQ350" s="578">
        <v>11</v>
      </c>
      <c r="AR350" s="578">
        <v>12</v>
      </c>
      <c r="CU350" s="446"/>
      <c r="CV350" s="446"/>
      <c r="CW350" s="562" t="s">
        <v>134</v>
      </c>
      <c r="DH350" s="446"/>
      <c r="DI350" s="446"/>
      <c r="DJ350" s="446"/>
      <c r="DK350" s="446"/>
      <c r="DL350" s="446"/>
      <c r="DM350" s="446"/>
      <c r="DN350" s="446"/>
      <c r="DO350" s="446"/>
      <c r="DP350" s="446"/>
      <c r="DQ350" s="446"/>
      <c r="DR350" s="446"/>
    </row>
    <row r="351" spans="1:122" s="475" customFormat="1" ht="14.25" customHeight="1" x14ac:dyDescent="0.2">
      <c r="A351" s="256"/>
      <c r="C351" s="1303"/>
      <c r="D351" s="1303">
        <f>SUM(V381:Z381)</f>
        <v>0</v>
      </c>
      <c r="E351" s="1327" t="str">
        <f>IF(OR($P6="",P6="x"),"",(13-IF(F6=0,1,F6))/12/P6*E6)</f>
        <v/>
      </c>
      <c r="F351" s="1328" t="str">
        <f t="shared" ref="F351:F357" si="202">IF(OR($P6="",P6="x"),"",IF(F$348&lt;$D351,$E6/$P6,IF(F$348=$D351,IF($F6=1,$E6/$P6,$E6/$P6-$E351),0)))</f>
        <v/>
      </c>
      <c r="G351" s="1329" t="str">
        <f t="shared" ref="G351:G357" si="203">IF(OR($P6="",P6="x"),"",(13-IF(H6=0,1,H6))/12/P6*G6)</f>
        <v/>
      </c>
      <c r="H351" s="1328" t="str">
        <f t="shared" ref="H351:H357" si="204">IF(OR($P6="",P6="x"),"",IF(H$348&lt;$D351,$E6/$P6,IF(H$348=$D351,IF($F6=1,$E6/$P6,$E6/$P6-$E351),0)))</f>
        <v/>
      </c>
      <c r="I351" s="1330" t="str">
        <f t="shared" ref="I351:I357" si="205">IF(OR($P6="",P6="x"),"",IF(I$348&lt;$D351,$G6/$P6,IF(I$348=$D351,IF($H6=1,$G6/$P6,$G6/$P6-$E351),0)))</f>
        <v/>
      </c>
      <c r="J351" s="1331" t="str">
        <f t="shared" ref="J351:J357" si="206">IF(OR($P6="",P6="x"),"",(13-IF(J6=0,1,J6))/12*I6/P6)</f>
        <v/>
      </c>
      <c r="K351" s="1328" t="str">
        <f t="shared" ref="K351:K357" si="207">IF(OR($P6="",P6="x"),"",IF(K$348&lt;$D351,$E6/$P6,IF(K$348=$D351,IF($F6=1,$E6/$P6,$E6/$P6-$E351),0)))</f>
        <v/>
      </c>
      <c r="L351" s="1330" t="str">
        <f t="shared" ref="L351:L357" si="208">IF(OR($P6="",P6="x"),"",IF(L$348&lt;$D351,$G6/$P6,IF(L$348=$D351,IF($H6=1,$G6/$P6,$G6/$P6-$E351),0)))</f>
        <v/>
      </c>
      <c r="M351" s="1330" t="str">
        <f t="shared" ref="M351:M357" si="209">IF(OR($P6="",P6="x"),"",IF(M$348&lt;$D351,$I6/$P6,IF(M$348=$D351,IF($J6=1,$I6/$P6,$I6/$P6-$J351),0)))</f>
        <v/>
      </c>
      <c r="N351" s="1331" t="str">
        <f t="shared" ref="N351:N357" si="210">IF(OR($P6="",P6="x"),"",(13-IF(L6=0,1,L6))/12*K6/P6)</f>
        <v/>
      </c>
      <c r="O351" s="579" t="str">
        <f t="shared" ref="O351:O357" si="211">IF(OR($P6="",P6="x"),"",IF(O$348&lt;$D351,$E6/$P6,IF(O$348=$D351,IF($F6=1,$E6/$P6,$E6/$P6-$E351),0)))</f>
        <v/>
      </c>
      <c r="P351" s="580" t="str">
        <f t="shared" ref="P351:P357" si="212">IF(OR($P6="",P6="x"),"",IF(P$348&lt;$D351,$G6/$P6,IF(P$348=$D351,IF($H6=1,$G6/$P6,$G6/$P6-$G351),0)))</f>
        <v/>
      </c>
      <c r="Q351" s="580"/>
      <c r="R351" s="581" t="str">
        <f t="shared" ref="R351:R357" si="213">IF(OR($P6="",P6="x"),"",IF(R$348&lt;$D351,$I6/$P6,IF(R$348=$D351,IF($J6=1,$I6/$P6,$I6/$P6-$J351),0)))</f>
        <v/>
      </c>
      <c r="S351" s="581" t="str">
        <f t="shared" ref="S351:S357" si="214">IF(OR($P6="",P6="x"),"",IF(S$348&lt;$D351,$K6/$P6,IF(S$348=$D351,IF($L6=1,$K6/$P6,$K6/$P6-$N351),0)))</f>
        <v/>
      </c>
      <c r="T351" s="582" t="str">
        <f t="shared" ref="T351:T357" si="215">IF(OR($P6="",P6="x"),"",(13-IF(N6=0,1,N6))/P6*M6/12)</f>
        <v/>
      </c>
      <c r="U351" s="583">
        <f t="shared" ref="U351:AF351" si="216">IF($F6=U$350,$E351,0)</f>
        <v>0</v>
      </c>
      <c r="V351" s="584">
        <f t="shared" si="216"/>
        <v>0</v>
      </c>
      <c r="W351" s="584">
        <f t="shared" si="216"/>
        <v>0</v>
      </c>
      <c r="X351" s="584">
        <f t="shared" si="216"/>
        <v>0</v>
      </c>
      <c r="Y351" s="584">
        <f t="shared" si="216"/>
        <v>0</v>
      </c>
      <c r="Z351" s="584">
        <f t="shared" si="216"/>
        <v>0</v>
      </c>
      <c r="AA351" s="584">
        <f t="shared" si="216"/>
        <v>0</v>
      </c>
      <c r="AB351" s="584">
        <f t="shared" si="216"/>
        <v>0</v>
      </c>
      <c r="AC351" s="584">
        <f t="shared" si="216"/>
        <v>0</v>
      </c>
      <c r="AD351" s="584">
        <f t="shared" si="216"/>
        <v>0</v>
      </c>
      <c r="AE351" s="584">
        <f t="shared" si="216"/>
        <v>0</v>
      </c>
      <c r="AF351" s="585">
        <f t="shared" si="216"/>
        <v>0</v>
      </c>
      <c r="AG351" s="577">
        <f t="shared" ref="AG351:AR351" si="217">IF($H6=AG$350,$G351,0)</f>
        <v>0</v>
      </c>
      <c r="AH351" s="575">
        <f t="shared" si="217"/>
        <v>0</v>
      </c>
      <c r="AI351" s="575">
        <f t="shared" si="217"/>
        <v>0</v>
      </c>
      <c r="AJ351" s="575">
        <f t="shared" si="217"/>
        <v>0</v>
      </c>
      <c r="AK351" s="575">
        <f t="shared" si="217"/>
        <v>0</v>
      </c>
      <c r="AL351" s="575">
        <f t="shared" si="217"/>
        <v>0</v>
      </c>
      <c r="AM351" s="575">
        <f t="shared" si="217"/>
        <v>0</v>
      </c>
      <c r="AN351" s="575">
        <f t="shared" si="217"/>
        <v>0</v>
      </c>
      <c r="AO351" s="578">
        <f t="shared" si="217"/>
        <v>0</v>
      </c>
      <c r="AP351" s="578">
        <f t="shared" si="217"/>
        <v>0</v>
      </c>
      <c r="AQ351" s="578">
        <f t="shared" si="217"/>
        <v>0</v>
      </c>
      <c r="AR351" s="586">
        <f t="shared" si="217"/>
        <v>0</v>
      </c>
      <c r="CU351" s="446"/>
      <c r="CV351" s="446"/>
      <c r="CW351" s="446">
        <f t="shared" ref="CW351:CW358" si="218">SUM(DO381:DS381)</f>
        <v>0</v>
      </c>
      <c r="DH351" s="446"/>
      <c r="DI351" s="446"/>
      <c r="DJ351" s="446"/>
      <c r="DK351" s="446"/>
      <c r="DL351" s="446"/>
      <c r="DM351" s="446"/>
      <c r="DN351" s="446"/>
      <c r="DO351" s="446"/>
      <c r="DP351" s="446"/>
      <c r="DQ351" s="446"/>
      <c r="DR351" s="446"/>
    </row>
    <row r="352" spans="1:122" s="475" customFormat="1" ht="14.25" customHeight="1" x14ac:dyDescent="0.2">
      <c r="A352" s="256"/>
      <c r="C352" s="1303"/>
      <c r="D352" s="1303">
        <f>SUM(V382:Z382)</f>
        <v>0</v>
      </c>
      <c r="E352" s="1327" t="str">
        <f t="shared" ref="E352:E357" si="219">IF(OR($P7="",$P7="x"),"",(13-IF(F7=0,1,F7))/12/P7*E7)</f>
        <v/>
      </c>
      <c r="F352" s="1328" t="str">
        <f t="shared" si="202"/>
        <v/>
      </c>
      <c r="G352" s="1329" t="str">
        <f t="shared" si="203"/>
        <v/>
      </c>
      <c r="H352" s="1328" t="str">
        <f t="shared" si="204"/>
        <v/>
      </c>
      <c r="I352" s="1330" t="str">
        <f t="shared" si="205"/>
        <v/>
      </c>
      <c r="J352" s="1331" t="str">
        <f t="shared" si="206"/>
        <v/>
      </c>
      <c r="K352" s="1328" t="str">
        <f t="shared" si="207"/>
        <v/>
      </c>
      <c r="L352" s="1330" t="str">
        <f t="shared" si="208"/>
        <v/>
      </c>
      <c r="M352" s="1330" t="str">
        <f t="shared" si="209"/>
        <v/>
      </c>
      <c r="N352" s="1331" t="str">
        <f t="shared" si="210"/>
        <v/>
      </c>
      <c r="O352" s="579" t="str">
        <f t="shared" si="211"/>
        <v/>
      </c>
      <c r="P352" s="580" t="str">
        <f t="shared" si="212"/>
        <v/>
      </c>
      <c r="Q352" s="580"/>
      <c r="R352" s="581" t="str">
        <f t="shared" si="213"/>
        <v/>
      </c>
      <c r="S352" s="581" t="str">
        <f t="shared" si="214"/>
        <v/>
      </c>
      <c r="T352" s="582" t="str">
        <f t="shared" si="215"/>
        <v/>
      </c>
      <c r="U352" s="583">
        <f t="shared" ref="U352:AF352" si="220">IF($F7=U$350,$E352,0)</f>
        <v>0</v>
      </c>
      <c r="V352" s="584">
        <f t="shared" si="220"/>
        <v>0</v>
      </c>
      <c r="W352" s="584">
        <f t="shared" si="220"/>
        <v>0</v>
      </c>
      <c r="X352" s="584">
        <f t="shared" si="220"/>
        <v>0</v>
      </c>
      <c r="Y352" s="584">
        <f t="shared" si="220"/>
        <v>0</v>
      </c>
      <c r="Z352" s="584">
        <f t="shared" si="220"/>
        <v>0</v>
      </c>
      <c r="AA352" s="584">
        <f t="shared" si="220"/>
        <v>0</v>
      </c>
      <c r="AB352" s="584">
        <f t="shared" si="220"/>
        <v>0</v>
      </c>
      <c r="AC352" s="584">
        <f t="shared" si="220"/>
        <v>0</v>
      </c>
      <c r="AD352" s="584">
        <f t="shared" si="220"/>
        <v>0</v>
      </c>
      <c r="AE352" s="584">
        <f t="shared" si="220"/>
        <v>0</v>
      </c>
      <c r="AF352" s="585">
        <f t="shared" si="220"/>
        <v>0</v>
      </c>
      <c r="AG352" s="587">
        <f t="shared" ref="AG352:AR352" si="221">IF($H7=AG$350,$G352,0)</f>
        <v>0</v>
      </c>
      <c r="AH352" s="584">
        <f t="shared" si="221"/>
        <v>0</v>
      </c>
      <c r="AI352" s="584">
        <f t="shared" si="221"/>
        <v>0</v>
      </c>
      <c r="AJ352" s="584">
        <f t="shared" si="221"/>
        <v>0</v>
      </c>
      <c r="AK352" s="584">
        <f t="shared" si="221"/>
        <v>0</v>
      </c>
      <c r="AL352" s="584">
        <f t="shared" si="221"/>
        <v>0</v>
      </c>
      <c r="AM352" s="584">
        <f t="shared" si="221"/>
        <v>0</v>
      </c>
      <c r="AN352" s="584">
        <f t="shared" si="221"/>
        <v>0</v>
      </c>
      <c r="AO352" s="588">
        <f t="shared" si="221"/>
        <v>0</v>
      </c>
      <c r="AP352" s="588">
        <f t="shared" si="221"/>
        <v>0</v>
      </c>
      <c r="AQ352" s="588">
        <f t="shared" si="221"/>
        <v>0</v>
      </c>
      <c r="AR352" s="589">
        <f t="shared" si="221"/>
        <v>0</v>
      </c>
      <c r="CU352" s="446"/>
      <c r="CV352" s="446"/>
      <c r="CW352" s="446">
        <f t="shared" si="218"/>
        <v>0</v>
      </c>
      <c r="DH352" s="446"/>
      <c r="DI352" s="446"/>
      <c r="DJ352" s="446"/>
      <c r="DK352" s="446"/>
      <c r="DL352" s="446"/>
      <c r="DM352" s="446"/>
      <c r="DN352" s="446"/>
      <c r="DO352" s="446"/>
      <c r="DP352" s="446"/>
      <c r="DQ352" s="446"/>
      <c r="DR352" s="446"/>
    </row>
    <row r="353" spans="1:122" s="475" customFormat="1" ht="14.25" customHeight="1" x14ac:dyDescent="0.2">
      <c r="A353" s="256"/>
      <c r="C353" s="1303"/>
      <c r="D353" s="1303">
        <f t="shared" ref="D353:D358" si="222">SUM(V383:Z383)</f>
        <v>0</v>
      </c>
      <c r="E353" s="1327" t="str">
        <f t="shared" si="219"/>
        <v/>
      </c>
      <c r="F353" s="1328" t="str">
        <f t="shared" si="202"/>
        <v/>
      </c>
      <c r="G353" s="1329" t="str">
        <f t="shared" si="203"/>
        <v/>
      </c>
      <c r="H353" s="1328" t="str">
        <f t="shared" si="204"/>
        <v/>
      </c>
      <c r="I353" s="1330" t="str">
        <f t="shared" si="205"/>
        <v/>
      </c>
      <c r="J353" s="1331" t="str">
        <f t="shared" si="206"/>
        <v/>
      </c>
      <c r="K353" s="1328" t="str">
        <f t="shared" si="207"/>
        <v/>
      </c>
      <c r="L353" s="1330" t="str">
        <f t="shared" si="208"/>
        <v/>
      </c>
      <c r="M353" s="1330" t="str">
        <f t="shared" si="209"/>
        <v/>
      </c>
      <c r="N353" s="1331" t="str">
        <f t="shared" si="210"/>
        <v/>
      </c>
      <c r="O353" s="579" t="str">
        <f t="shared" si="211"/>
        <v/>
      </c>
      <c r="P353" s="580" t="str">
        <f t="shared" si="212"/>
        <v/>
      </c>
      <c r="Q353" s="580"/>
      <c r="R353" s="581" t="str">
        <f t="shared" si="213"/>
        <v/>
      </c>
      <c r="S353" s="581" t="str">
        <f t="shared" si="214"/>
        <v/>
      </c>
      <c r="T353" s="582" t="str">
        <f t="shared" si="215"/>
        <v/>
      </c>
      <c r="U353" s="583">
        <f t="shared" ref="U353:AF353" si="223">IF($F8=U$350,$E353,0)</f>
        <v>0</v>
      </c>
      <c r="V353" s="584">
        <f t="shared" si="223"/>
        <v>0</v>
      </c>
      <c r="W353" s="584">
        <f t="shared" si="223"/>
        <v>0</v>
      </c>
      <c r="X353" s="584">
        <f t="shared" si="223"/>
        <v>0</v>
      </c>
      <c r="Y353" s="584">
        <f t="shared" si="223"/>
        <v>0</v>
      </c>
      <c r="Z353" s="584">
        <f t="shared" si="223"/>
        <v>0</v>
      </c>
      <c r="AA353" s="584">
        <f t="shared" si="223"/>
        <v>0</v>
      </c>
      <c r="AB353" s="584">
        <f t="shared" si="223"/>
        <v>0</v>
      </c>
      <c r="AC353" s="584">
        <f t="shared" si="223"/>
        <v>0</v>
      </c>
      <c r="AD353" s="584">
        <f t="shared" si="223"/>
        <v>0</v>
      </c>
      <c r="AE353" s="584">
        <f t="shared" si="223"/>
        <v>0</v>
      </c>
      <c r="AF353" s="585">
        <f t="shared" si="223"/>
        <v>0</v>
      </c>
      <c r="AG353" s="587">
        <f t="shared" ref="AG353:AR353" si="224">IF($H8=AG$350,$G353,0)</f>
        <v>0</v>
      </c>
      <c r="AH353" s="584">
        <f t="shared" si="224"/>
        <v>0</v>
      </c>
      <c r="AI353" s="584">
        <f t="shared" si="224"/>
        <v>0</v>
      </c>
      <c r="AJ353" s="584">
        <f t="shared" si="224"/>
        <v>0</v>
      </c>
      <c r="AK353" s="584">
        <f t="shared" si="224"/>
        <v>0</v>
      </c>
      <c r="AL353" s="584">
        <f t="shared" si="224"/>
        <v>0</v>
      </c>
      <c r="AM353" s="584">
        <f t="shared" si="224"/>
        <v>0</v>
      </c>
      <c r="AN353" s="584">
        <f t="shared" si="224"/>
        <v>0</v>
      </c>
      <c r="AO353" s="588">
        <f t="shared" si="224"/>
        <v>0</v>
      </c>
      <c r="AP353" s="588">
        <f t="shared" si="224"/>
        <v>0</v>
      </c>
      <c r="AQ353" s="588">
        <f t="shared" si="224"/>
        <v>0</v>
      </c>
      <c r="AR353" s="589">
        <f t="shared" si="224"/>
        <v>0</v>
      </c>
      <c r="CU353" s="446"/>
      <c r="CV353" s="446"/>
      <c r="CW353" s="446">
        <f t="shared" si="218"/>
        <v>0</v>
      </c>
      <c r="DH353" s="446"/>
      <c r="DI353" s="446"/>
      <c r="DJ353" s="446"/>
      <c r="DK353" s="446"/>
      <c r="DL353" s="446"/>
      <c r="DM353" s="446"/>
      <c r="DN353" s="446"/>
      <c r="DO353" s="446"/>
      <c r="DP353" s="446"/>
      <c r="DQ353" s="446"/>
      <c r="DR353" s="446"/>
    </row>
    <row r="354" spans="1:122" s="475" customFormat="1" ht="14.25" customHeight="1" x14ac:dyDescent="0.2">
      <c r="A354" s="256"/>
      <c r="C354" s="1303"/>
      <c r="D354" s="1303">
        <f t="shared" si="222"/>
        <v>0</v>
      </c>
      <c r="E354" s="1327" t="str">
        <f t="shared" si="219"/>
        <v/>
      </c>
      <c r="F354" s="1328" t="str">
        <f t="shared" si="202"/>
        <v/>
      </c>
      <c r="G354" s="1329" t="str">
        <f t="shared" si="203"/>
        <v/>
      </c>
      <c r="H354" s="1328" t="str">
        <f t="shared" si="204"/>
        <v/>
      </c>
      <c r="I354" s="1330" t="str">
        <f t="shared" si="205"/>
        <v/>
      </c>
      <c r="J354" s="1331" t="str">
        <f t="shared" si="206"/>
        <v/>
      </c>
      <c r="K354" s="1328" t="str">
        <f t="shared" si="207"/>
        <v/>
      </c>
      <c r="L354" s="1330" t="str">
        <f t="shared" si="208"/>
        <v/>
      </c>
      <c r="M354" s="1330" t="str">
        <f t="shared" si="209"/>
        <v/>
      </c>
      <c r="N354" s="1331" t="str">
        <f t="shared" si="210"/>
        <v/>
      </c>
      <c r="O354" s="579" t="str">
        <f t="shared" si="211"/>
        <v/>
      </c>
      <c r="P354" s="580" t="str">
        <f t="shared" si="212"/>
        <v/>
      </c>
      <c r="Q354" s="580"/>
      <c r="R354" s="581" t="str">
        <f t="shared" si="213"/>
        <v/>
      </c>
      <c r="S354" s="581" t="str">
        <f t="shared" si="214"/>
        <v/>
      </c>
      <c r="T354" s="582" t="str">
        <f t="shared" si="215"/>
        <v/>
      </c>
      <c r="U354" s="583">
        <f t="shared" ref="U354:AF354" si="225">IF($F9=U$350,$E354,0)</f>
        <v>0</v>
      </c>
      <c r="V354" s="584">
        <f t="shared" si="225"/>
        <v>0</v>
      </c>
      <c r="W354" s="584">
        <f t="shared" si="225"/>
        <v>0</v>
      </c>
      <c r="X354" s="584">
        <f t="shared" si="225"/>
        <v>0</v>
      </c>
      <c r="Y354" s="584">
        <f t="shared" si="225"/>
        <v>0</v>
      </c>
      <c r="Z354" s="584">
        <f t="shared" si="225"/>
        <v>0</v>
      </c>
      <c r="AA354" s="584">
        <f t="shared" si="225"/>
        <v>0</v>
      </c>
      <c r="AB354" s="584">
        <f t="shared" si="225"/>
        <v>0</v>
      </c>
      <c r="AC354" s="584">
        <f t="shared" si="225"/>
        <v>0</v>
      </c>
      <c r="AD354" s="584">
        <f t="shared" si="225"/>
        <v>0</v>
      </c>
      <c r="AE354" s="584">
        <f t="shared" si="225"/>
        <v>0</v>
      </c>
      <c r="AF354" s="585">
        <f t="shared" si="225"/>
        <v>0</v>
      </c>
      <c r="AG354" s="587">
        <f t="shared" ref="AG354:AR354" si="226">IF($H9=AG$350,$G354,0)</f>
        <v>0</v>
      </c>
      <c r="AH354" s="584">
        <f t="shared" si="226"/>
        <v>0</v>
      </c>
      <c r="AI354" s="584">
        <f t="shared" si="226"/>
        <v>0</v>
      </c>
      <c r="AJ354" s="584">
        <f t="shared" si="226"/>
        <v>0</v>
      </c>
      <c r="AK354" s="584">
        <f t="shared" si="226"/>
        <v>0</v>
      </c>
      <c r="AL354" s="584">
        <f t="shared" si="226"/>
        <v>0</v>
      </c>
      <c r="AM354" s="584">
        <f t="shared" si="226"/>
        <v>0</v>
      </c>
      <c r="AN354" s="584">
        <f t="shared" si="226"/>
        <v>0</v>
      </c>
      <c r="AO354" s="588">
        <f t="shared" si="226"/>
        <v>0</v>
      </c>
      <c r="AP354" s="588">
        <f t="shared" si="226"/>
        <v>0</v>
      </c>
      <c r="AQ354" s="588">
        <f t="shared" si="226"/>
        <v>0</v>
      </c>
      <c r="AR354" s="589">
        <f t="shared" si="226"/>
        <v>0</v>
      </c>
      <c r="CU354" s="446"/>
      <c r="CV354" s="446"/>
      <c r="CW354" s="446">
        <f t="shared" si="218"/>
        <v>0</v>
      </c>
      <c r="DH354" s="446"/>
      <c r="DI354" s="446"/>
      <c r="DJ354" s="446"/>
      <c r="DK354" s="446"/>
      <c r="DL354" s="446"/>
      <c r="DM354" s="446"/>
      <c r="DN354" s="446"/>
      <c r="DO354" s="446"/>
      <c r="DP354" s="446"/>
      <c r="DQ354" s="446"/>
      <c r="DR354" s="446"/>
    </row>
    <row r="355" spans="1:122" s="475" customFormat="1" ht="14.25" customHeight="1" x14ac:dyDescent="0.2">
      <c r="A355" s="256"/>
      <c r="C355" s="1303"/>
      <c r="D355" s="1303">
        <f t="shared" si="222"/>
        <v>0</v>
      </c>
      <c r="E355" s="1327" t="str">
        <f t="shared" si="219"/>
        <v/>
      </c>
      <c r="F355" s="1328" t="str">
        <f t="shared" si="202"/>
        <v/>
      </c>
      <c r="G355" s="1329" t="str">
        <f t="shared" si="203"/>
        <v/>
      </c>
      <c r="H355" s="1328" t="str">
        <f t="shared" si="204"/>
        <v/>
      </c>
      <c r="I355" s="1330" t="str">
        <f t="shared" si="205"/>
        <v/>
      </c>
      <c r="J355" s="1331" t="str">
        <f t="shared" si="206"/>
        <v/>
      </c>
      <c r="K355" s="1328" t="str">
        <f t="shared" si="207"/>
        <v/>
      </c>
      <c r="L355" s="1330" t="str">
        <f t="shared" si="208"/>
        <v/>
      </c>
      <c r="M355" s="1330" t="str">
        <f t="shared" si="209"/>
        <v/>
      </c>
      <c r="N355" s="1331" t="str">
        <f t="shared" si="210"/>
        <v/>
      </c>
      <c r="O355" s="579" t="str">
        <f t="shared" si="211"/>
        <v/>
      </c>
      <c r="P355" s="580" t="str">
        <f t="shared" si="212"/>
        <v/>
      </c>
      <c r="Q355" s="580"/>
      <c r="R355" s="581" t="str">
        <f t="shared" si="213"/>
        <v/>
      </c>
      <c r="S355" s="581" t="str">
        <f t="shared" si="214"/>
        <v/>
      </c>
      <c r="T355" s="582" t="str">
        <f t="shared" si="215"/>
        <v/>
      </c>
      <c r="U355" s="583">
        <f t="shared" ref="U355:AF355" si="227">IF($F10=U$350,$E355,0)</f>
        <v>0</v>
      </c>
      <c r="V355" s="584">
        <f t="shared" si="227"/>
        <v>0</v>
      </c>
      <c r="W355" s="584">
        <f t="shared" si="227"/>
        <v>0</v>
      </c>
      <c r="X355" s="584">
        <f t="shared" si="227"/>
        <v>0</v>
      </c>
      <c r="Y355" s="584">
        <f t="shared" si="227"/>
        <v>0</v>
      </c>
      <c r="Z355" s="584">
        <f t="shared" si="227"/>
        <v>0</v>
      </c>
      <c r="AA355" s="584">
        <f t="shared" si="227"/>
        <v>0</v>
      </c>
      <c r="AB355" s="584">
        <f t="shared" si="227"/>
        <v>0</v>
      </c>
      <c r="AC355" s="584">
        <f t="shared" si="227"/>
        <v>0</v>
      </c>
      <c r="AD355" s="584">
        <f t="shared" si="227"/>
        <v>0</v>
      </c>
      <c r="AE355" s="584">
        <f t="shared" si="227"/>
        <v>0</v>
      </c>
      <c r="AF355" s="585">
        <f t="shared" si="227"/>
        <v>0</v>
      </c>
      <c r="AG355" s="587">
        <f t="shared" ref="AG355:AR355" si="228">IF($H10=AG$350,$G355,0)</f>
        <v>0</v>
      </c>
      <c r="AH355" s="584">
        <f t="shared" si="228"/>
        <v>0</v>
      </c>
      <c r="AI355" s="584">
        <f t="shared" si="228"/>
        <v>0</v>
      </c>
      <c r="AJ355" s="584">
        <f t="shared" si="228"/>
        <v>0</v>
      </c>
      <c r="AK355" s="584">
        <f t="shared" si="228"/>
        <v>0</v>
      </c>
      <c r="AL355" s="584">
        <f t="shared" si="228"/>
        <v>0</v>
      </c>
      <c r="AM355" s="584">
        <f t="shared" si="228"/>
        <v>0</v>
      </c>
      <c r="AN355" s="584">
        <f t="shared" si="228"/>
        <v>0</v>
      </c>
      <c r="AO355" s="588">
        <f t="shared" si="228"/>
        <v>0</v>
      </c>
      <c r="AP355" s="588">
        <f t="shared" si="228"/>
        <v>0</v>
      </c>
      <c r="AQ355" s="588">
        <f t="shared" si="228"/>
        <v>0</v>
      </c>
      <c r="AR355" s="589">
        <f t="shared" si="228"/>
        <v>0</v>
      </c>
      <c r="CU355" s="446"/>
      <c r="CV355" s="446"/>
      <c r="CW355" s="446">
        <f t="shared" si="218"/>
        <v>0</v>
      </c>
      <c r="DH355" s="446"/>
      <c r="DI355" s="446"/>
      <c r="DJ355" s="446"/>
      <c r="DK355" s="446"/>
      <c r="DL355" s="446"/>
      <c r="DM355" s="446"/>
      <c r="DN355" s="446"/>
      <c r="DO355" s="446"/>
      <c r="DP355" s="446"/>
      <c r="DQ355" s="446"/>
      <c r="DR355" s="446"/>
    </row>
    <row r="356" spans="1:122" s="475" customFormat="1" ht="14.25" customHeight="1" x14ac:dyDescent="0.2">
      <c r="A356" s="256"/>
      <c r="C356" s="1303"/>
      <c r="D356" s="1303">
        <f t="shared" si="222"/>
        <v>0</v>
      </c>
      <c r="E356" s="1327" t="str">
        <f t="shared" si="219"/>
        <v/>
      </c>
      <c r="F356" s="1328" t="str">
        <f t="shared" si="202"/>
        <v/>
      </c>
      <c r="G356" s="1329" t="str">
        <f t="shared" si="203"/>
        <v/>
      </c>
      <c r="H356" s="1328" t="str">
        <f t="shared" si="204"/>
        <v/>
      </c>
      <c r="I356" s="1330" t="str">
        <f t="shared" si="205"/>
        <v/>
      </c>
      <c r="J356" s="1331" t="str">
        <f t="shared" si="206"/>
        <v/>
      </c>
      <c r="K356" s="1328" t="str">
        <f t="shared" si="207"/>
        <v/>
      </c>
      <c r="L356" s="1330" t="str">
        <f t="shared" si="208"/>
        <v/>
      </c>
      <c r="M356" s="1330" t="str">
        <f t="shared" si="209"/>
        <v/>
      </c>
      <c r="N356" s="1331" t="str">
        <f t="shared" si="210"/>
        <v/>
      </c>
      <c r="O356" s="579" t="str">
        <f t="shared" si="211"/>
        <v/>
      </c>
      <c r="P356" s="580" t="str">
        <f t="shared" si="212"/>
        <v/>
      </c>
      <c r="Q356" s="580"/>
      <c r="R356" s="581" t="str">
        <f t="shared" si="213"/>
        <v/>
      </c>
      <c r="S356" s="581" t="str">
        <f t="shared" si="214"/>
        <v/>
      </c>
      <c r="T356" s="582" t="str">
        <f t="shared" si="215"/>
        <v/>
      </c>
      <c r="U356" s="583">
        <f t="shared" ref="U356:AF356" si="229">IF($F11=U$350,$E356,0)</f>
        <v>0</v>
      </c>
      <c r="V356" s="584">
        <f t="shared" si="229"/>
        <v>0</v>
      </c>
      <c r="W356" s="584">
        <f t="shared" si="229"/>
        <v>0</v>
      </c>
      <c r="X356" s="584">
        <f t="shared" si="229"/>
        <v>0</v>
      </c>
      <c r="Y356" s="584">
        <f t="shared" si="229"/>
        <v>0</v>
      </c>
      <c r="Z356" s="584">
        <f t="shared" si="229"/>
        <v>0</v>
      </c>
      <c r="AA356" s="584">
        <f t="shared" si="229"/>
        <v>0</v>
      </c>
      <c r="AB356" s="584">
        <f t="shared" si="229"/>
        <v>0</v>
      </c>
      <c r="AC356" s="584">
        <f t="shared" si="229"/>
        <v>0</v>
      </c>
      <c r="AD356" s="584">
        <f t="shared" si="229"/>
        <v>0</v>
      </c>
      <c r="AE356" s="584">
        <f t="shared" si="229"/>
        <v>0</v>
      </c>
      <c r="AF356" s="585">
        <f t="shared" si="229"/>
        <v>0</v>
      </c>
      <c r="AG356" s="587">
        <f t="shared" ref="AG356:AR356" si="230">IF($H11=AG$350,$G356,0)</f>
        <v>0</v>
      </c>
      <c r="AH356" s="584">
        <f t="shared" si="230"/>
        <v>0</v>
      </c>
      <c r="AI356" s="584">
        <f t="shared" si="230"/>
        <v>0</v>
      </c>
      <c r="AJ356" s="584">
        <f t="shared" si="230"/>
        <v>0</v>
      </c>
      <c r="AK356" s="584">
        <f t="shared" si="230"/>
        <v>0</v>
      </c>
      <c r="AL356" s="584">
        <f t="shared" si="230"/>
        <v>0</v>
      </c>
      <c r="AM356" s="584">
        <f t="shared" si="230"/>
        <v>0</v>
      </c>
      <c r="AN356" s="584">
        <f t="shared" si="230"/>
        <v>0</v>
      </c>
      <c r="AO356" s="588">
        <f t="shared" si="230"/>
        <v>0</v>
      </c>
      <c r="AP356" s="588">
        <f t="shared" si="230"/>
        <v>0</v>
      </c>
      <c r="AQ356" s="588">
        <f t="shared" si="230"/>
        <v>0</v>
      </c>
      <c r="AR356" s="589">
        <f t="shared" si="230"/>
        <v>0</v>
      </c>
      <c r="CU356" s="446"/>
      <c r="CV356" s="446"/>
      <c r="CW356" s="446">
        <f t="shared" si="218"/>
        <v>0</v>
      </c>
      <c r="DH356" s="446"/>
      <c r="DI356" s="446"/>
      <c r="DJ356" s="446"/>
      <c r="DK356" s="446"/>
      <c r="DL356" s="446"/>
      <c r="DM356" s="446"/>
      <c r="DN356" s="446"/>
      <c r="DO356" s="446"/>
      <c r="DP356" s="446"/>
      <c r="DQ356" s="446"/>
      <c r="DR356" s="446"/>
    </row>
    <row r="357" spans="1:122" s="475" customFormat="1" ht="14.25" customHeight="1" x14ac:dyDescent="0.2">
      <c r="A357" s="256"/>
      <c r="C357" s="1303"/>
      <c r="D357" s="1303">
        <f t="shared" si="222"/>
        <v>0</v>
      </c>
      <c r="E357" s="1327" t="str">
        <f t="shared" si="219"/>
        <v/>
      </c>
      <c r="F357" s="1328" t="str">
        <f t="shared" si="202"/>
        <v/>
      </c>
      <c r="G357" s="1329" t="str">
        <f t="shared" si="203"/>
        <v/>
      </c>
      <c r="H357" s="1328" t="str">
        <f t="shared" si="204"/>
        <v/>
      </c>
      <c r="I357" s="1330" t="str">
        <f t="shared" si="205"/>
        <v/>
      </c>
      <c r="J357" s="1331" t="str">
        <f t="shared" si="206"/>
        <v/>
      </c>
      <c r="K357" s="1328" t="str">
        <f t="shared" si="207"/>
        <v/>
      </c>
      <c r="L357" s="1330" t="str">
        <f t="shared" si="208"/>
        <v/>
      </c>
      <c r="M357" s="1330" t="str">
        <f t="shared" si="209"/>
        <v/>
      </c>
      <c r="N357" s="1331" t="str">
        <f t="shared" si="210"/>
        <v/>
      </c>
      <c r="O357" s="579" t="str">
        <f t="shared" si="211"/>
        <v/>
      </c>
      <c r="P357" s="580" t="str">
        <f t="shared" si="212"/>
        <v/>
      </c>
      <c r="Q357" s="580"/>
      <c r="R357" s="581" t="str">
        <f t="shared" si="213"/>
        <v/>
      </c>
      <c r="S357" s="581" t="str">
        <f t="shared" si="214"/>
        <v/>
      </c>
      <c r="T357" s="582" t="str">
        <f t="shared" si="215"/>
        <v/>
      </c>
      <c r="U357" s="583">
        <f t="shared" ref="U357:AF357" si="231">IF($F12=U$350,$E357,0)</f>
        <v>0</v>
      </c>
      <c r="V357" s="584">
        <f t="shared" si="231"/>
        <v>0</v>
      </c>
      <c r="W357" s="584">
        <f t="shared" si="231"/>
        <v>0</v>
      </c>
      <c r="X357" s="584">
        <f t="shared" si="231"/>
        <v>0</v>
      </c>
      <c r="Y357" s="584">
        <f t="shared" si="231"/>
        <v>0</v>
      </c>
      <c r="Z357" s="584">
        <f t="shared" si="231"/>
        <v>0</v>
      </c>
      <c r="AA357" s="584">
        <f t="shared" si="231"/>
        <v>0</v>
      </c>
      <c r="AB357" s="584">
        <f t="shared" si="231"/>
        <v>0</v>
      </c>
      <c r="AC357" s="584">
        <f t="shared" si="231"/>
        <v>0</v>
      </c>
      <c r="AD357" s="584">
        <f t="shared" si="231"/>
        <v>0</v>
      </c>
      <c r="AE357" s="584">
        <f t="shared" si="231"/>
        <v>0</v>
      </c>
      <c r="AF357" s="585">
        <f t="shared" si="231"/>
        <v>0</v>
      </c>
      <c r="AG357" s="587">
        <f t="shared" ref="AG357:AR357" si="232">IF($H12=AG$350,$G357,0)</f>
        <v>0</v>
      </c>
      <c r="AH357" s="584">
        <f t="shared" si="232"/>
        <v>0</v>
      </c>
      <c r="AI357" s="584">
        <f t="shared" si="232"/>
        <v>0</v>
      </c>
      <c r="AJ357" s="584">
        <f t="shared" si="232"/>
        <v>0</v>
      </c>
      <c r="AK357" s="584">
        <f t="shared" si="232"/>
        <v>0</v>
      </c>
      <c r="AL357" s="584">
        <f t="shared" si="232"/>
        <v>0</v>
      </c>
      <c r="AM357" s="584">
        <f t="shared" si="232"/>
        <v>0</v>
      </c>
      <c r="AN357" s="584">
        <f t="shared" si="232"/>
        <v>0</v>
      </c>
      <c r="AO357" s="588">
        <f t="shared" si="232"/>
        <v>0</v>
      </c>
      <c r="AP357" s="588">
        <f t="shared" si="232"/>
        <v>0</v>
      </c>
      <c r="AQ357" s="588">
        <f t="shared" si="232"/>
        <v>0</v>
      </c>
      <c r="AR357" s="589">
        <f t="shared" si="232"/>
        <v>0</v>
      </c>
      <c r="CU357" s="446"/>
      <c r="CV357" s="446"/>
      <c r="CW357" s="446">
        <f t="shared" si="218"/>
        <v>0</v>
      </c>
      <c r="DH357" s="446"/>
      <c r="DI357" s="446"/>
      <c r="DJ357" s="446"/>
      <c r="DK357" s="446"/>
      <c r="DL357" s="446"/>
      <c r="DM357" s="446"/>
      <c r="DN357" s="446"/>
      <c r="DO357" s="446"/>
      <c r="DP357" s="446"/>
      <c r="DQ357" s="446"/>
      <c r="DR357" s="446"/>
    </row>
    <row r="358" spans="1:122" s="475" customFormat="1" ht="15" customHeight="1" thickBot="1" x14ac:dyDescent="0.25">
      <c r="A358" s="256"/>
      <c r="C358" s="1303"/>
      <c r="D358" s="1332">
        <f t="shared" si="222"/>
        <v>0</v>
      </c>
      <c r="E358" s="1327">
        <f>E27/5</f>
        <v>0</v>
      </c>
      <c r="F358" s="1328">
        <f>E27/5</f>
        <v>0</v>
      </c>
      <c r="G358" s="1329">
        <f>H27/5</f>
        <v>0</v>
      </c>
      <c r="H358" s="1333">
        <f>E27/5</f>
        <v>0</v>
      </c>
      <c r="I358" s="1334">
        <f>H27/5</f>
        <v>0</v>
      </c>
      <c r="J358" s="1335">
        <f>K27/5</f>
        <v>0</v>
      </c>
      <c r="K358" s="1333">
        <f>E27/5</f>
        <v>0</v>
      </c>
      <c r="L358" s="1334">
        <f>H27/5</f>
        <v>0</v>
      </c>
      <c r="M358" s="1334">
        <f>K27/5</f>
        <v>0</v>
      </c>
      <c r="N358" s="1335">
        <f>N27/5</f>
        <v>0</v>
      </c>
      <c r="O358" s="590">
        <f>E27/5</f>
        <v>0</v>
      </c>
      <c r="P358" s="591">
        <f>H27/5</f>
        <v>0</v>
      </c>
      <c r="Q358" s="591"/>
      <c r="R358" s="592">
        <f>K27/5</f>
        <v>0</v>
      </c>
      <c r="S358" s="592">
        <f>N27/12</f>
        <v>0</v>
      </c>
      <c r="T358" s="593">
        <f>R27/12</f>
        <v>0</v>
      </c>
      <c r="U358" s="583"/>
      <c r="V358" s="583"/>
      <c r="W358" s="583"/>
      <c r="X358" s="583"/>
      <c r="Y358" s="583"/>
      <c r="Z358" s="583"/>
      <c r="AA358" s="583"/>
      <c r="AB358" s="583"/>
      <c r="AC358" s="583"/>
      <c r="AD358" s="583"/>
      <c r="AE358" s="583"/>
      <c r="AF358" s="594">
        <f>F358</f>
        <v>0</v>
      </c>
      <c r="AG358" s="587"/>
      <c r="AH358" s="584"/>
      <c r="AI358" s="584"/>
      <c r="AJ358" s="584"/>
      <c r="AK358" s="584"/>
      <c r="AL358" s="584"/>
      <c r="AM358" s="584"/>
      <c r="AN358" s="584"/>
      <c r="AO358" s="588"/>
      <c r="AP358" s="588"/>
      <c r="AQ358" s="588"/>
      <c r="AR358" s="589">
        <f>H358</f>
        <v>0</v>
      </c>
      <c r="CU358" s="446"/>
      <c r="CV358" s="446"/>
      <c r="CW358" s="446">
        <f t="shared" si="218"/>
        <v>0</v>
      </c>
      <c r="DH358" s="446"/>
      <c r="DI358" s="446"/>
      <c r="DJ358" s="446"/>
      <c r="DK358" s="446"/>
      <c r="DL358" s="446"/>
      <c r="DM358" s="446"/>
      <c r="DN358" s="446"/>
      <c r="DO358" s="446"/>
      <c r="DP358" s="446"/>
      <c r="DQ358" s="446"/>
      <c r="DR358" s="446"/>
    </row>
    <row r="359" spans="1:122" s="475" customFormat="1" ht="15" customHeight="1" thickTop="1" x14ac:dyDescent="0.2">
      <c r="A359" s="256"/>
      <c r="C359" s="1303"/>
      <c r="D359" s="1303"/>
      <c r="E359" s="1336">
        <f>SUM(E350:E357)</f>
        <v>0</v>
      </c>
      <c r="F359" s="1337">
        <f t="shared" ref="F359:T359" si="233">SUM(F350:F358)</f>
        <v>0</v>
      </c>
      <c r="G359" s="1338">
        <f t="shared" si="233"/>
        <v>0</v>
      </c>
      <c r="H359" s="1339">
        <f t="shared" si="233"/>
        <v>0</v>
      </c>
      <c r="I359" s="1340">
        <f t="shared" si="233"/>
        <v>0</v>
      </c>
      <c r="J359" s="1341">
        <f t="shared" si="233"/>
        <v>0</v>
      </c>
      <c r="K359" s="1339">
        <f t="shared" si="233"/>
        <v>0</v>
      </c>
      <c r="L359" s="1340">
        <f t="shared" si="233"/>
        <v>0</v>
      </c>
      <c r="M359" s="1340">
        <f t="shared" si="233"/>
        <v>0</v>
      </c>
      <c r="N359" s="1341">
        <f t="shared" si="233"/>
        <v>0</v>
      </c>
      <c r="O359" s="595">
        <f t="shared" si="233"/>
        <v>0</v>
      </c>
      <c r="P359" s="596">
        <f t="shared" si="233"/>
        <v>0</v>
      </c>
      <c r="Q359" s="596"/>
      <c r="R359" s="597">
        <f t="shared" si="233"/>
        <v>0</v>
      </c>
      <c r="S359" s="597">
        <f t="shared" si="233"/>
        <v>0</v>
      </c>
      <c r="T359" s="598">
        <f t="shared" si="233"/>
        <v>0</v>
      </c>
      <c r="U359" s="599">
        <f>SUM(U351:U358)</f>
        <v>0</v>
      </c>
      <c r="V359" s="600">
        <f t="shared" ref="V359:AF359" si="234">SUM(V351:V358)</f>
        <v>0</v>
      </c>
      <c r="W359" s="600">
        <f t="shared" si="234"/>
        <v>0</v>
      </c>
      <c r="X359" s="600">
        <f t="shared" si="234"/>
        <v>0</v>
      </c>
      <c r="Y359" s="600">
        <f t="shared" si="234"/>
        <v>0</v>
      </c>
      <c r="Z359" s="600">
        <f t="shared" si="234"/>
        <v>0</v>
      </c>
      <c r="AA359" s="600">
        <f t="shared" si="234"/>
        <v>0</v>
      </c>
      <c r="AB359" s="600">
        <f t="shared" si="234"/>
        <v>0</v>
      </c>
      <c r="AC359" s="600">
        <f t="shared" si="234"/>
        <v>0</v>
      </c>
      <c r="AD359" s="600">
        <f t="shared" si="234"/>
        <v>0</v>
      </c>
      <c r="AE359" s="600">
        <f t="shared" si="234"/>
        <v>0</v>
      </c>
      <c r="AF359" s="601">
        <f t="shared" si="234"/>
        <v>0</v>
      </c>
      <c r="AG359" s="602">
        <f>SUM(AG351:AG358)</f>
        <v>0</v>
      </c>
      <c r="AH359" s="600">
        <f t="shared" ref="AH359:AR359" si="235">SUM(AH351:AH358)</f>
        <v>0</v>
      </c>
      <c r="AI359" s="600">
        <f t="shared" si="235"/>
        <v>0</v>
      </c>
      <c r="AJ359" s="600">
        <f t="shared" si="235"/>
        <v>0</v>
      </c>
      <c r="AK359" s="600">
        <f t="shared" si="235"/>
        <v>0</v>
      </c>
      <c r="AL359" s="600">
        <f t="shared" si="235"/>
        <v>0</v>
      </c>
      <c r="AM359" s="600">
        <f t="shared" si="235"/>
        <v>0</v>
      </c>
      <c r="AN359" s="600">
        <f t="shared" si="235"/>
        <v>0</v>
      </c>
      <c r="AO359" s="603">
        <f t="shared" si="235"/>
        <v>0</v>
      </c>
      <c r="AP359" s="603">
        <f t="shared" si="235"/>
        <v>0</v>
      </c>
      <c r="AQ359" s="603">
        <f t="shared" si="235"/>
        <v>0</v>
      </c>
      <c r="AR359" s="603">
        <f t="shared" si="235"/>
        <v>0</v>
      </c>
      <c r="CU359" s="446"/>
      <c r="CV359" s="446"/>
      <c r="CW359" s="446"/>
      <c r="DH359" s="446"/>
      <c r="DI359" s="446"/>
      <c r="DJ359" s="446"/>
      <c r="DK359" s="446"/>
      <c r="DL359" s="446"/>
      <c r="DM359" s="446"/>
      <c r="DN359" s="446"/>
      <c r="DO359" s="446"/>
      <c r="DP359" s="446"/>
      <c r="DQ359" s="446"/>
      <c r="DR359" s="446"/>
    </row>
    <row r="360" spans="1:122" s="475" customFormat="1" ht="15" customHeight="1" thickBot="1" x14ac:dyDescent="0.25">
      <c r="A360" s="256"/>
      <c r="C360" s="1303"/>
      <c r="D360" s="1342" t="s">
        <v>130</v>
      </c>
      <c r="E360" s="1343">
        <f>E359</f>
        <v>0</v>
      </c>
      <c r="F360" s="1344"/>
      <c r="G360" s="1345">
        <f>G359+F359</f>
        <v>0</v>
      </c>
      <c r="H360" s="1344"/>
      <c r="I360" s="1346"/>
      <c r="J360" s="1345">
        <f>SUM(H359:J359)</f>
        <v>0</v>
      </c>
      <c r="K360" s="1344"/>
      <c r="L360" s="1346"/>
      <c r="M360" s="1346"/>
      <c r="N360" s="1345">
        <f>SUM(L359:N359)</f>
        <v>0</v>
      </c>
      <c r="O360" s="605"/>
      <c r="P360" s="604"/>
      <c r="Q360" s="604"/>
      <c r="R360" s="606"/>
      <c r="S360" s="606"/>
      <c r="T360" s="607">
        <f>SUM(O359:T359)</f>
        <v>0</v>
      </c>
      <c r="U360" s="608">
        <f>U359/12</f>
        <v>0</v>
      </c>
      <c r="V360" s="609">
        <f>V359/11</f>
        <v>0</v>
      </c>
      <c r="W360" s="609">
        <f>W359/10</f>
        <v>0</v>
      </c>
      <c r="X360" s="609">
        <f>X359/9</f>
        <v>0</v>
      </c>
      <c r="Y360" s="609">
        <f>Y359/8</f>
        <v>0</v>
      </c>
      <c r="Z360" s="609">
        <f>Z359/7</f>
        <v>0</v>
      </c>
      <c r="AA360" s="609">
        <f>AA359/6</f>
        <v>0</v>
      </c>
      <c r="AB360" s="609">
        <f>AB359/5</f>
        <v>0</v>
      </c>
      <c r="AC360" s="609">
        <f>AC359/4</f>
        <v>0</v>
      </c>
      <c r="AD360" s="609">
        <f>AD359/3</f>
        <v>0</v>
      </c>
      <c r="AE360" s="609">
        <f>AE359/2</f>
        <v>0</v>
      </c>
      <c r="AF360" s="610">
        <f>AF359/1</f>
        <v>0</v>
      </c>
      <c r="AG360" s="611">
        <f>AG359/12</f>
        <v>0</v>
      </c>
      <c r="AH360" s="609">
        <f>AH359/11</f>
        <v>0</v>
      </c>
      <c r="AI360" s="609">
        <f>AI359/10</f>
        <v>0</v>
      </c>
      <c r="AJ360" s="609">
        <f>AJ359/9</f>
        <v>0</v>
      </c>
      <c r="AK360" s="609">
        <f>AK359/8</f>
        <v>0</v>
      </c>
      <c r="AL360" s="609">
        <f>AL359/7</f>
        <v>0</v>
      </c>
      <c r="AM360" s="609">
        <f>AM359/6</f>
        <v>0</v>
      </c>
      <c r="AN360" s="609">
        <f>AN359/5</f>
        <v>0</v>
      </c>
      <c r="AO360" s="612">
        <f>AO359/4</f>
        <v>0</v>
      </c>
      <c r="AP360" s="612">
        <f>AP359/3</f>
        <v>0</v>
      </c>
      <c r="AQ360" s="612">
        <f>AQ359/2</f>
        <v>0</v>
      </c>
      <c r="AR360" s="612">
        <f>AR359/1</f>
        <v>0</v>
      </c>
      <c r="CU360" s="446"/>
      <c r="CV360" s="446"/>
      <c r="CW360" s="562" t="s">
        <v>130</v>
      </c>
      <c r="DH360" s="446"/>
      <c r="DI360" s="446"/>
      <c r="DJ360" s="446"/>
      <c r="DK360" s="446"/>
      <c r="DL360" s="446"/>
      <c r="DM360" s="446"/>
      <c r="DN360" s="446"/>
      <c r="DO360" s="446"/>
      <c r="DP360" s="446"/>
      <c r="DQ360" s="446"/>
      <c r="DR360" s="446"/>
    </row>
    <row r="361" spans="1:122" s="475" customFormat="1" ht="15" customHeight="1" thickBot="1" x14ac:dyDescent="0.25">
      <c r="A361" s="256"/>
      <c r="C361" s="1303"/>
      <c r="D361" s="1303"/>
      <c r="E361" s="1347"/>
      <c r="F361" s="1303"/>
      <c r="G361" s="1347"/>
      <c r="H361" s="1303"/>
      <c r="I361" s="1347"/>
      <c r="J361" s="1303"/>
      <c r="K361" s="1347"/>
      <c r="L361" s="1303"/>
      <c r="M361" s="1347"/>
      <c r="N361" s="1303"/>
      <c r="R361" s="256"/>
      <c r="S361" s="543"/>
      <c r="T361" s="543"/>
      <c r="U361" s="613">
        <f>T361+U360</f>
        <v>0</v>
      </c>
      <c r="V361" s="613">
        <f>U361+V360</f>
        <v>0</v>
      </c>
      <c r="W361" s="613">
        <f t="shared" ref="W361:AE361" si="236">V361+W360</f>
        <v>0</v>
      </c>
      <c r="X361" s="613">
        <f t="shared" si="236"/>
        <v>0</v>
      </c>
      <c r="Y361" s="613">
        <f t="shared" si="236"/>
        <v>0</v>
      </c>
      <c r="Z361" s="613">
        <f t="shared" si="236"/>
        <v>0</v>
      </c>
      <c r="AA361" s="613">
        <f t="shared" si="236"/>
        <v>0</v>
      </c>
      <c r="AB361" s="613">
        <f t="shared" si="236"/>
        <v>0</v>
      </c>
      <c r="AC361" s="613">
        <f t="shared" si="236"/>
        <v>0</v>
      </c>
      <c r="AD361" s="613">
        <f t="shared" si="236"/>
        <v>0</v>
      </c>
      <c r="AE361" s="613">
        <f t="shared" si="236"/>
        <v>0</v>
      </c>
      <c r="AF361" s="614">
        <f>AE361+AF359</f>
        <v>0</v>
      </c>
      <c r="AG361" s="615">
        <f>AF361-AF359+AG359-AG360</f>
        <v>0</v>
      </c>
      <c r="AH361" s="615">
        <f t="shared" ref="AH361:AR361" si="237">AG361-AG359+AH359-AH360</f>
        <v>0</v>
      </c>
      <c r="AI361" s="615">
        <f t="shared" si="237"/>
        <v>0</v>
      </c>
      <c r="AJ361" s="615">
        <f t="shared" si="237"/>
        <v>0</v>
      </c>
      <c r="AK361" s="615">
        <f t="shared" si="237"/>
        <v>0</v>
      </c>
      <c r="AL361" s="615">
        <f t="shared" si="237"/>
        <v>0</v>
      </c>
      <c r="AM361" s="615">
        <f t="shared" si="237"/>
        <v>0</v>
      </c>
      <c r="AN361" s="615">
        <f t="shared" si="237"/>
        <v>0</v>
      </c>
      <c r="AO361" s="615">
        <f t="shared" si="237"/>
        <v>0</v>
      </c>
      <c r="AP361" s="615">
        <f t="shared" si="237"/>
        <v>0</v>
      </c>
      <c r="AQ361" s="615">
        <f t="shared" si="237"/>
        <v>0</v>
      </c>
      <c r="AR361" s="615">
        <f t="shared" si="237"/>
        <v>0</v>
      </c>
      <c r="CU361" s="446"/>
      <c r="CV361" s="446"/>
      <c r="CW361" s="446"/>
      <c r="DH361" s="446"/>
      <c r="DI361" s="446"/>
      <c r="DJ361" s="446"/>
      <c r="DK361" s="446"/>
      <c r="DL361" s="446"/>
      <c r="DM361" s="446"/>
      <c r="DN361" s="446"/>
      <c r="DO361" s="446"/>
      <c r="DP361" s="446"/>
      <c r="DQ361" s="446"/>
      <c r="DR361" s="446"/>
    </row>
    <row r="362" spans="1:122" s="475" customFormat="1" ht="15" customHeight="1" thickBot="1" x14ac:dyDescent="0.25">
      <c r="A362" s="256"/>
      <c r="C362" s="1303"/>
      <c r="D362" s="1303"/>
      <c r="E362" s="1348"/>
      <c r="F362" s="1348"/>
      <c r="G362" s="1348"/>
      <c r="H362" s="1348"/>
      <c r="I362" s="903"/>
      <c r="J362" s="903"/>
      <c r="K362" s="903"/>
      <c r="L362" s="903"/>
      <c r="M362" s="903"/>
      <c r="N362" s="903"/>
      <c r="O362" s="446"/>
      <c r="P362" s="446"/>
      <c r="Q362" s="446"/>
      <c r="R362" s="258"/>
      <c r="S362" s="258"/>
      <c r="T362" s="258"/>
      <c r="U362" s="616"/>
      <c r="V362" s="256"/>
      <c r="W362" s="256"/>
      <c r="X362" s="256"/>
      <c r="Y362" s="256"/>
      <c r="Z362" s="256"/>
      <c r="AA362" s="256"/>
      <c r="AB362" s="256"/>
      <c r="AC362" s="256"/>
      <c r="AD362" s="256"/>
      <c r="AE362" s="256"/>
      <c r="AF362" s="615">
        <f>AF361</f>
        <v>0</v>
      </c>
      <c r="AG362" s="617">
        <f>AG360+AF362</f>
        <v>0</v>
      </c>
      <c r="AH362" s="613">
        <f t="shared" ref="AH362:AR362" si="238">AG362+AH360</f>
        <v>0</v>
      </c>
      <c r="AI362" s="613">
        <f t="shared" si="238"/>
        <v>0</v>
      </c>
      <c r="AJ362" s="613">
        <f t="shared" si="238"/>
        <v>0</v>
      </c>
      <c r="AK362" s="613">
        <f t="shared" si="238"/>
        <v>0</v>
      </c>
      <c r="AL362" s="613">
        <f t="shared" si="238"/>
        <v>0</v>
      </c>
      <c r="AM362" s="613">
        <f t="shared" si="238"/>
        <v>0</v>
      </c>
      <c r="AN362" s="613">
        <f t="shared" si="238"/>
        <v>0</v>
      </c>
      <c r="AO362" s="618">
        <f t="shared" si="238"/>
        <v>0</v>
      </c>
      <c r="AP362" s="618">
        <f t="shared" si="238"/>
        <v>0</v>
      </c>
      <c r="AQ362" s="618">
        <f t="shared" si="238"/>
        <v>0</v>
      </c>
      <c r="AR362" s="619">
        <f t="shared" si="238"/>
        <v>0</v>
      </c>
      <c r="CU362" s="446"/>
      <c r="CV362" s="446"/>
      <c r="CW362" s="446"/>
      <c r="DH362" s="446"/>
      <c r="DI362" s="446"/>
      <c r="DJ362" s="446"/>
      <c r="DK362" s="446"/>
      <c r="DL362" s="446"/>
      <c r="DM362" s="446"/>
      <c r="DN362" s="446"/>
      <c r="DO362" s="446"/>
      <c r="DP362" s="446"/>
      <c r="DQ362" s="446"/>
      <c r="DR362" s="446"/>
    </row>
    <row r="363" spans="1:122" s="475" customFormat="1" ht="14.25" customHeight="1" x14ac:dyDescent="0.2">
      <c r="A363" s="256"/>
      <c r="C363" s="1303"/>
      <c r="D363" s="1303"/>
      <c r="E363" s="1303"/>
      <c r="F363" s="1303"/>
      <c r="G363" s="1303"/>
      <c r="H363" s="1303"/>
      <c r="I363" s="1303"/>
      <c r="J363" s="1303"/>
      <c r="K363" s="1303"/>
      <c r="L363" s="1303"/>
      <c r="M363" s="1303"/>
      <c r="N363" s="1303"/>
      <c r="R363" s="256"/>
      <c r="S363" s="256"/>
      <c r="T363" s="256"/>
      <c r="U363" s="616"/>
      <c r="V363" s="256"/>
      <c r="W363" s="256"/>
      <c r="X363" s="256"/>
      <c r="Y363" s="256"/>
      <c r="Z363" s="256"/>
      <c r="AA363" s="256"/>
      <c r="AB363" s="256"/>
      <c r="AC363" s="256"/>
      <c r="AD363" s="256"/>
      <c r="AE363" s="256"/>
      <c r="AF363" s="256"/>
      <c r="AG363" s="615">
        <f>AG362+AG361</f>
        <v>0</v>
      </c>
      <c r="AH363" s="615">
        <f t="shared" ref="AH363:AR363" si="239">AH362+AH361</f>
        <v>0</v>
      </c>
      <c r="AI363" s="615">
        <f t="shared" si="239"/>
        <v>0</v>
      </c>
      <c r="AJ363" s="615">
        <f t="shared" si="239"/>
        <v>0</v>
      </c>
      <c r="AK363" s="615">
        <f t="shared" si="239"/>
        <v>0</v>
      </c>
      <c r="AL363" s="615">
        <f t="shared" si="239"/>
        <v>0</v>
      </c>
      <c r="AM363" s="615">
        <f t="shared" si="239"/>
        <v>0</v>
      </c>
      <c r="AN363" s="615">
        <f t="shared" si="239"/>
        <v>0</v>
      </c>
      <c r="AO363" s="615">
        <f t="shared" si="239"/>
        <v>0</v>
      </c>
      <c r="AP363" s="615">
        <f t="shared" si="239"/>
        <v>0</v>
      </c>
      <c r="AQ363" s="615">
        <f t="shared" si="239"/>
        <v>0</v>
      </c>
      <c r="AR363" s="615">
        <f t="shared" si="239"/>
        <v>0</v>
      </c>
      <c r="CU363" s="446"/>
      <c r="CV363" s="446"/>
      <c r="CW363" s="446"/>
      <c r="DH363" s="446"/>
      <c r="DI363" s="446"/>
      <c r="DJ363" s="446"/>
      <c r="DK363" s="446"/>
      <c r="DL363" s="446"/>
      <c r="DM363" s="446"/>
      <c r="DN363" s="446"/>
      <c r="DO363" s="446"/>
      <c r="DP363" s="446"/>
      <c r="DQ363" s="446"/>
      <c r="DR363" s="446"/>
    </row>
    <row r="364" spans="1:122" s="475" customFormat="1" ht="14.25" customHeight="1" x14ac:dyDescent="0.2">
      <c r="A364" s="256"/>
      <c r="C364" s="1303"/>
      <c r="D364" s="1303"/>
      <c r="E364" s="1349"/>
      <c r="F364" s="1349"/>
      <c r="G364" s="1349"/>
      <c r="H364" s="1349"/>
      <c r="I364" s="1303"/>
      <c r="J364" s="1303"/>
      <c r="K364" s="1303"/>
      <c r="L364" s="1303"/>
      <c r="M364" s="1303"/>
      <c r="N364" s="1303"/>
      <c r="R364" s="256"/>
      <c r="S364" s="256"/>
      <c r="T364" s="256"/>
      <c r="U364" s="616"/>
      <c r="V364" s="256"/>
      <c r="W364" s="256"/>
      <c r="X364" s="256"/>
      <c r="Y364" s="256"/>
      <c r="Z364" s="256"/>
      <c r="AA364" s="256"/>
      <c r="AB364" s="256"/>
      <c r="AC364" s="256"/>
      <c r="AD364" s="256"/>
      <c r="AE364" s="256"/>
      <c r="AF364" s="256"/>
      <c r="AG364" s="256"/>
      <c r="AH364" s="256"/>
      <c r="AI364" s="256"/>
      <c r="AJ364" s="256"/>
      <c r="AK364" s="256"/>
      <c r="AL364" s="256"/>
      <c r="AM364" s="256"/>
      <c r="AN364" s="256"/>
      <c r="CU364" s="446"/>
      <c r="CV364" s="446"/>
      <c r="CW364" s="446"/>
      <c r="DH364" s="446"/>
      <c r="DI364" s="446"/>
      <c r="DJ364" s="446"/>
      <c r="DK364" s="446"/>
      <c r="DL364" s="446"/>
      <c r="DM364" s="446"/>
      <c r="DN364" s="446"/>
      <c r="DO364" s="446"/>
      <c r="DP364" s="446"/>
      <c r="DQ364" s="446"/>
      <c r="DR364" s="446"/>
    </row>
    <row r="365" spans="1:122" s="475" customFormat="1" ht="14.25" customHeight="1" x14ac:dyDescent="0.2">
      <c r="A365" s="256"/>
      <c r="C365" s="1350" t="s">
        <v>128</v>
      </c>
      <c r="D365" s="1350"/>
      <c r="E365" s="1350" t="s">
        <v>128</v>
      </c>
      <c r="F365" s="1350"/>
      <c r="G365" s="1350"/>
      <c r="H365" s="1350" t="str">
        <f ca="1">"Anschaffungen " &amp; C366 &amp; " auf die Monate zugeordnet"</f>
        <v>Anschaffungen Betrag    2017 auf die Monate zugeordnet</v>
      </c>
      <c r="I365" s="1349"/>
      <c r="J365" s="1349"/>
      <c r="K365" s="1349"/>
      <c r="L365" s="1349"/>
      <c r="M365" s="1349"/>
      <c r="N365" s="1349"/>
      <c r="O365" s="489"/>
      <c r="P365" s="489"/>
      <c r="Q365" s="489"/>
      <c r="R365" s="485"/>
      <c r="S365" s="485"/>
      <c r="T365" s="485"/>
      <c r="U365" s="485" t="s">
        <v>185</v>
      </c>
      <c r="V365" s="543"/>
      <c r="W365" s="543"/>
      <c r="X365" s="543"/>
      <c r="Y365" s="543"/>
      <c r="Z365" s="543"/>
      <c r="AA365" s="543"/>
      <c r="AB365" s="485"/>
      <c r="AC365" s="485"/>
      <c r="AD365" s="485"/>
      <c r="AE365" s="485"/>
      <c r="AF365" s="485"/>
      <c r="AG365" s="256"/>
      <c r="AH365" s="256"/>
      <c r="AI365" s="256"/>
      <c r="AJ365" s="256"/>
      <c r="AK365" s="256"/>
      <c r="AL365" s="256"/>
      <c r="AM365" s="256"/>
      <c r="AN365" s="256"/>
      <c r="CU365" s="446"/>
      <c r="CV365" s="492" t="s">
        <v>128</v>
      </c>
      <c r="CW365" s="492"/>
      <c r="DH365" s="446"/>
      <c r="DI365" s="446"/>
      <c r="DJ365" s="446"/>
      <c r="DK365" s="446"/>
      <c r="DL365" s="446"/>
      <c r="DM365" s="446"/>
      <c r="DN365" s="446"/>
      <c r="DO365" s="446"/>
      <c r="DP365" s="446"/>
      <c r="DQ365" s="446"/>
      <c r="DR365" s="446"/>
    </row>
    <row r="366" spans="1:122" s="475" customFormat="1" ht="14.25" customHeight="1" x14ac:dyDescent="0.2">
      <c r="A366" s="256"/>
      <c r="C366" s="1623" t="str">
        <f t="shared" ref="C366:C374" ca="1" si="240">E5</f>
        <v>Betrag    2017</v>
      </c>
      <c r="D366" s="1624"/>
      <c r="E366" s="1623" t="str">
        <f t="shared" ref="E366:E374" ca="1" si="241">G5</f>
        <v>Betrag    2018</v>
      </c>
      <c r="F366" s="1624"/>
      <c r="G366" s="1349"/>
      <c r="H366" s="1351">
        <v>1</v>
      </c>
      <c r="I366" s="1351">
        <v>2</v>
      </c>
      <c r="J366" s="1351">
        <v>3</v>
      </c>
      <c r="K366" s="1351">
        <v>4</v>
      </c>
      <c r="L366" s="1351">
        <v>5</v>
      </c>
      <c r="M366" s="1351">
        <v>6</v>
      </c>
      <c r="N366" s="1351">
        <v>7</v>
      </c>
      <c r="O366" s="620">
        <v>8</v>
      </c>
      <c r="P366" s="620">
        <v>9</v>
      </c>
      <c r="Q366" s="890"/>
      <c r="R366" s="889">
        <v>10</v>
      </c>
      <c r="S366" s="889">
        <v>11</v>
      </c>
      <c r="T366" s="889">
        <v>12</v>
      </c>
      <c r="U366" s="889">
        <v>1</v>
      </c>
      <c r="V366" s="889">
        <v>2</v>
      </c>
      <c r="W366" s="889">
        <v>3</v>
      </c>
      <c r="X366" s="889">
        <v>4</v>
      </c>
      <c r="Y366" s="889">
        <v>5</v>
      </c>
      <c r="Z366" s="889">
        <v>6</v>
      </c>
      <c r="AA366" s="889">
        <v>7</v>
      </c>
      <c r="AB366" s="889">
        <v>8</v>
      </c>
      <c r="AC366" s="889">
        <v>9</v>
      </c>
      <c r="AD366" s="889">
        <v>10</v>
      </c>
      <c r="AE366" s="889">
        <v>11</v>
      </c>
      <c r="AF366" s="889">
        <v>12</v>
      </c>
      <c r="AG366" s="256"/>
      <c r="AH366" s="256"/>
      <c r="AI366" s="256"/>
      <c r="AJ366" s="256"/>
      <c r="AK366" s="256"/>
      <c r="AL366" s="256"/>
      <c r="AM366" s="256"/>
      <c r="AN366" s="256"/>
      <c r="CU366" s="446"/>
      <c r="CV366" s="478">
        <f t="shared" ref="CV366:CV374" si="242">CX5</f>
        <v>0</v>
      </c>
      <c r="CW366" s="478"/>
      <c r="DH366" s="446"/>
      <c r="DI366" s="446"/>
      <c r="DJ366" s="446"/>
      <c r="DK366" s="446"/>
      <c r="DL366" s="446"/>
      <c r="DM366" s="446"/>
      <c r="DN366" s="446"/>
      <c r="DO366" s="446"/>
      <c r="DP366" s="446"/>
      <c r="DQ366" s="446"/>
      <c r="DR366" s="446"/>
    </row>
    <row r="367" spans="1:122" s="475" customFormat="1" ht="14.25" customHeight="1" x14ac:dyDescent="0.2">
      <c r="A367" s="256"/>
      <c r="C367" s="1352">
        <f t="shared" ref="C367:F373" si="243">E6</f>
        <v>0</v>
      </c>
      <c r="D367" s="1352">
        <f t="shared" si="243"/>
        <v>0</v>
      </c>
      <c r="E367" s="1352">
        <f t="shared" si="243"/>
        <v>0</v>
      </c>
      <c r="F367" s="1352">
        <f t="shared" si="243"/>
        <v>0</v>
      </c>
      <c r="G367" s="1350"/>
      <c r="H367" s="1353">
        <f t="shared" ref="H367:T374" si="244">IF($D367=H$366,$C367,0)</f>
        <v>0</v>
      </c>
      <c r="I367" s="1353">
        <f t="shared" si="244"/>
        <v>0</v>
      </c>
      <c r="J367" s="1353">
        <f t="shared" si="244"/>
        <v>0</v>
      </c>
      <c r="K367" s="1353">
        <f t="shared" si="244"/>
        <v>0</v>
      </c>
      <c r="L367" s="1353">
        <f t="shared" si="244"/>
        <v>0</v>
      </c>
      <c r="M367" s="1353">
        <f t="shared" si="244"/>
        <v>0</v>
      </c>
      <c r="N367" s="1353">
        <f t="shared" si="244"/>
        <v>0</v>
      </c>
      <c r="O367" s="622">
        <f t="shared" si="244"/>
        <v>0</v>
      </c>
      <c r="P367" s="622">
        <f t="shared" si="244"/>
        <v>0</v>
      </c>
      <c r="Q367" s="622"/>
      <c r="R367" s="623">
        <f t="shared" si="244"/>
        <v>0</v>
      </c>
      <c r="S367" s="623">
        <f t="shared" si="244"/>
        <v>0</v>
      </c>
      <c r="T367" s="623">
        <f t="shared" si="244"/>
        <v>0</v>
      </c>
      <c r="U367" s="623">
        <f>IF($F367=U$366,$E367,0)</f>
        <v>0</v>
      </c>
      <c r="V367" s="623">
        <f t="shared" ref="V367:AF367" si="245">IF($F367=V$366,$E367,0)</f>
        <v>0</v>
      </c>
      <c r="W367" s="623">
        <f t="shared" si="245"/>
        <v>0</v>
      </c>
      <c r="X367" s="623">
        <f t="shared" si="245"/>
        <v>0</v>
      </c>
      <c r="Y367" s="623">
        <f t="shared" si="245"/>
        <v>0</v>
      </c>
      <c r="Z367" s="623">
        <f t="shared" si="245"/>
        <v>0</v>
      </c>
      <c r="AA367" s="623">
        <f t="shared" si="245"/>
        <v>0</v>
      </c>
      <c r="AB367" s="623">
        <f t="shared" si="245"/>
        <v>0</v>
      </c>
      <c r="AC367" s="623">
        <f t="shared" si="245"/>
        <v>0</v>
      </c>
      <c r="AD367" s="623">
        <f t="shared" si="245"/>
        <v>0</v>
      </c>
      <c r="AE367" s="623">
        <f t="shared" si="245"/>
        <v>0</v>
      </c>
      <c r="AF367" s="623">
        <f t="shared" si="245"/>
        <v>0</v>
      </c>
      <c r="AG367" s="256"/>
      <c r="AH367" s="256"/>
      <c r="AI367" s="256"/>
      <c r="AJ367" s="256"/>
      <c r="AK367" s="256"/>
      <c r="AL367" s="256"/>
      <c r="AM367" s="256"/>
      <c r="AN367" s="256"/>
      <c r="CU367" s="446"/>
      <c r="CV367" s="624">
        <f t="shared" si="242"/>
        <v>0</v>
      </c>
      <c r="CW367" s="624">
        <f t="shared" ref="CW367:CW373" si="246">CY6</f>
        <v>0</v>
      </c>
      <c r="DH367" s="446"/>
      <c r="DI367" s="446"/>
      <c r="DJ367" s="446"/>
      <c r="DK367" s="446"/>
      <c r="DL367" s="446"/>
      <c r="DM367" s="446"/>
      <c r="DN367" s="446"/>
      <c r="DO367" s="446"/>
      <c r="DP367" s="446"/>
      <c r="DQ367" s="446"/>
      <c r="DR367" s="446"/>
    </row>
    <row r="368" spans="1:122" s="475" customFormat="1" ht="14.25" customHeight="1" x14ac:dyDescent="0.2">
      <c r="A368" s="256"/>
      <c r="C368" s="1352">
        <f t="shared" si="243"/>
        <v>0</v>
      </c>
      <c r="D368" s="1352">
        <f t="shared" si="243"/>
        <v>0</v>
      </c>
      <c r="E368" s="1352">
        <f t="shared" si="243"/>
        <v>0</v>
      </c>
      <c r="F368" s="1352">
        <f t="shared" si="243"/>
        <v>0</v>
      </c>
      <c r="G368" s="1349"/>
      <c r="H368" s="1353">
        <f t="shared" si="244"/>
        <v>0</v>
      </c>
      <c r="I368" s="1353">
        <f t="shared" si="244"/>
        <v>0</v>
      </c>
      <c r="J368" s="1353">
        <f t="shared" si="244"/>
        <v>0</v>
      </c>
      <c r="K368" s="1353">
        <f t="shared" si="244"/>
        <v>0</v>
      </c>
      <c r="L368" s="1353">
        <f t="shared" si="244"/>
        <v>0</v>
      </c>
      <c r="M368" s="1353">
        <f t="shared" si="244"/>
        <v>0</v>
      </c>
      <c r="N368" s="1353">
        <f t="shared" si="244"/>
        <v>0</v>
      </c>
      <c r="O368" s="622">
        <f t="shared" si="244"/>
        <v>0</v>
      </c>
      <c r="P368" s="622">
        <f t="shared" si="244"/>
        <v>0</v>
      </c>
      <c r="Q368" s="622"/>
      <c r="R368" s="623">
        <f t="shared" si="244"/>
        <v>0</v>
      </c>
      <c r="S368" s="623">
        <f t="shared" si="244"/>
        <v>0</v>
      </c>
      <c r="T368" s="623">
        <f t="shared" si="244"/>
        <v>0</v>
      </c>
      <c r="U368" s="623">
        <f t="shared" ref="U368:AF374" si="247">IF($F368=U$366,$E368,0)</f>
        <v>0</v>
      </c>
      <c r="V368" s="623">
        <f t="shared" si="247"/>
        <v>0</v>
      </c>
      <c r="W368" s="623">
        <f t="shared" si="247"/>
        <v>0</v>
      </c>
      <c r="X368" s="623">
        <f t="shared" si="247"/>
        <v>0</v>
      </c>
      <c r="Y368" s="623">
        <f t="shared" si="247"/>
        <v>0</v>
      </c>
      <c r="Z368" s="623">
        <f t="shared" si="247"/>
        <v>0</v>
      </c>
      <c r="AA368" s="623">
        <f t="shared" si="247"/>
        <v>0</v>
      </c>
      <c r="AB368" s="623">
        <f t="shared" si="247"/>
        <v>0</v>
      </c>
      <c r="AC368" s="623">
        <f t="shared" si="247"/>
        <v>0</v>
      </c>
      <c r="AD368" s="623">
        <f t="shared" si="247"/>
        <v>0</v>
      </c>
      <c r="AE368" s="623">
        <f t="shared" si="247"/>
        <v>0</v>
      </c>
      <c r="AF368" s="623">
        <f t="shared" si="247"/>
        <v>0</v>
      </c>
      <c r="AG368" s="256"/>
      <c r="AH368" s="256"/>
      <c r="AI368" s="256"/>
      <c r="AJ368" s="256"/>
      <c r="AK368" s="256"/>
      <c r="AL368" s="256"/>
      <c r="AM368" s="256"/>
      <c r="AN368" s="256"/>
      <c r="CU368" s="446"/>
      <c r="CV368" s="624">
        <f t="shared" si="242"/>
        <v>0</v>
      </c>
      <c r="CW368" s="624">
        <f t="shared" si="246"/>
        <v>0</v>
      </c>
      <c r="DH368" s="446"/>
      <c r="DI368" s="446"/>
      <c r="DJ368" s="446"/>
      <c r="DK368" s="446"/>
      <c r="DL368" s="446"/>
      <c r="DM368" s="446"/>
      <c r="DN368" s="446"/>
      <c r="DO368" s="446"/>
      <c r="DP368" s="446"/>
      <c r="DQ368" s="446"/>
      <c r="DR368" s="446"/>
    </row>
    <row r="369" spans="1:122" s="475" customFormat="1" ht="14.25" customHeight="1" x14ac:dyDescent="0.2">
      <c r="A369" s="256"/>
      <c r="C369" s="1352">
        <f t="shared" si="243"/>
        <v>0</v>
      </c>
      <c r="D369" s="1352">
        <f t="shared" si="243"/>
        <v>0</v>
      </c>
      <c r="E369" s="1352">
        <f t="shared" si="243"/>
        <v>0</v>
      </c>
      <c r="F369" s="1352">
        <f t="shared" si="243"/>
        <v>0</v>
      </c>
      <c r="G369" s="1303"/>
      <c r="H369" s="1353">
        <f t="shared" si="244"/>
        <v>0</v>
      </c>
      <c r="I369" s="1353">
        <f t="shared" si="244"/>
        <v>0</v>
      </c>
      <c r="J369" s="1353">
        <f t="shared" si="244"/>
        <v>0</v>
      </c>
      <c r="K369" s="1353">
        <f t="shared" si="244"/>
        <v>0</v>
      </c>
      <c r="L369" s="1353">
        <f t="shared" si="244"/>
        <v>0</v>
      </c>
      <c r="M369" s="1353">
        <f t="shared" si="244"/>
        <v>0</v>
      </c>
      <c r="N369" s="1353">
        <f t="shared" si="244"/>
        <v>0</v>
      </c>
      <c r="O369" s="622">
        <f t="shared" si="244"/>
        <v>0</v>
      </c>
      <c r="P369" s="622">
        <f t="shared" si="244"/>
        <v>0</v>
      </c>
      <c r="Q369" s="622"/>
      <c r="R369" s="623">
        <f t="shared" si="244"/>
        <v>0</v>
      </c>
      <c r="S369" s="623">
        <f t="shared" si="244"/>
        <v>0</v>
      </c>
      <c r="T369" s="623">
        <f t="shared" si="244"/>
        <v>0</v>
      </c>
      <c r="U369" s="623">
        <f t="shared" si="247"/>
        <v>0</v>
      </c>
      <c r="V369" s="623">
        <f t="shared" si="247"/>
        <v>0</v>
      </c>
      <c r="W369" s="623">
        <f t="shared" si="247"/>
        <v>0</v>
      </c>
      <c r="X369" s="623">
        <f t="shared" si="247"/>
        <v>0</v>
      </c>
      <c r="Y369" s="623">
        <f t="shared" si="247"/>
        <v>0</v>
      </c>
      <c r="Z369" s="623">
        <f t="shared" si="247"/>
        <v>0</v>
      </c>
      <c r="AA369" s="623">
        <f t="shared" si="247"/>
        <v>0</v>
      </c>
      <c r="AB369" s="623">
        <f t="shared" si="247"/>
        <v>0</v>
      </c>
      <c r="AC369" s="623">
        <f t="shared" si="247"/>
        <v>0</v>
      </c>
      <c r="AD369" s="623">
        <f t="shared" si="247"/>
        <v>0</v>
      </c>
      <c r="AE369" s="623">
        <f t="shared" si="247"/>
        <v>0</v>
      </c>
      <c r="AF369" s="623">
        <f t="shared" si="247"/>
        <v>0</v>
      </c>
      <c r="AG369" s="256"/>
      <c r="AH369" s="256"/>
      <c r="AI369" s="256"/>
      <c r="AJ369" s="256"/>
      <c r="AK369" s="256"/>
      <c r="AL369" s="256"/>
      <c r="AM369" s="256"/>
      <c r="AN369" s="256"/>
      <c r="CU369" s="446"/>
      <c r="CV369" s="624">
        <f t="shared" si="242"/>
        <v>0</v>
      </c>
      <c r="CW369" s="624">
        <f t="shared" si="246"/>
        <v>0</v>
      </c>
      <c r="DH369" s="446"/>
      <c r="DI369" s="446"/>
      <c r="DJ369" s="446"/>
      <c r="DK369" s="446"/>
      <c r="DL369" s="446"/>
      <c r="DM369" s="446"/>
      <c r="DN369" s="446"/>
      <c r="DO369" s="446"/>
      <c r="DP369" s="446"/>
      <c r="DQ369" s="446"/>
      <c r="DR369" s="446"/>
    </row>
    <row r="370" spans="1:122" s="475" customFormat="1" ht="14.25" customHeight="1" x14ac:dyDescent="0.2">
      <c r="A370" s="256"/>
      <c r="C370" s="1352">
        <f t="shared" si="243"/>
        <v>0</v>
      </c>
      <c r="D370" s="1352">
        <f t="shared" si="243"/>
        <v>0</v>
      </c>
      <c r="E370" s="1352">
        <f t="shared" si="243"/>
        <v>0</v>
      </c>
      <c r="F370" s="1352">
        <f t="shared" si="243"/>
        <v>0</v>
      </c>
      <c r="G370" s="1303"/>
      <c r="H370" s="1353">
        <f t="shared" si="244"/>
        <v>0</v>
      </c>
      <c r="I370" s="1353">
        <f t="shared" si="244"/>
        <v>0</v>
      </c>
      <c r="J370" s="1353">
        <f t="shared" si="244"/>
        <v>0</v>
      </c>
      <c r="K370" s="1353">
        <f t="shared" si="244"/>
        <v>0</v>
      </c>
      <c r="L370" s="1353">
        <f t="shared" si="244"/>
        <v>0</v>
      </c>
      <c r="M370" s="1353">
        <f t="shared" si="244"/>
        <v>0</v>
      </c>
      <c r="N370" s="1353">
        <f t="shared" si="244"/>
        <v>0</v>
      </c>
      <c r="O370" s="622">
        <f t="shared" si="244"/>
        <v>0</v>
      </c>
      <c r="P370" s="622">
        <f t="shared" si="244"/>
        <v>0</v>
      </c>
      <c r="Q370" s="622"/>
      <c r="R370" s="623">
        <f t="shared" si="244"/>
        <v>0</v>
      </c>
      <c r="S370" s="623">
        <f t="shared" si="244"/>
        <v>0</v>
      </c>
      <c r="T370" s="623">
        <f t="shared" si="244"/>
        <v>0</v>
      </c>
      <c r="U370" s="623">
        <f t="shared" si="247"/>
        <v>0</v>
      </c>
      <c r="V370" s="623">
        <f t="shared" si="247"/>
        <v>0</v>
      </c>
      <c r="W370" s="623">
        <f t="shared" si="247"/>
        <v>0</v>
      </c>
      <c r="X370" s="623">
        <f t="shared" si="247"/>
        <v>0</v>
      </c>
      <c r="Y370" s="623">
        <f t="shared" si="247"/>
        <v>0</v>
      </c>
      <c r="Z370" s="623">
        <f t="shared" si="247"/>
        <v>0</v>
      </c>
      <c r="AA370" s="623">
        <f t="shared" si="247"/>
        <v>0</v>
      </c>
      <c r="AB370" s="623">
        <f t="shared" si="247"/>
        <v>0</v>
      </c>
      <c r="AC370" s="623">
        <f t="shared" si="247"/>
        <v>0</v>
      </c>
      <c r="AD370" s="623">
        <f t="shared" si="247"/>
        <v>0</v>
      </c>
      <c r="AE370" s="623">
        <f t="shared" si="247"/>
        <v>0</v>
      </c>
      <c r="AF370" s="623">
        <f t="shared" si="247"/>
        <v>0</v>
      </c>
      <c r="AG370" s="256"/>
      <c r="AH370" s="256"/>
      <c r="AI370" s="256"/>
      <c r="AJ370" s="256"/>
      <c r="AK370" s="256"/>
      <c r="AL370" s="256"/>
      <c r="AM370" s="256"/>
      <c r="AN370" s="256"/>
      <c r="CU370" s="446"/>
      <c r="CV370" s="624">
        <f t="shared" si="242"/>
        <v>0</v>
      </c>
      <c r="CW370" s="624">
        <f t="shared" si="246"/>
        <v>0</v>
      </c>
      <c r="DH370" s="446"/>
      <c r="DI370" s="446"/>
      <c r="DJ370" s="446"/>
      <c r="DK370" s="446"/>
      <c r="DL370" s="446"/>
      <c r="DM370" s="446"/>
      <c r="DN370" s="446"/>
      <c r="DO370" s="446"/>
      <c r="DP370" s="446"/>
      <c r="DQ370" s="446"/>
      <c r="DR370" s="446"/>
    </row>
    <row r="371" spans="1:122" s="475" customFormat="1" ht="14.25" customHeight="1" x14ac:dyDescent="0.2">
      <c r="A371" s="256"/>
      <c r="C371" s="1352">
        <f t="shared" si="243"/>
        <v>0</v>
      </c>
      <c r="D371" s="1352">
        <f t="shared" si="243"/>
        <v>0</v>
      </c>
      <c r="E371" s="1352">
        <f t="shared" si="243"/>
        <v>0</v>
      </c>
      <c r="F371" s="1352">
        <f t="shared" si="243"/>
        <v>0</v>
      </c>
      <c r="G371" s="1303"/>
      <c r="H371" s="1353">
        <f t="shared" si="244"/>
        <v>0</v>
      </c>
      <c r="I371" s="1353">
        <f t="shared" si="244"/>
        <v>0</v>
      </c>
      <c r="J371" s="1353">
        <f t="shared" si="244"/>
        <v>0</v>
      </c>
      <c r="K371" s="1353">
        <f t="shared" si="244"/>
        <v>0</v>
      </c>
      <c r="L371" s="1353">
        <f t="shared" si="244"/>
        <v>0</v>
      </c>
      <c r="M371" s="1353">
        <f t="shared" si="244"/>
        <v>0</v>
      </c>
      <c r="N371" s="1353">
        <f t="shared" si="244"/>
        <v>0</v>
      </c>
      <c r="O371" s="622">
        <f t="shared" si="244"/>
        <v>0</v>
      </c>
      <c r="P371" s="622">
        <f t="shared" si="244"/>
        <v>0</v>
      </c>
      <c r="Q371" s="622"/>
      <c r="R371" s="623">
        <f t="shared" si="244"/>
        <v>0</v>
      </c>
      <c r="S371" s="623">
        <f t="shared" si="244"/>
        <v>0</v>
      </c>
      <c r="T371" s="623">
        <f t="shared" si="244"/>
        <v>0</v>
      </c>
      <c r="U371" s="623">
        <f t="shared" si="247"/>
        <v>0</v>
      </c>
      <c r="V371" s="623">
        <f t="shared" si="247"/>
        <v>0</v>
      </c>
      <c r="W371" s="623">
        <f t="shared" si="247"/>
        <v>0</v>
      </c>
      <c r="X371" s="623">
        <f t="shared" si="247"/>
        <v>0</v>
      </c>
      <c r="Y371" s="623">
        <f t="shared" si="247"/>
        <v>0</v>
      </c>
      <c r="Z371" s="623">
        <f t="shared" si="247"/>
        <v>0</v>
      </c>
      <c r="AA371" s="623">
        <f t="shared" si="247"/>
        <v>0</v>
      </c>
      <c r="AB371" s="623">
        <f t="shared" si="247"/>
        <v>0</v>
      </c>
      <c r="AC371" s="623">
        <f t="shared" si="247"/>
        <v>0</v>
      </c>
      <c r="AD371" s="623">
        <f t="shared" si="247"/>
        <v>0</v>
      </c>
      <c r="AE371" s="623">
        <f t="shared" si="247"/>
        <v>0</v>
      </c>
      <c r="AF371" s="623">
        <f t="shared" si="247"/>
        <v>0</v>
      </c>
      <c r="AG371" s="256"/>
      <c r="AH371" s="256"/>
      <c r="AI371" s="256"/>
      <c r="AJ371" s="256"/>
      <c r="AK371" s="256"/>
      <c r="AL371" s="256"/>
      <c r="AM371" s="256"/>
      <c r="AN371" s="256"/>
      <c r="CU371" s="446"/>
      <c r="CV371" s="624">
        <f t="shared" si="242"/>
        <v>0</v>
      </c>
      <c r="CW371" s="624">
        <f t="shared" si="246"/>
        <v>0</v>
      </c>
      <c r="DH371" s="446"/>
      <c r="DI371" s="446"/>
      <c r="DJ371" s="446"/>
      <c r="DK371" s="446"/>
      <c r="DL371" s="446"/>
      <c r="DM371" s="446"/>
      <c r="DN371" s="446"/>
      <c r="DO371" s="446"/>
      <c r="DP371" s="446"/>
      <c r="DQ371" s="446"/>
      <c r="DR371" s="446"/>
    </row>
    <row r="372" spans="1:122" s="475" customFormat="1" ht="14.25" customHeight="1" x14ac:dyDescent="0.2">
      <c r="A372" s="256"/>
      <c r="C372" s="1352">
        <f t="shared" si="243"/>
        <v>0</v>
      </c>
      <c r="D372" s="1352">
        <f t="shared" si="243"/>
        <v>0</v>
      </c>
      <c r="E372" s="1352">
        <f t="shared" si="243"/>
        <v>0</v>
      </c>
      <c r="F372" s="1352">
        <f t="shared" si="243"/>
        <v>0</v>
      </c>
      <c r="G372" s="1303"/>
      <c r="H372" s="1353">
        <f t="shared" si="244"/>
        <v>0</v>
      </c>
      <c r="I372" s="1353">
        <f t="shared" si="244"/>
        <v>0</v>
      </c>
      <c r="J372" s="1353">
        <f t="shared" si="244"/>
        <v>0</v>
      </c>
      <c r="K372" s="1353">
        <f t="shared" si="244"/>
        <v>0</v>
      </c>
      <c r="L372" s="1353">
        <f t="shared" si="244"/>
        <v>0</v>
      </c>
      <c r="M372" s="1353">
        <f t="shared" si="244"/>
        <v>0</v>
      </c>
      <c r="N372" s="1353">
        <f t="shared" si="244"/>
        <v>0</v>
      </c>
      <c r="O372" s="622">
        <f t="shared" si="244"/>
        <v>0</v>
      </c>
      <c r="P372" s="622">
        <f t="shared" si="244"/>
        <v>0</v>
      </c>
      <c r="Q372" s="622"/>
      <c r="R372" s="623">
        <f t="shared" si="244"/>
        <v>0</v>
      </c>
      <c r="S372" s="623">
        <f t="shared" si="244"/>
        <v>0</v>
      </c>
      <c r="T372" s="623">
        <f t="shared" si="244"/>
        <v>0</v>
      </c>
      <c r="U372" s="623">
        <f t="shared" si="247"/>
        <v>0</v>
      </c>
      <c r="V372" s="623">
        <f t="shared" si="247"/>
        <v>0</v>
      </c>
      <c r="W372" s="623">
        <f t="shared" si="247"/>
        <v>0</v>
      </c>
      <c r="X372" s="623">
        <f t="shared" si="247"/>
        <v>0</v>
      </c>
      <c r="Y372" s="623">
        <f t="shared" si="247"/>
        <v>0</v>
      </c>
      <c r="Z372" s="623">
        <f t="shared" si="247"/>
        <v>0</v>
      </c>
      <c r="AA372" s="623">
        <f t="shared" si="247"/>
        <v>0</v>
      </c>
      <c r="AB372" s="623">
        <f t="shared" si="247"/>
        <v>0</v>
      </c>
      <c r="AC372" s="623">
        <f t="shared" si="247"/>
        <v>0</v>
      </c>
      <c r="AD372" s="623">
        <f t="shared" si="247"/>
        <v>0</v>
      </c>
      <c r="AE372" s="623">
        <f t="shared" si="247"/>
        <v>0</v>
      </c>
      <c r="AF372" s="623">
        <f t="shared" si="247"/>
        <v>0</v>
      </c>
      <c r="AG372" s="256"/>
      <c r="AH372" s="256"/>
      <c r="AI372" s="256"/>
      <c r="AJ372" s="256"/>
      <c r="AK372" s="256"/>
      <c r="AL372" s="256"/>
      <c r="AM372" s="256"/>
      <c r="AN372" s="256"/>
      <c r="CU372" s="446"/>
      <c r="CV372" s="624">
        <f t="shared" si="242"/>
        <v>0</v>
      </c>
      <c r="CW372" s="624">
        <f t="shared" si="246"/>
        <v>0</v>
      </c>
      <c r="DH372" s="446"/>
      <c r="DI372" s="446"/>
      <c r="DJ372" s="446"/>
      <c r="DK372" s="446"/>
      <c r="DL372" s="446"/>
      <c r="DM372" s="446"/>
      <c r="DN372" s="446"/>
      <c r="DO372" s="446"/>
      <c r="DP372" s="446"/>
      <c r="DQ372" s="446"/>
      <c r="DR372" s="446"/>
    </row>
    <row r="373" spans="1:122" s="475" customFormat="1" ht="14.25" customHeight="1" x14ac:dyDescent="0.2">
      <c r="A373" s="256"/>
      <c r="C373" s="1352">
        <f t="shared" si="243"/>
        <v>0</v>
      </c>
      <c r="D373" s="1352">
        <f t="shared" si="243"/>
        <v>0</v>
      </c>
      <c r="E373" s="1352">
        <f t="shared" si="243"/>
        <v>0</v>
      </c>
      <c r="F373" s="1352">
        <f t="shared" si="243"/>
        <v>0</v>
      </c>
      <c r="G373" s="1303"/>
      <c r="H373" s="1353">
        <f t="shared" si="244"/>
        <v>0</v>
      </c>
      <c r="I373" s="1353">
        <f t="shared" si="244"/>
        <v>0</v>
      </c>
      <c r="J373" s="1353">
        <f t="shared" si="244"/>
        <v>0</v>
      </c>
      <c r="K373" s="1353">
        <f t="shared" si="244"/>
        <v>0</v>
      </c>
      <c r="L373" s="1353">
        <f t="shared" si="244"/>
        <v>0</v>
      </c>
      <c r="M373" s="1353">
        <f t="shared" si="244"/>
        <v>0</v>
      </c>
      <c r="N373" s="1353">
        <f t="shared" si="244"/>
        <v>0</v>
      </c>
      <c r="O373" s="622">
        <f t="shared" si="244"/>
        <v>0</v>
      </c>
      <c r="P373" s="622">
        <f t="shared" si="244"/>
        <v>0</v>
      </c>
      <c r="Q373" s="622"/>
      <c r="R373" s="623">
        <f t="shared" si="244"/>
        <v>0</v>
      </c>
      <c r="S373" s="623">
        <f t="shared" si="244"/>
        <v>0</v>
      </c>
      <c r="T373" s="623">
        <f t="shared" si="244"/>
        <v>0</v>
      </c>
      <c r="U373" s="623">
        <f t="shared" si="247"/>
        <v>0</v>
      </c>
      <c r="V373" s="623">
        <f t="shared" si="247"/>
        <v>0</v>
      </c>
      <c r="W373" s="623">
        <f t="shared" si="247"/>
        <v>0</v>
      </c>
      <c r="X373" s="623">
        <f t="shared" si="247"/>
        <v>0</v>
      </c>
      <c r="Y373" s="623">
        <f t="shared" si="247"/>
        <v>0</v>
      </c>
      <c r="Z373" s="623">
        <f t="shared" si="247"/>
        <v>0</v>
      </c>
      <c r="AA373" s="623">
        <f t="shared" si="247"/>
        <v>0</v>
      </c>
      <c r="AB373" s="623">
        <f t="shared" si="247"/>
        <v>0</v>
      </c>
      <c r="AC373" s="623">
        <f t="shared" si="247"/>
        <v>0</v>
      </c>
      <c r="AD373" s="623">
        <f t="shared" si="247"/>
        <v>0</v>
      </c>
      <c r="AE373" s="623">
        <f t="shared" si="247"/>
        <v>0</v>
      </c>
      <c r="AF373" s="623">
        <f t="shared" si="247"/>
        <v>0</v>
      </c>
      <c r="AG373" s="256"/>
      <c r="AH373" s="256"/>
      <c r="AI373" s="256"/>
      <c r="AJ373" s="256"/>
      <c r="AK373" s="256"/>
      <c r="AL373" s="256"/>
      <c r="AM373" s="256"/>
      <c r="AN373" s="256"/>
      <c r="CU373" s="446"/>
      <c r="CV373" s="624">
        <f t="shared" si="242"/>
        <v>0</v>
      </c>
      <c r="CW373" s="624">
        <f t="shared" si="246"/>
        <v>0</v>
      </c>
      <c r="DH373" s="446"/>
      <c r="DI373" s="446"/>
      <c r="DJ373" s="446"/>
      <c r="DK373" s="446"/>
      <c r="DL373" s="446"/>
      <c r="DM373" s="446"/>
      <c r="DN373" s="446"/>
      <c r="DO373" s="446"/>
      <c r="DP373" s="446"/>
      <c r="DQ373" s="446"/>
      <c r="DR373" s="446"/>
    </row>
    <row r="374" spans="1:122" s="475" customFormat="1" ht="14.25" customHeight="1" x14ac:dyDescent="0.2">
      <c r="A374" s="256"/>
      <c r="C374" s="1352" t="str">
        <f t="shared" si="240"/>
        <v/>
      </c>
      <c r="D374" s="1352">
        <v>12</v>
      </c>
      <c r="E374" s="1352">
        <f t="shared" si="241"/>
        <v>0</v>
      </c>
      <c r="F374" s="1352">
        <v>12</v>
      </c>
      <c r="G374" s="1303"/>
      <c r="H374" s="1353">
        <f t="shared" si="244"/>
        <v>0</v>
      </c>
      <c r="I374" s="1353">
        <f t="shared" si="244"/>
        <v>0</v>
      </c>
      <c r="J374" s="1353">
        <f t="shared" si="244"/>
        <v>0</v>
      </c>
      <c r="K374" s="1353">
        <f t="shared" si="244"/>
        <v>0</v>
      </c>
      <c r="L374" s="1353">
        <f t="shared" si="244"/>
        <v>0</v>
      </c>
      <c r="M374" s="1353">
        <f t="shared" si="244"/>
        <v>0</v>
      </c>
      <c r="N374" s="1353">
        <f t="shared" si="244"/>
        <v>0</v>
      </c>
      <c r="O374" s="622">
        <f t="shared" si="244"/>
        <v>0</v>
      </c>
      <c r="P374" s="622">
        <f t="shared" si="244"/>
        <v>0</v>
      </c>
      <c r="Q374" s="622"/>
      <c r="R374" s="623">
        <f t="shared" si="244"/>
        <v>0</v>
      </c>
      <c r="S374" s="623">
        <f t="shared" si="244"/>
        <v>0</v>
      </c>
      <c r="T374" s="623" t="str">
        <f t="shared" si="244"/>
        <v/>
      </c>
      <c r="U374" s="623">
        <f t="shared" si="247"/>
        <v>0</v>
      </c>
      <c r="V374" s="623">
        <f t="shared" si="247"/>
        <v>0</v>
      </c>
      <c r="W374" s="623">
        <f t="shared" si="247"/>
        <v>0</v>
      </c>
      <c r="X374" s="623">
        <f t="shared" si="247"/>
        <v>0</v>
      </c>
      <c r="Y374" s="623">
        <f t="shared" si="247"/>
        <v>0</v>
      </c>
      <c r="Z374" s="623">
        <f t="shared" si="247"/>
        <v>0</v>
      </c>
      <c r="AA374" s="623">
        <f t="shared" si="247"/>
        <v>0</v>
      </c>
      <c r="AB374" s="623">
        <f t="shared" si="247"/>
        <v>0</v>
      </c>
      <c r="AC374" s="623">
        <f t="shared" si="247"/>
        <v>0</v>
      </c>
      <c r="AD374" s="623">
        <f t="shared" si="247"/>
        <v>0</v>
      </c>
      <c r="AE374" s="623">
        <f t="shared" si="247"/>
        <v>0</v>
      </c>
      <c r="AF374" s="623">
        <f t="shared" si="247"/>
        <v>0</v>
      </c>
      <c r="AG374" s="256"/>
      <c r="AH374" s="256"/>
      <c r="AI374" s="256"/>
      <c r="AJ374" s="256"/>
      <c r="AK374" s="256"/>
      <c r="AL374" s="256"/>
      <c r="AM374" s="256"/>
      <c r="AN374" s="256"/>
      <c r="CU374" s="446"/>
      <c r="CV374" s="624">
        <f t="shared" si="242"/>
        <v>0</v>
      </c>
      <c r="CW374" s="624">
        <v>12</v>
      </c>
      <c r="DH374" s="446"/>
      <c r="DI374" s="446"/>
      <c r="DJ374" s="446"/>
      <c r="DK374" s="446"/>
      <c r="DL374" s="446"/>
      <c r="DM374" s="446"/>
      <c r="DN374" s="446"/>
      <c r="DO374" s="446"/>
      <c r="DP374" s="446"/>
      <c r="DQ374" s="446"/>
      <c r="DR374" s="446"/>
    </row>
    <row r="375" spans="1:122" s="475" customFormat="1" ht="14.25" customHeight="1" thickBot="1" x14ac:dyDescent="0.25">
      <c r="A375" s="256"/>
      <c r="C375" s="1303"/>
      <c r="D375" s="1303"/>
      <c r="E375" s="1303"/>
      <c r="F375" s="1303"/>
      <c r="G375" s="1303"/>
      <c r="H375" s="1354">
        <f t="shared" ref="H375:P375" si="248">SUM(H367:H374)</f>
        <v>0</v>
      </c>
      <c r="I375" s="1354">
        <f t="shared" si="248"/>
        <v>0</v>
      </c>
      <c r="J375" s="1354">
        <f t="shared" si="248"/>
        <v>0</v>
      </c>
      <c r="K375" s="1354">
        <f t="shared" si="248"/>
        <v>0</v>
      </c>
      <c r="L375" s="1354">
        <f t="shared" si="248"/>
        <v>0</v>
      </c>
      <c r="M375" s="1354">
        <f t="shared" si="248"/>
        <v>0</v>
      </c>
      <c r="N375" s="1354">
        <f t="shared" si="248"/>
        <v>0</v>
      </c>
      <c r="O375" s="625">
        <f t="shared" si="248"/>
        <v>0</v>
      </c>
      <c r="P375" s="625">
        <f t="shared" si="248"/>
        <v>0</v>
      </c>
      <c r="Q375" s="625"/>
      <c r="R375" s="626">
        <f>SUM(R367:R374)</f>
        <v>0</v>
      </c>
      <c r="S375" s="1238">
        <f>SUM(S367:S374)</f>
        <v>0</v>
      </c>
      <c r="T375" s="625">
        <f>SUM(T367:T374)</f>
        <v>0</v>
      </c>
      <c r="U375" s="625">
        <f t="shared" ref="U375:AC375" si="249">SUM(U367:U374)</f>
        <v>0</v>
      </c>
      <c r="V375" s="625">
        <f t="shared" si="249"/>
        <v>0</v>
      </c>
      <c r="W375" s="625">
        <f t="shared" si="249"/>
        <v>0</v>
      </c>
      <c r="X375" s="625">
        <f t="shared" si="249"/>
        <v>0</v>
      </c>
      <c r="Y375" s="625">
        <f t="shared" si="249"/>
        <v>0</v>
      </c>
      <c r="Z375" s="625">
        <f t="shared" si="249"/>
        <v>0</v>
      </c>
      <c r="AA375" s="625">
        <f t="shared" si="249"/>
        <v>0</v>
      </c>
      <c r="AB375" s="625">
        <f t="shared" si="249"/>
        <v>0</v>
      </c>
      <c r="AC375" s="625">
        <f t="shared" si="249"/>
        <v>0</v>
      </c>
      <c r="AD375" s="626">
        <f>SUM(AD367:AD374)</f>
        <v>0</v>
      </c>
      <c r="AE375" s="626">
        <f>SUM(AE367:AE374)</f>
        <v>0</v>
      </c>
      <c r="AF375" s="626">
        <f>SUM(AF367:AF374)</f>
        <v>0</v>
      </c>
      <c r="AG375" s="256"/>
      <c r="AH375" s="256"/>
      <c r="AI375" s="256"/>
      <c r="AJ375" s="256"/>
      <c r="AK375" s="256"/>
      <c r="AL375" s="256"/>
      <c r="AM375" s="256"/>
      <c r="AN375" s="256"/>
      <c r="CU375" s="446"/>
      <c r="CV375" s="446"/>
      <c r="CW375" s="446"/>
      <c r="DH375" s="446"/>
      <c r="DI375" s="446"/>
      <c r="DJ375" s="446"/>
      <c r="DK375" s="446"/>
      <c r="DL375" s="446"/>
      <c r="DM375" s="446"/>
      <c r="DN375" s="446"/>
      <c r="DO375" s="446"/>
      <c r="DP375" s="446"/>
      <c r="DQ375" s="446"/>
      <c r="DR375" s="446"/>
    </row>
    <row r="376" spans="1:122" s="475" customFormat="1" ht="15" customHeight="1" thickBot="1" x14ac:dyDescent="0.25">
      <c r="A376" s="256"/>
      <c r="C376" s="1303"/>
      <c r="D376" s="1303"/>
      <c r="E376" s="1303"/>
      <c r="F376" s="1303"/>
      <c r="G376" s="1303"/>
      <c r="H376" s="1303"/>
      <c r="I376" s="1303"/>
      <c r="J376" s="1303"/>
      <c r="K376" s="1303"/>
      <c r="L376" s="1303"/>
      <c r="M376" s="1303"/>
      <c r="N376" s="1303"/>
      <c r="R376" s="256"/>
      <c r="S376" s="256"/>
      <c r="T376" s="627">
        <f>SUM(H375:T375)</f>
        <v>0</v>
      </c>
      <c r="U376" s="256"/>
      <c r="V376" s="256"/>
      <c r="W376" s="256"/>
      <c r="X376" s="256"/>
      <c r="Y376" s="256"/>
      <c r="Z376" s="256"/>
      <c r="AA376" s="256"/>
      <c r="AB376" s="256"/>
      <c r="AC376" s="256"/>
      <c r="AD376" s="256"/>
      <c r="AE376" s="256"/>
      <c r="AF376" s="627">
        <f>SUM(U375:AF375)</f>
        <v>0</v>
      </c>
      <c r="AG376" s="256"/>
      <c r="AH376" s="256"/>
      <c r="AI376" s="256"/>
      <c r="AJ376" s="256"/>
      <c r="AK376" s="256"/>
      <c r="AL376" s="256"/>
      <c r="AM376" s="256"/>
      <c r="AN376" s="256"/>
      <c r="CU376" s="446"/>
      <c r="CV376" s="446"/>
      <c r="CW376" s="446"/>
      <c r="DH376" s="446"/>
      <c r="DI376" s="446"/>
      <c r="DJ376" s="446"/>
      <c r="DK376" s="446"/>
      <c r="DL376" s="446"/>
      <c r="DM376" s="446"/>
      <c r="DN376" s="446"/>
      <c r="DO376" s="446"/>
      <c r="DP376" s="446"/>
      <c r="DQ376" s="446"/>
      <c r="DR376" s="446"/>
    </row>
    <row r="377" spans="1:122" s="475" customFormat="1" ht="14.25" customHeight="1" thickBot="1" x14ac:dyDescent="0.25">
      <c r="A377" s="256"/>
      <c r="C377" s="1303"/>
      <c r="D377" s="1303"/>
      <c r="E377" s="1303"/>
      <c r="F377" s="1355"/>
      <c r="G377" s="1303"/>
      <c r="H377" s="1303"/>
      <c r="I377" s="1347"/>
      <c r="J377" s="1303"/>
      <c r="K377" s="1347"/>
      <c r="L377" s="1303"/>
      <c r="M377" s="1347"/>
      <c r="N377" s="1303"/>
      <c r="R377" s="256"/>
      <c r="S377" s="543"/>
      <c r="T377" s="543"/>
      <c r="U377" s="543"/>
      <c r="V377" s="628"/>
      <c r="W377" s="539"/>
      <c r="X377" s="539"/>
      <c r="Y377" s="539"/>
      <c r="Z377" s="539"/>
      <c r="AA377" s="539"/>
      <c r="AB377" s="539"/>
      <c r="AC377" s="539"/>
      <c r="AD377" s="539"/>
      <c r="AE377" s="539"/>
      <c r="AF377" s="539"/>
      <c r="AG377" s="256"/>
      <c r="AH377" s="256"/>
      <c r="AI377" s="256"/>
      <c r="AJ377" s="256"/>
      <c r="AK377" s="256"/>
      <c r="AL377" s="256"/>
      <c r="AM377" s="256"/>
      <c r="AN377" s="256"/>
      <c r="CU377" s="446"/>
      <c r="CV377" s="446"/>
      <c r="CW377" s="446"/>
      <c r="DH377" s="446"/>
      <c r="DI377" s="446"/>
      <c r="DJ377" s="446"/>
      <c r="DK377" s="446"/>
      <c r="DL377" s="446"/>
      <c r="DM377" s="446"/>
      <c r="DN377" s="446"/>
      <c r="DO377" s="446"/>
      <c r="DP377" s="446"/>
      <c r="DQ377" s="446"/>
      <c r="DR377" s="446"/>
    </row>
    <row r="378" spans="1:122" s="475" customFormat="1" ht="15" customHeight="1" thickBot="1" x14ac:dyDescent="0.25">
      <c r="A378" s="256"/>
      <c r="C378" s="1356">
        <f ca="1">E379</f>
        <v>2017</v>
      </c>
      <c r="D378" s="1303" t="s">
        <v>153</v>
      </c>
      <c r="E378" s="1347"/>
      <c r="F378" s="1303"/>
      <c r="G378" s="1303"/>
      <c r="H378" s="1303"/>
      <c r="I378" s="1303"/>
      <c r="J378" s="1303"/>
      <c r="K378" s="1303"/>
      <c r="L378" s="1303"/>
      <c r="M378" s="1303"/>
      <c r="N378" s="1303"/>
      <c r="P378" s="489"/>
      <c r="Q378" s="489"/>
      <c r="R378" s="485"/>
      <c r="S378" s="629"/>
      <c r="T378" s="630"/>
      <c r="U378" s="631"/>
      <c r="V378" s="628"/>
      <c r="W378" s="539"/>
      <c r="X378" s="539"/>
      <c r="Y378" s="539"/>
      <c r="Z378" s="539"/>
      <c r="AA378" s="539"/>
      <c r="AB378" s="539"/>
      <c r="AC378" s="539"/>
      <c r="AD378" s="539"/>
      <c r="AE378" s="539"/>
      <c r="AF378" s="539"/>
      <c r="AG378" s="256"/>
      <c r="AH378" s="256"/>
      <c r="AI378" s="256"/>
      <c r="AJ378" s="256"/>
      <c r="AK378" s="256"/>
      <c r="AL378" s="256"/>
      <c r="AM378" s="256"/>
      <c r="AN378" s="256"/>
      <c r="CU378" s="446"/>
      <c r="CV378" s="446">
        <f>CX379</f>
        <v>0</v>
      </c>
      <c r="CW378" s="446" t="s">
        <v>153</v>
      </c>
      <c r="DH378" s="446"/>
      <c r="DI378" s="446"/>
      <c r="DJ378" s="446"/>
      <c r="DK378" s="446"/>
      <c r="DL378" s="446"/>
      <c r="DM378" s="446"/>
      <c r="DN378" s="446"/>
      <c r="DO378" s="446"/>
      <c r="DP378" s="446"/>
      <c r="DQ378" s="446"/>
      <c r="DR378" s="446"/>
    </row>
    <row r="379" spans="1:122" s="475" customFormat="1" ht="14.25" customHeight="1" x14ac:dyDescent="0.2">
      <c r="A379" s="256"/>
      <c r="C379" s="1303"/>
      <c r="D379" s="1303"/>
      <c r="E379" s="1357">
        <f ca="1">'1 Pers.Ausgaben|Pers Expenses'!C4</f>
        <v>2017</v>
      </c>
      <c r="F379" s="1357">
        <f ca="1">E379+1</f>
        <v>2018</v>
      </c>
      <c r="G379" s="1357">
        <f ca="1">F379+1</f>
        <v>2019</v>
      </c>
      <c r="H379" s="1357">
        <f ca="1">G379+1</f>
        <v>2020</v>
      </c>
      <c r="I379" s="1357">
        <f ca="1">H379+1</f>
        <v>2021</v>
      </c>
      <c r="J379" s="1303"/>
      <c r="K379" s="1303"/>
      <c r="L379" s="1303"/>
      <c r="M379" s="1303"/>
      <c r="N379" s="1303"/>
      <c r="O379" s="475" t="s">
        <v>154</v>
      </c>
      <c r="P379" s="489"/>
      <c r="Q379" s="489"/>
      <c r="R379" s="485"/>
      <c r="S379" s="629"/>
      <c r="T379" s="630"/>
      <c r="U379" s="485" t="s">
        <v>133</v>
      </c>
      <c r="V379" s="256"/>
      <c r="W379" s="256"/>
      <c r="X379" s="256"/>
      <c r="Y379" s="256"/>
      <c r="Z379" s="485"/>
      <c r="AA379" s="539"/>
      <c r="AB379" s="539"/>
      <c r="AC379" s="539"/>
      <c r="AD379" s="539"/>
      <c r="AE379" s="539"/>
      <c r="AF379" s="539"/>
      <c r="AG379" s="256"/>
      <c r="AH379" s="256"/>
      <c r="AI379" s="256"/>
      <c r="AJ379" s="256"/>
      <c r="AK379" s="256"/>
      <c r="AL379" s="256"/>
      <c r="AM379" s="256"/>
      <c r="AN379" s="256"/>
      <c r="CU379" s="446"/>
      <c r="CV379" s="446"/>
      <c r="CW379" s="446"/>
      <c r="DH379" s="446"/>
      <c r="DI379" s="446"/>
      <c r="DJ379" s="446"/>
      <c r="DK379" s="446"/>
      <c r="DL379" s="446"/>
      <c r="DM379" s="446"/>
      <c r="DN379" s="446"/>
      <c r="DO379" s="446"/>
      <c r="DP379" s="446"/>
      <c r="DQ379" s="446"/>
      <c r="DR379" s="446"/>
    </row>
    <row r="380" spans="1:122" s="475" customFormat="1" ht="14.25" customHeight="1" x14ac:dyDescent="0.2">
      <c r="A380" s="256"/>
      <c r="C380" s="1613" t="str">
        <f t="shared" ref="C380:C386" si="250">C6</f>
        <v>Investitionsgut 1</v>
      </c>
      <c r="D380" s="1615"/>
      <c r="E380" s="1358" t="str">
        <f t="shared" ref="E380:F387" si="251">E351</f>
        <v/>
      </c>
      <c r="F380" s="1358" t="str">
        <f t="shared" si="251"/>
        <v/>
      </c>
      <c r="G380" s="1358" t="str">
        <f>H351</f>
        <v/>
      </c>
      <c r="H380" s="1358" t="str">
        <f>K351</f>
        <v/>
      </c>
      <c r="I380" s="1358" t="str">
        <f>O351</f>
        <v/>
      </c>
      <c r="J380" s="1359" t="str">
        <f>IF(E380&gt;0,E380,IF(E380=0,0,""))</f>
        <v/>
      </c>
      <c r="K380" s="1359" t="str">
        <f>IF(F380&gt;0,F380,IF(F380=0,0,""))</f>
        <v/>
      </c>
      <c r="L380" s="1359" t="str">
        <f>IF(G380&gt;0,G380,IF(G380=0,0,""))</f>
        <v/>
      </c>
      <c r="M380" s="1359" t="str">
        <f>IF(H380&gt;0,H380,IF(H380=0,0,""))</f>
        <v/>
      </c>
      <c r="N380" s="1359" t="str">
        <f>IF(I380&gt;0,I380,IF(I380=0,0,""))</f>
        <v/>
      </c>
      <c r="O380" s="633">
        <f>IF(J380="",-1,IF(J380=0,0,1))</f>
        <v>-1</v>
      </c>
      <c r="P380" s="489"/>
      <c r="Q380" s="489"/>
      <c r="R380" s="485"/>
      <c r="S380" s="629"/>
      <c r="T380" s="630"/>
      <c r="U380" s="258"/>
      <c r="V380" s="621">
        <v>2014</v>
      </c>
      <c r="W380" s="621">
        <f>V380+1</f>
        <v>2015</v>
      </c>
      <c r="X380" s="621">
        <f>W380+1</f>
        <v>2016</v>
      </c>
      <c r="Y380" s="621">
        <f>X380+1</f>
        <v>2017</v>
      </c>
      <c r="Z380" s="621">
        <f>Y380+1</f>
        <v>2018</v>
      </c>
      <c r="AA380" s="256"/>
      <c r="AB380" s="256"/>
      <c r="AC380" s="256"/>
      <c r="AD380" s="539"/>
      <c r="AE380" s="539"/>
      <c r="AF380" s="539"/>
      <c r="AG380" s="256"/>
      <c r="AH380" s="256"/>
      <c r="AI380" s="256"/>
      <c r="AJ380" s="256"/>
      <c r="AK380" s="256"/>
      <c r="AL380" s="256"/>
      <c r="AM380" s="256"/>
      <c r="AN380" s="256"/>
      <c r="CU380" s="446"/>
      <c r="CV380" s="634" t="str">
        <f t="shared" ref="CV380:CV386" si="252">CV6</f>
        <v>Investitionsgut 1</v>
      </c>
      <c r="CW380" s="634"/>
      <c r="DH380" s="446"/>
      <c r="DI380" s="446"/>
      <c r="DJ380" s="446"/>
      <c r="DK380" s="446"/>
      <c r="DL380" s="446"/>
      <c r="DM380" s="446"/>
      <c r="DN380" s="446"/>
      <c r="DO380" s="446"/>
      <c r="DP380" s="446"/>
      <c r="DQ380" s="446"/>
      <c r="DR380" s="446"/>
    </row>
    <row r="381" spans="1:122" s="475" customFormat="1" ht="14.25" customHeight="1" x14ac:dyDescent="0.2">
      <c r="A381" s="256"/>
      <c r="C381" s="1613" t="str">
        <f t="shared" si="250"/>
        <v>Investitionsgut 2</v>
      </c>
      <c r="D381" s="1615"/>
      <c r="E381" s="1358" t="str">
        <f t="shared" si="251"/>
        <v/>
      </c>
      <c r="F381" s="1358" t="str">
        <f t="shared" si="251"/>
        <v/>
      </c>
      <c r="G381" s="1358" t="str">
        <f t="shared" ref="G381:G387" si="253">H352</f>
        <v/>
      </c>
      <c r="H381" s="1358" t="str">
        <f t="shared" ref="H381:H387" si="254">K352</f>
        <v/>
      </c>
      <c r="I381" s="1358" t="str">
        <f t="shared" ref="I381:I387" si="255">O352</f>
        <v/>
      </c>
      <c r="J381" s="1359" t="str">
        <f t="shared" ref="J381:N387" si="256">IF(E381&gt;0,E381,IF(E381=0,0,""))</f>
        <v/>
      </c>
      <c r="K381" s="1359" t="str">
        <f t="shared" si="256"/>
        <v/>
      </c>
      <c r="L381" s="1359" t="str">
        <f t="shared" si="256"/>
        <v/>
      </c>
      <c r="M381" s="1359" t="str">
        <f t="shared" si="256"/>
        <v/>
      </c>
      <c r="N381" s="1359" t="str">
        <f t="shared" si="256"/>
        <v/>
      </c>
      <c r="O381" s="633">
        <f t="shared" ref="O381:O387" si="257">IF(J381="",-1,IF(J381=0,0,1))</f>
        <v>-1</v>
      </c>
      <c r="P381" s="489"/>
      <c r="Q381" s="489"/>
      <c r="R381" s="485"/>
      <c r="S381" s="629"/>
      <c r="T381" s="630"/>
      <c r="U381" s="543"/>
      <c r="V381" s="256">
        <f t="shared" ref="V381:V387" si="258">IF(E6&gt;0,IF(F6&gt;1,P6+1,P6),0)</f>
        <v>0</v>
      </c>
      <c r="W381" s="256">
        <f t="shared" ref="W381:W387" si="259">IF(G6&gt;0,IF(H6&gt;1,P6+1,P6),0)</f>
        <v>0</v>
      </c>
      <c r="X381" s="256">
        <f t="shared" ref="X381:X387" si="260">IF(I6&gt;0,IF(J6&gt;1,P6+1,P6),0)</f>
        <v>0</v>
      </c>
      <c r="Y381" s="256">
        <f t="shared" ref="Y381:Y387" si="261">IF(K6&gt;0,IF(L6&gt;1,P6+1,P6),0)</f>
        <v>0</v>
      </c>
      <c r="Z381" s="256">
        <f t="shared" ref="Z381:Z387" si="262">IF(M6&gt;0,IF(N6&gt;1,P6+1,P6),0)</f>
        <v>0</v>
      </c>
      <c r="AA381" s="256"/>
      <c r="AB381" s="256"/>
      <c r="AC381" s="256"/>
      <c r="AD381" s="539"/>
      <c r="AE381" s="539"/>
      <c r="AF381" s="539"/>
      <c r="AG381" s="256"/>
      <c r="AH381" s="256"/>
      <c r="AI381" s="256"/>
      <c r="AJ381" s="256"/>
      <c r="AK381" s="256"/>
      <c r="AL381" s="256"/>
      <c r="AM381" s="256"/>
      <c r="AN381" s="256"/>
      <c r="CU381" s="446"/>
      <c r="CV381" s="634" t="str">
        <f t="shared" si="252"/>
        <v>Investitionsgut 2</v>
      </c>
      <c r="CW381" s="634"/>
      <c r="DH381" s="446"/>
      <c r="DI381" s="446"/>
      <c r="DJ381" s="446"/>
      <c r="DK381" s="446"/>
      <c r="DL381" s="446"/>
      <c r="DM381" s="446"/>
      <c r="DN381" s="446"/>
      <c r="DO381" s="446"/>
      <c r="DP381" s="446"/>
      <c r="DQ381" s="446"/>
      <c r="DR381" s="446"/>
    </row>
    <row r="382" spans="1:122" s="475" customFormat="1" ht="14.25" customHeight="1" x14ac:dyDescent="0.2">
      <c r="A382" s="256"/>
      <c r="C382" s="1613" t="str">
        <f t="shared" si="250"/>
        <v>Investitionsgut 3</v>
      </c>
      <c r="D382" s="1615"/>
      <c r="E382" s="1358" t="str">
        <f t="shared" si="251"/>
        <v/>
      </c>
      <c r="F382" s="1358" t="str">
        <f t="shared" si="251"/>
        <v/>
      </c>
      <c r="G382" s="1358" t="str">
        <f t="shared" si="253"/>
        <v/>
      </c>
      <c r="H382" s="1358" t="str">
        <f t="shared" si="254"/>
        <v/>
      </c>
      <c r="I382" s="1358" t="str">
        <f t="shared" si="255"/>
        <v/>
      </c>
      <c r="J382" s="1359" t="str">
        <f t="shared" si="256"/>
        <v/>
      </c>
      <c r="K382" s="1359" t="str">
        <f t="shared" si="256"/>
        <v/>
      </c>
      <c r="L382" s="1359" t="str">
        <f t="shared" si="256"/>
        <v/>
      </c>
      <c r="M382" s="1359" t="str">
        <f t="shared" si="256"/>
        <v/>
      </c>
      <c r="N382" s="1359" t="str">
        <f t="shared" si="256"/>
        <v/>
      </c>
      <c r="O382" s="633">
        <f t="shared" si="257"/>
        <v>-1</v>
      </c>
      <c r="P382" s="489"/>
      <c r="Q382" s="489"/>
      <c r="R382" s="485"/>
      <c r="S382" s="629"/>
      <c r="T382" s="630"/>
      <c r="U382" s="543"/>
      <c r="V382" s="256">
        <f t="shared" si="258"/>
        <v>0</v>
      </c>
      <c r="W382" s="256">
        <f t="shared" si="259"/>
        <v>0</v>
      </c>
      <c r="X382" s="256">
        <f t="shared" si="260"/>
        <v>0</v>
      </c>
      <c r="Y382" s="256">
        <f t="shared" si="261"/>
        <v>0</v>
      </c>
      <c r="Z382" s="256">
        <f t="shared" si="262"/>
        <v>0</v>
      </c>
      <c r="AA382" s="256"/>
      <c r="AB382" s="256"/>
      <c r="AC382" s="256"/>
      <c r="AD382" s="539"/>
      <c r="AE382" s="539"/>
      <c r="AF382" s="539"/>
      <c r="AG382" s="256"/>
      <c r="AH382" s="256"/>
      <c r="AI382" s="256"/>
      <c r="AJ382" s="256"/>
      <c r="AK382" s="256"/>
      <c r="AL382" s="256"/>
      <c r="AM382" s="256"/>
      <c r="AN382" s="256"/>
      <c r="CU382" s="446"/>
      <c r="CV382" s="634" t="str">
        <f t="shared" si="252"/>
        <v>Investitionsgut 3</v>
      </c>
      <c r="CW382" s="634"/>
      <c r="DH382" s="446"/>
      <c r="DI382" s="446"/>
      <c r="DJ382" s="446"/>
      <c r="DK382" s="446"/>
      <c r="DL382" s="446"/>
      <c r="DM382" s="446"/>
      <c r="DN382" s="446"/>
      <c r="DO382" s="446"/>
      <c r="DP382" s="446"/>
      <c r="DQ382" s="446"/>
      <c r="DR382" s="446"/>
    </row>
    <row r="383" spans="1:122" s="475" customFormat="1" ht="14.25" customHeight="1" x14ac:dyDescent="0.2">
      <c r="A383" s="256"/>
      <c r="C383" s="1613" t="str">
        <f t="shared" si="250"/>
        <v>Investitionsgut 4</v>
      </c>
      <c r="D383" s="1615"/>
      <c r="E383" s="1358" t="str">
        <f t="shared" si="251"/>
        <v/>
      </c>
      <c r="F383" s="1358" t="str">
        <f t="shared" si="251"/>
        <v/>
      </c>
      <c r="G383" s="1358" t="str">
        <f t="shared" si="253"/>
        <v/>
      </c>
      <c r="H383" s="1358" t="str">
        <f t="shared" si="254"/>
        <v/>
      </c>
      <c r="I383" s="1358" t="str">
        <f t="shared" si="255"/>
        <v/>
      </c>
      <c r="J383" s="1359" t="str">
        <f t="shared" si="256"/>
        <v/>
      </c>
      <c r="K383" s="1359" t="str">
        <f t="shared" si="256"/>
        <v/>
      </c>
      <c r="L383" s="1359" t="str">
        <f t="shared" si="256"/>
        <v/>
      </c>
      <c r="M383" s="1359" t="str">
        <f t="shared" si="256"/>
        <v/>
      </c>
      <c r="N383" s="1359" t="str">
        <f t="shared" si="256"/>
        <v/>
      </c>
      <c r="O383" s="633">
        <f t="shared" si="257"/>
        <v>-1</v>
      </c>
      <c r="P383" s="489"/>
      <c r="Q383" s="489"/>
      <c r="R383" s="485"/>
      <c r="S383" s="629"/>
      <c r="T383" s="630"/>
      <c r="U383" s="543"/>
      <c r="V383" s="256">
        <f t="shared" si="258"/>
        <v>0</v>
      </c>
      <c r="W383" s="256">
        <f t="shared" si="259"/>
        <v>0</v>
      </c>
      <c r="X383" s="256">
        <f t="shared" si="260"/>
        <v>0</v>
      </c>
      <c r="Y383" s="256">
        <f t="shared" si="261"/>
        <v>0</v>
      </c>
      <c r="Z383" s="256">
        <f t="shared" si="262"/>
        <v>0</v>
      </c>
      <c r="AA383" s="256"/>
      <c r="AB383" s="256"/>
      <c r="AC383" s="256"/>
      <c r="AD383" s="539"/>
      <c r="AE383" s="539"/>
      <c r="AF383" s="539"/>
      <c r="AG383" s="256"/>
      <c r="AH383" s="256"/>
      <c r="AI383" s="256"/>
      <c r="AJ383" s="256"/>
      <c r="AK383" s="256"/>
      <c r="AL383" s="256"/>
      <c r="AM383" s="256"/>
      <c r="AN383" s="256"/>
      <c r="CU383" s="446"/>
      <c r="CV383" s="634" t="str">
        <f t="shared" si="252"/>
        <v>Investitionsgut 4</v>
      </c>
      <c r="CW383" s="634"/>
      <c r="DH383" s="446"/>
      <c r="DI383" s="446"/>
      <c r="DJ383" s="446"/>
      <c r="DK383" s="446"/>
      <c r="DL383" s="446"/>
      <c r="DM383" s="446"/>
      <c r="DN383" s="446"/>
      <c r="DO383" s="446"/>
      <c r="DP383" s="446"/>
      <c r="DQ383" s="446"/>
      <c r="DR383" s="446"/>
    </row>
    <row r="384" spans="1:122" s="475" customFormat="1" ht="14.25" customHeight="1" x14ac:dyDescent="0.2">
      <c r="A384" s="256"/>
      <c r="C384" s="1613" t="str">
        <f t="shared" si="250"/>
        <v>Investitionsgut 5</v>
      </c>
      <c r="D384" s="1615"/>
      <c r="E384" s="1358" t="str">
        <f t="shared" si="251"/>
        <v/>
      </c>
      <c r="F384" s="1358" t="str">
        <f t="shared" si="251"/>
        <v/>
      </c>
      <c r="G384" s="1358" t="str">
        <f t="shared" si="253"/>
        <v/>
      </c>
      <c r="H384" s="1358" t="str">
        <f t="shared" si="254"/>
        <v/>
      </c>
      <c r="I384" s="1358" t="str">
        <f t="shared" si="255"/>
        <v/>
      </c>
      <c r="J384" s="1359" t="str">
        <f t="shared" si="256"/>
        <v/>
      </c>
      <c r="K384" s="1359" t="str">
        <f t="shared" si="256"/>
        <v/>
      </c>
      <c r="L384" s="1359" t="str">
        <f t="shared" si="256"/>
        <v/>
      </c>
      <c r="M384" s="1359" t="str">
        <f t="shared" si="256"/>
        <v/>
      </c>
      <c r="N384" s="1359" t="str">
        <f t="shared" si="256"/>
        <v/>
      </c>
      <c r="O384" s="633">
        <f t="shared" si="257"/>
        <v>-1</v>
      </c>
      <c r="P384" s="489"/>
      <c r="Q384" s="489"/>
      <c r="R384" s="485"/>
      <c r="S384" s="629"/>
      <c r="T384" s="630"/>
      <c r="U384" s="543"/>
      <c r="V384" s="256">
        <f t="shared" si="258"/>
        <v>0</v>
      </c>
      <c r="W384" s="256">
        <f t="shared" si="259"/>
        <v>0</v>
      </c>
      <c r="X384" s="256">
        <f t="shared" si="260"/>
        <v>0</v>
      </c>
      <c r="Y384" s="256">
        <f t="shared" si="261"/>
        <v>0</v>
      </c>
      <c r="Z384" s="256">
        <f t="shared" si="262"/>
        <v>0</v>
      </c>
      <c r="AA384" s="256"/>
      <c r="AB384" s="256"/>
      <c r="AC384" s="256"/>
      <c r="AD384" s="256"/>
      <c r="AE384" s="256"/>
      <c r="AF384" s="256"/>
      <c r="AG384" s="256"/>
      <c r="AH384" s="256"/>
      <c r="AI384" s="256"/>
      <c r="AJ384" s="256"/>
      <c r="AK384" s="256"/>
      <c r="AL384" s="256"/>
      <c r="AM384" s="256"/>
      <c r="AN384" s="256"/>
      <c r="CU384" s="446"/>
      <c r="CV384" s="634" t="str">
        <f t="shared" si="252"/>
        <v>Investitionsgut 5</v>
      </c>
      <c r="CW384" s="634"/>
      <c r="DH384" s="446"/>
      <c r="DI384" s="446"/>
      <c r="DJ384" s="446"/>
      <c r="DK384" s="446"/>
      <c r="DL384" s="446"/>
      <c r="DM384" s="446"/>
      <c r="DN384" s="446"/>
      <c r="DO384" s="446"/>
      <c r="DP384" s="446"/>
      <c r="DQ384" s="446"/>
      <c r="DR384" s="446"/>
    </row>
    <row r="385" spans="1:122" s="475" customFormat="1" ht="14.25" customHeight="1" x14ac:dyDescent="0.2">
      <c r="A385" s="256"/>
      <c r="C385" s="1613" t="str">
        <f t="shared" si="250"/>
        <v>Investitionsgut 6</v>
      </c>
      <c r="D385" s="1615"/>
      <c r="E385" s="1358" t="str">
        <f t="shared" si="251"/>
        <v/>
      </c>
      <c r="F385" s="1358" t="str">
        <f t="shared" si="251"/>
        <v/>
      </c>
      <c r="G385" s="1358" t="str">
        <f t="shared" si="253"/>
        <v/>
      </c>
      <c r="H385" s="1358" t="str">
        <f t="shared" si="254"/>
        <v/>
      </c>
      <c r="I385" s="1358" t="str">
        <f t="shared" si="255"/>
        <v/>
      </c>
      <c r="J385" s="1359" t="str">
        <f t="shared" si="256"/>
        <v/>
      </c>
      <c r="K385" s="1359" t="str">
        <f t="shared" si="256"/>
        <v/>
      </c>
      <c r="L385" s="1359" t="str">
        <f t="shared" si="256"/>
        <v/>
      </c>
      <c r="M385" s="1359" t="str">
        <f t="shared" si="256"/>
        <v/>
      </c>
      <c r="N385" s="1359" t="str">
        <f t="shared" si="256"/>
        <v/>
      </c>
      <c r="O385" s="633">
        <f t="shared" si="257"/>
        <v>-1</v>
      </c>
      <c r="P385" s="489"/>
      <c r="Q385" s="489"/>
      <c r="R385" s="485"/>
      <c r="S385" s="629"/>
      <c r="T385" s="630"/>
      <c r="U385" s="543"/>
      <c r="V385" s="256">
        <f t="shared" si="258"/>
        <v>0</v>
      </c>
      <c r="W385" s="256">
        <f t="shared" si="259"/>
        <v>0</v>
      </c>
      <c r="X385" s="256">
        <f t="shared" si="260"/>
        <v>0</v>
      </c>
      <c r="Y385" s="256">
        <f t="shared" si="261"/>
        <v>0</v>
      </c>
      <c r="Z385" s="256">
        <f t="shared" si="262"/>
        <v>0</v>
      </c>
      <c r="AA385" s="256"/>
      <c r="AB385" s="256"/>
      <c r="AC385" s="256"/>
      <c r="AD385" s="256"/>
      <c r="AE385" s="256"/>
      <c r="AF385" s="256"/>
      <c r="AG385" s="256"/>
      <c r="AH385" s="256"/>
      <c r="AI385" s="256"/>
      <c r="AJ385" s="256"/>
      <c r="AK385" s="256"/>
      <c r="AL385" s="256"/>
      <c r="AM385" s="256"/>
      <c r="AN385" s="256"/>
      <c r="CU385" s="446"/>
      <c r="CV385" s="634" t="str">
        <f t="shared" si="252"/>
        <v>Investitionsgut 6</v>
      </c>
      <c r="CW385" s="634"/>
      <c r="DH385" s="446"/>
      <c r="DI385" s="446"/>
      <c r="DJ385" s="446"/>
      <c r="DK385" s="446"/>
      <c r="DL385" s="446"/>
      <c r="DM385" s="446"/>
      <c r="DN385" s="446"/>
      <c r="DO385" s="446"/>
      <c r="DP385" s="446"/>
      <c r="DQ385" s="446"/>
      <c r="DR385" s="446"/>
    </row>
    <row r="386" spans="1:122" s="475" customFormat="1" ht="14.25" customHeight="1" x14ac:dyDescent="0.2">
      <c r="A386" s="256"/>
      <c r="C386" s="1613" t="str">
        <f t="shared" si="250"/>
        <v>Investitionsgut 7</v>
      </c>
      <c r="D386" s="1615"/>
      <c r="E386" s="1358" t="str">
        <f t="shared" si="251"/>
        <v/>
      </c>
      <c r="F386" s="1358" t="str">
        <f t="shared" si="251"/>
        <v/>
      </c>
      <c r="G386" s="1358" t="str">
        <f t="shared" si="253"/>
        <v/>
      </c>
      <c r="H386" s="1358" t="str">
        <f t="shared" si="254"/>
        <v/>
      </c>
      <c r="I386" s="1358" t="str">
        <f t="shared" si="255"/>
        <v/>
      </c>
      <c r="J386" s="1359" t="str">
        <f t="shared" si="256"/>
        <v/>
      </c>
      <c r="K386" s="1359" t="str">
        <f t="shared" si="256"/>
        <v/>
      </c>
      <c r="L386" s="1359" t="str">
        <f t="shared" si="256"/>
        <v/>
      </c>
      <c r="M386" s="1359" t="str">
        <f t="shared" si="256"/>
        <v/>
      </c>
      <c r="N386" s="1359" t="str">
        <f t="shared" si="256"/>
        <v/>
      </c>
      <c r="O386" s="633">
        <f t="shared" si="257"/>
        <v>-1</v>
      </c>
      <c r="P386" s="489"/>
      <c r="Q386" s="489"/>
      <c r="R386" s="485"/>
      <c r="S386" s="629"/>
      <c r="T386" s="630"/>
      <c r="U386" s="543"/>
      <c r="V386" s="256">
        <f t="shared" si="258"/>
        <v>0</v>
      </c>
      <c r="W386" s="256">
        <f t="shared" si="259"/>
        <v>0</v>
      </c>
      <c r="X386" s="256">
        <f t="shared" si="260"/>
        <v>0</v>
      </c>
      <c r="Y386" s="256">
        <f t="shared" si="261"/>
        <v>0</v>
      </c>
      <c r="Z386" s="256">
        <f t="shared" si="262"/>
        <v>0</v>
      </c>
      <c r="AA386" s="256"/>
      <c r="AB386" s="256"/>
      <c r="AC386" s="256"/>
      <c r="AD386" s="256"/>
      <c r="AE386" s="256"/>
      <c r="AF386" s="256"/>
      <c r="AG386" s="256"/>
      <c r="AH386" s="256"/>
      <c r="AI386" s="256"/>
      <c r="AJ386" s="256"/>
      <c r="AK386" s="256"/>
      <c r="AL386" s="256"/>
      <c r="AM386" s="256"/>
      <c r="AN386" s="256"/>
      <c r="CU386" s="446"/>
      <c r="CV386" s="634" t="str">
        <f t="shared" si="252"/>
        <v>Investitionsgut 7</v>
      </c>
      <c r="CW386" s="634"/>
      <c r="DH386" s="446"/>
      <c r="DI386" s="446"/>
      <c r="DJ386" s="446"/>
      <c r="DK386" s="446"/>
      <c r="DL386" s="446"/>
      <c r="DM386" s="446"/>
      <c r="DN386" s="446"/>
      <c r="DO386" s="446"/>
      <c r="DP386" s="446"/>
      <c r="DQ386" s="446"/>
      <c r="DR386" s="446"/>
    </row>
    <row r="387" spans="1:122" s="475" customFormat="1" ht="14.25" customHeight="1" x14ac:dyDescent="0.2">
      <c r="A387" s="256"/>
      <c r="C387" s="1611" t="s">
        <v>152</v>
      </c>
      <c r="D387" s="1612"/>
      <c r="E387" s="1358">
        <f>E358</f>
        <v>0</v>
      </c>
      <c r="F387" s="1358">
        <f t="shared" si="251"/>
        <v>0</v>
      </c>
      <c r="G387" s="1358">
        <f t="shared" si="253"/>
        <v>0</v>
      </c>
      <c r="H387" s="1358">
        <f t="shared" si="254"/>
        <v>0</v>
      </c>
      <c r="I387" s="1358">
        <f t="shared" si="255"/>
        <v>0</v>
      </c>
      <c r="J387" s="1359">
        <f t="shared" si="256"/>
        <v>0</v>
      </c>
      <c r="K387" s="1359">
        <f t="shared" si="256"/>
        <v>0</v>
      </c>
      <c r="L387" s="1359">
        <f t="shared" si="256"/>
        <v>0</v>
      </c>
      <c r="M387" s="1359">
        <f t="shared" si="256"/>
        <v>0</v>
      </c>
      <c r="N387" s="1359">
        <f t="shared" si="256"/>
        <v>0</v>
      </c>
      <c r="O387" s="633">
        <f t="shared" si="257"/>
        <v>0</v>
      </c>
      <c r="P387" s="489"/>
      <c r="Q387" s="489"/>
      <c r="R387" s="485"/>
      <c r="S387" s="629"/>
      <c r="T387" s="630"/>
      <c r="U387" s="543"/>
      <c r="V387" s="256">
        <f t="shared" si="258"/>
        <v>0</v>
      </c>
      <c r="W387" s="256">
        <f t="shared" si="259"/>
        <v>0</v>
      </c>
      <c r="X387" s="256">
        <f t="shared" si="260"/>
        <v>0</v>
      </c>
      <c r="Y387" s="256">
        <f t="shared" si="261"/>
        <v>0</v>
      </c>
      <c r="Z387" s="256">
        <f t="shared" si="262"/>
        <v>0</v>
      </c>
      <c r="AA387" s="256"/>
      <c r="AB387" s="256"/>
      <c r="AC387" s="256"/>
      <c r="AD387" s="256"/>
      <c r="AE387" s="256"/>
      <c r="AF387" s="256"/>
      <c r="AG387" s="256"/>
      <c r="AH387" s="256"/>
      <c r="AI387" s="256"/>
      <c r="AJ387" s="256"/>
      <c r="AK387" s="256"/>
      <c r="AL387" s="256"/>
      <c r="AM387" s="256"/>
      <c r="AN387" s="256"/>
      <c r="CU387" s="446"/>
      <c r="CV387" s="634" t="s">
        <v>152</v>
      </c>
      <c r="CW387" s="634"/>
      <c r="DH387" s="446"/>
      <c r="DI387" s="446"/>
      <c r="DJ387" s="446"/>
      <c r="DK387" s="446"/>
      <c r="DL387" s="446"/>
      <c r="DM387" s="446"/>
      <c r="DN387" s="446"/>
      <c r="DO387" s="446"/>
      <c r="DP387" s="446"/>
      <c r="DQ387" s="446"/>
      <c r="DR387" s="446"/>
    </row>
    <row r="388" spans="1:122" s="475" customFormat="1" ht="14.25" customHeight="1" thickBot="1" x14ac:dyDescent="0.25">
      <c r="A388" s="256"/>
      <c r="C388" s="1303"/>
      <c r="D388" s="1303"/>
      <c r="E388" s="1360">
        <f>SUM(E380:E387)</f>
        <v>0</v>
      </c>
      <c r="F388" s="1359">
        <f>SUM(F380:F387)</f>
        <v>0</v>
      </c>
      <c r="G388" s="1359">
        <f>SUM(G380:G387)</f>
        <v>0</v>
      </c>
      <c r="H388" s="1359">
        <f>SUM(H380:H387)</f>
        <v>0</v>
      </c>
      <c r="I388" s="1359">
        <f>SUM(I380:I387)</f>
        <v>0</v>
      </c>
      <c r="J388" s="1303"/>
      <c r="K388" s="1303"/>
      <c r="L388" s="1303"/>
      <c r="M388" s="1303"/>
      <c r="N388" s="1303"/>
      <c r="P388" s="489"/>
      <c r="Q388" s="489"/>
      <c r="R388" s="485"/>
      <c r="S388" s="629"/>
      <c r="T388" s="630"/>
      <c r="U388" s="543"/>
      <c r="V388" s="256">
        <f>IF(E13="",0,P13)</f>
        <v>0</v>
      </c>
      <c r="W388" s="256">
        <f>IF(G13="",0,P13)</f>
        <v>0</v>
      </c>
      <c r="X388" s="256">
        <f>IF(I13="",0,P13)</f>
        <v>0</v>
      </c>
      <c r="Y388" s="635">
        <f>IF(K13="",0,P13)</f>
        <v>0</v>
      </c>
      <c r="Z388" s="635">
        <f>IF(M13="",0,P13)</f>
        <v>0</v>
      </c>
      <c r="AA388" s="256"/>
      <c r="AB388" s="256"/>
      <c r="AC388" s="256"/>
      <c r="AD388" s="256"/>
      <c r="AE388" s="256"/>
      <c r="AF388" s="256"/>
      <c r="AG388" s="256"/>
      <c r="AH388" s="256"/>
      <c r="AI388" s="256"/>
      <c r="AJ388" s="256"/>
      <c r="AK388" s="256"/>
      <c r="AL388" s="256"/>
      <c r="AM388" s="256"/>
      <c r="AN388" s="256"/>
      <c r="CU388" s="446"/>
      <c r="CV388" s="446"/>
      <c r="CW388" s="446"/>
      <c r="DH388" s="446"/>
      <c r="DI388" s="446"/>
      <c r="DJ388" s="446"/>
      <c r="DK388" s="446"/>
      <c r="DL388" s="446"/>
      <c r="DM388" s="446"/>
      <c r="DN388" s="446"/>
      <c r="DO388" s="446"/>
      <c r="DP388" s="446"/>
      <c r="DQ388" s="446"/>
      <c r="DR388" s="446"/>
    </row>
    <row r="389" spans="1:122" s="475" customFormat="1" ht="15" customHeight="1" thickBot="1" x14ac:dyDescent="0.25">
      <c r="A389" s="256"/>
      <c r="C389" s="1356">
        <f ca="1">C378+1</f>
        <v>2018</v>
      </c>
      <c r="D389" s="1303" t="s">
        <v>153</v>
      </c>
      <c r="E389" s="1303"/>
      <c r="F389" s="1303"/>
      <c r="G389" s="1303"/>
      <c r="H389" s="1303"/>
      <c r="I389" s="1303"/>
      <c r="J389" s="1303"/>
      <c r="K389" s="1303"/>
      <c r="L389" s="1303"/>
      <c r="M389" s="1303"/>
      <c r="N389" s="1303"/>
      <c r="P389" s="489"/>
      <c r="Q389" s="489"/>
      <c r="R389" s="485"/>
      <c r="S389" s="629"/>
      <c r="T389" s="630"/>
      <c r="U389" s="256"/>
      <c r="V389" s="256"/>
      <c r="W389" s="256"/>
      <c r="X389" s="256"/>
      <c r="Y389" s="256"/>
      <c r="Z389" s="256"/>
      <c r="AA389" s="256"/>
      <c r="AB389" s="256"/>
      <c r="AC389" s="256"/>
      <c r="AD389" s="258"/>
      <c r="AE389" s="258"/>
      <c r="AF389" s="258"/>
      <c r="AG389" s="256"/>
      <c r="AH389" s="256"/>
      <c r="AI389" s="256"/>
      <c r="AJ389" s="256"/>
      <c r="AK389" s="256"/>
      <c r="AL389" s="256"/>
      <c r="AM389" s="256"/>
      <c r="AN389" s="256"/>
      <c r="CU389" s="446"/>
      <c r="CV389" s="446">
        <f>CV378+1</f>
        <v>1</v>
      </c>
      <c r="CW389" s="446" t="s">
        <v>153</v>
      </c>
      <c r="DH389" s="446"/>
      <c r="DI389" s="446"/>
      <c r="DJ389" s="446"/>
      <c r="DK389" s="446"/>
      <c r="DL389" s="446"/>
      <c r="DM389" s="446"/>
      <c r="DN389" s="446"/>
      <c r="DO389" s="446"/>
      <c r="DP389" s="446"/>
      <c r="DQ389" s="446"/>
      <c r="DR389" s="446"/>
    </row>
    <row r="390" spans="1:122" s="475" customFormat="1" ht="14.25" customHeight="1" x14ac:dyDescent="0.2">
      <c r="A390" s="256"/>
      <c r="C390" s="1303"/>
      <c r="D390" s="1303"/>
      <c r="E390" s="1357">
        <f ca="1">E379</f>
        <v>2017</v>
      </c>
      <c r="F390" s="1357">
        <f ca="1">E390+1</f>
        <v>2018</v>
      </c>
      <c r="G390" s="1357">
        <f ca="1">F390+1</f>
        <v>2019</v>
      </c>
      <c r="H390" s="1357">
        <f ca="1">G390+1</f>
        <v>2020</v>
      </c>
      <c r="I390" s="1357">
        <f ca="1">H390+1</f>
        <v>2021</v>
      </c>
      <c r="J390" s="1303"/>
      <c r="K390" s="1303"/>
      <c r="L390" s="1303"/>
      <c r="M390" s="1303"/>
      <c r="N390" s="1303"/>
      <c r="P390" s="489"/>
      <c r="Q390" s="489"/>
      <c r="R390" s="485"/>
      <c r="S390" s="629"/>
      <c r="T390" s="630"/>
      <c r="U390" s="256"/>
      <c r="V390" s="256"/>
      <c r="W390" s="256"/>
      <c r="X390" s="256"/>
      <c r="Y390" s="256"/>
      <c r="Z390" s="256"/>
      <c r="AA390" s="256"/>
      <c r="AB390" s="256"/>
      <c r="AC390" s="256"/>
      <c r="AD390" s="258"/>
      <c r="AE390" s="258"/>
      <c r="AF390" s="258"/>
      <c r="AG390" s="256"/>
      <c r="AH390" s="256"/>
      <c r="AI390" s="256"/>
      <c r="AJ390" s="256"/>
      <c r="AK390" s="256"/>
      <c r="AL390" s="256"/>
      <c r="AM390" s="256"/>
      <c r="AN390" s="256"/>
      <c r="CU390" s="446"/>
      <c r="CV390" s="446"/>
      <c r="CW390" s="446"/>
      <c r="DH390" s="446"/>
      <c r="DI390" s="446"/>
      <c r="DJ390" s="446"/>
      <c r="DK390" s="446"/>
      <c r="DL390" s="446"/>
      <c r="DM390" s="446"/>
      <c r="DN390" s="446"/>
      <c r="DO390" s="446"/>
      <c r="DP390" s="446"/>
      <c r="DQ390" s="446"/>
      <c r="DR390" s="446"/>
    </row>
    <row r="391" spans="1:122" s="475" customFormat="1" ht="14.25" customHeight="1" x14ac:dyDescent="0.2">
      <c r="A391" s="256"/>
      <c r="C391" s="1613" t="str">
        <f t="shared" ref="C391:C397" si="263">C6</f>
        <v>Investitionsgut 1</v>
      </c>
      <c r="D391" s="1615"/>
      <c r="E391" s="1303"/>
      <c r="F391" s="1358" t="str">
        <f t="shared" ref="F391:F398" si="264">G351</f>
        <v/>
      </c>
      <c r="G391" s="1358" t="str">
        <f t="shared" ref="G391:G398" si="265">L351</f>
        <v/>
      </c>
      <c r="H391" s="1358" t="str">
        <f t="shared" ref="H391:H398" si="266">P351</f>
        <v/>
      </c>
      <c r="I391" s="1358" t="str">
        <f t="shared" ref="I391:I398" si="267">P351</f>
        <v/>
      </c>
      <c r="J391" s="1359">
        <f>IF(E391&gt;0,E391,IF(E391=0,0,""))</f>
        <v>0</v>
      </c>
      <c r="K391" s="1359" t="str">
        <f t="shared" ref="K391:N397" si="268">IF(F391&gt;0,F391,IF(F391=0,0,""))</f>
        <v/>
      </c>
      <c r="L391" s="1359" t="str">
        <f t="shared" si="268"/>
        <v/>
      </c>
      <c r="M391" s="1359" t="str">
        <f t="shared" si="268"/>
        <v/>
      </c>
      <c r="N391" s="1359" t="str">
        <f t="shared" si="268"/>
        <v/>
      </c>
      <c r="O391" s="633">
        <f>IF(K391="",-1,IF(K391=0,0,1))</f>
        <v>-1</v>
      </c>
      <c r="P391" s="489"/>
      <c r="Q391" s="489"/>
      <c r="R391" s="485"/>
      <c r="S391" s="629"/>
      <c r="T391" s="630"/>
      <c r="U391" s="256"/>
      <c r="V391" s="256"/>
      <c r="W391" s="256"/>
      <c r="X391" s="256"/>
      <c r="Y391" s="256"/>
      <c r="Z391" s="256"/>
      <c r="AA391" s="256"/>
      <c r="AB391" s="256"/>
      <c r="AC391" s="539"/>
      <c r="AD391" s="256"/>
      <c r="AE391" s="256"/>
      <c r="AF391" s="256"/>
      <c r="AG391" s="256"/>
      <c r="AH391" s="256"/>
      <c r="AI391" s="256"/>
      <c r="AJ391" s="256"/>
      <c r="AK391" s="256"/>
      <c r="AL391" s="256"/>
      <c r="AM391" s="256"/>
      <c r="AN391" s="256"/>
      <c r="CU391" s="446"/>
      <c r="CV391" s="634" t="str">
        <f t="shared" ref="CV391:CV397" si="269">CV6</f>
        <v>Investitionsgut 1</v>
      </c>
      <c r="CW391" s="634"/>
      <c r="DH391" s="446"/>
      <c r="DI391" s="446"/>
      <c r="DJ391" s="446"/>
      <c r="DK391" s="446"/>
      <c r="DL391" s="446"/>
      <c r="DM391" s="446"/>
      <c r="DN391" s="446"/>
      <c r="DO391" s="446"/>
      <c r="DP391" s="446"/>
      <c r="DQ391" s="446"/>
      <c r="DR391" s="446"/>
    </row>
    <row r="392" spans="1:122" s="475" customFormat="1" ht="14.25" customHeight="1" x14ac:dyDescent="0.2">
      <c r="A392" s="256"/>
      <c r="C392" s="1613" t="str">
        <f t="shared" si="263"/>
        <v>Investitionsgut 2</v>
      </c>
      <c r="D392" s="1615"/>
      <c r="E392" s="1303"/>
      <c r="F392" s="1358" t="str">
        <f t="shared" si="264"/>
        <v/>
      </c>
      <c r="G392" s="1358" t="str">
        <f t="shared" si="265"/>
        <v/>
      </c>
      <c r="H392" s="1358" t="str">
        <f t="shared" si="266"/>
        <v/>
      </c>
      <c r="I392" s="1358" t="str">
        <f t="shared" si="267"/>
        <v/>
      </c>
      <c r="J392" s="1359">
        <f t="shared" ref="J392:J397" si="270">IF(E392&gt;0,E392,IF(E392=0,0,""))</f>
        <v>0</v>
      </c>
      <c r="K392" s="1359" t="str">
        <f t="shared" si="268"/>
        <v/>
      </c>
      <c r="L392" s="1359" t="str">
        <f t="shared" si="268"/>
        <v/>
      </c>
      <c r="M392" s="1359" t="str">
        <f t="shared" si="268"/>
        <v/>
      </c>
      <c r="N392" s="1359" t="str">
        <f t="shared" si="268"/>
        <v/>
      </c>
      <c r="O392" s="633">
        <f t="shared" ref="O392:O397" si="271">IF(K392="",-1,IF(K392=0,0,1))</f>
        <v>-1</v>
      </c>
      <c r="P392" s="489"/>
      <c r="Q392" s="489"/>
      <c r="R392" s="485"/>
      <c r="S392" s="629"/>
      <c r="T392" s="630"/>
      <c r="U392" s="256"/>
      <c r="V392" s="256"/>
      <c r="W392" s="256"/>
      <c r="X392" s="256"/>
      <c r="Y392" s="256"/>
      <c r="Z392" s="256"/>
      <c r="AA392" s="256"/>
      <c r="AB392" s="256"/>
      <c r="AC392" s="539"/>
      <c r="AD392" s="256"/>
      <c r="AE392" s="256"/>
      <c r="AF392" s="256"/>
      <c r="AG392" s="256"/>
      <c r="AH392" s="256"/>
      <c r="AI392" s="256"/>
      <c r="AJ392" s="256"/>
      <c r="AK392" s="256"/>
      <c r="AL392" s="256"/>
      <c r="AM392" s="256"/>
      <c r="AN392" s="256"/>
      <c r="CU392" s="446"/>
      <c r="CV392" s="634" t="str">
        <f t="shared" si="269"/>
        <v>Investitionsgut 2</v>
      </c>
      <c r="CW392" s="634"/>
      <c r="DH392" s="446"/>
      <c r="DI392" s="446"/>
      <c r="DJ392" s="446"/>
      <c r="DK392" s="446"/>
      <c r="DL392" s="446"/>
      <c r="DM392" s="446"/>
      <c r="DN392" s="446"/>
      <c r="DO392" s="446"/>
      <c r="DP392" s="446"/>
      <c r="DQ392" s="446"/>
      <c r="DR392" s="446"/>
    </row>
    <row r="393" spans="1:122" s="475" customFormat="1" ht="14.25" customHeight="1" x14ac:dyDescent="0.2">
      <c r="A393" s="256"/>
      <c r="C393" s="1613" t="str">
        <f t="shared" si="263"/>
        <v>Investitionsgut 3</v>
      </c>
      <c r="D393" s="1615"/>
      <c r="E393" s="1303"/>
      <c r="F393" s="1358" t="str">
        <f t="shared" si="264"/>
        <v/>
      </c>
      <c r="G393" s="1358" t="str">
        <f t="shared" si="265"/>
        <v/>
      </c>
      <c r="H393" s="1358" t="str">
        <f t="shared" si="266"/>
        <v/>
      </c>
      <c r="I393" s="1358" t="str">
        <f t="shared" si="267"/>
        <v/>
      </c>
      <c r="J393" s="1359">
        <f t="shared" si="270"/>
        <v>0</v>
      </c>
      <c r="K393" s="1359" t="str">
        <f t="shared" si="268"/>
        <v/>
      </c>
      <c r="L393" s="1359" t="str">
        <f t="shared" si="268"/>
        <v/>
      </c>
      <c r="M393" s="1359" t="str">
        <f t="shared" si="268"/>
        <v/>
      </c>
      <c r="N393" s="1359" t="str">
        <f t="shared" si="268"/>
        <v/>
      </c>
      <c r="O393" s="633">
        <f t="shared" si="271"/>
        <v>-1</v>
      </c>
      <c r="P393" s="489"/>
      <c r="Q393" s="489"/>
      <c r="R393" s="485"/>
      <c r="S393" s="629"/>
      <c r="T393" s="630"/>
      <c r="U393" s="256"/>
      <c r="V393" s="256"/>
      <c r="W393" s="256"/>
      <c r="X393" s="256"/>
      <c r="Y393" s="256"/>
      <c r="Z393" s="256"/>
      <c r="AA393" s="256"/>
      <c r="AB393" s="256"/>
      <c r="AC393" s="539"/>
      <c r="AD393" s="256"/>
      <c r="AE393" s="256"/>
      <c r="AF393" s="256"/>
      <c r="AG393" s="256"/>
      <c r="AH393" s="256"/>
      <c r="AI393" s="256"/>
      <c r="AJ393" s="256"/>
      <c r="AK393" s="256"/>
      <c r="AL393" s="256"/>
      <c r="AM393" s="256"/>
      <c r="AN393" s="256"/>
      <c r="CU393" s="446"/>
      <c r="CV393" s="634" t="str">
        <f t="shared" si="269"/>
        <v>Investitionsgut 3</v>
      </c>
      <c r="CW393" s="634"/>
      <c r="DH393" s="446"/>
      <c r="DI393" s="446"/>
      <c r="DJ393" s="446"/>
      <c r="DK393" s="446"/>
      <c r="DL393" s="446"/>
      <c r="DM393" s="446"/>
      <c r="DN393" s="446"/>
      <c r="DO393" s="446"/>
      <c r="DP393" s="446"/>
      <c r="DQ393" s="446"/>
      <c r="DR393" s="446"/>
    </row>
    <row r="394" spans="1:122" s="475" customFormat="1" ht="14.25" customHeight="1" x14ac:dyDescent="0.2">
      <c r="A394" s="256"/>
      <c r="C394" s="1613" t="str">
        <f t="shared" si="263"/>
        <v>Investitionsgut 4</v>
      </c>
      <c r="D394" s="1615"/>
      <c r="E394" s="1303"/>
      <c r="F394" s="1358" t="str">
        <f t="shared" si="264"/>
        <v/>
      </c>
      <c r="G394" s="1358" t="str">
        <f t="shared" si="265"/>
        <v/>
      </c>
      <c r="H394" s="1358" t="str">
        <f t="shared" si="266"/>
        <v/>
      </c>
      <c r="I394" s="1358" t="str">
        <f t="shared" si="267"/>
        <v/>
      </c>
      <c r="J394" s="1359">
        <f t="shared" si="270"/>
        <v>0</v>
      </c>
      <c r="K394" s="1359" t="str">
        <f t="shared" si="268"/>
        <v/>
      </c>
      <c r="L394" s="1359" t="str">
        <f t="shared" si="268"/>
        <v/>
      </c>
      <c r="M394" s="1359" t="str">
        <f t="shared" si="268"/>
        <v/>
      </c>
      <c r="N394" s="1359" t="str">
        <f t="shared" si="268"/>
        <v/>
      </c>
      <c r="O394" s="633">
        <f t="shared" si="271"/>
        <v>-1</v>
      </c>
      <c r="P394" s="489"/>
      <c r="Q394" s="489"/>
      <c r="R394" s="485"/>
      <c r="S394" s="629"/>
      <c r="T394" s="630"/>
      <c r="U394" s="256"/>
      <c r="V394" s="256"/>
      <c r="W394" s="256"/>
      <c r="X394" s="256"/>
      <c r="Y394" s="256"/>
      <c r="Z394" s="256"/>
      <c r="AA394" s="256"/>
      <c r="AB394" s="256"/>
      <c r="AC394" s="539"/>
      <c r="AD394" s="256"/>
      <c r="AE394" s="256"/>
      <c r="AF394" s="256"/>
      <c r="AG394" s="256"/>
      <c r="AH394" s="256"/>
      <c r="AI394" s="256"/>
      <c r="AJ394" s="256"/>
      <c r="AK394" s="256"/>
      <c r="AL394" s="256"/>
      <c r="AM394" s="256"/>
      <c r="AN394" s="256"/>
      <c r="CU394" s="446"/>
      <c r="CV394" s="634" t="str">
        <f t="shared" si="269"/>
        <v>Investitionsgut 4</v>
      </c>
      <c r="CW394" s="634"/>
      <c r="DH394" s="446"/>
      <c r="DI394" s="446"/>
      <c r="DJ394" s="446"/>
      <c r="DK394" s="446"/>
      <c r="DL394" s="446"/>
      <c r="DM394" s="446"/>
      <c r="DN394" s="446"/>
      <c r="DO394" s="446"/>
      <c r="DP394" s="446"/>
      <c r="DQ394" s="446"/>
      <c r="DR394" s="446"/>
    </row>
    <row r="395" spans="1:122" s="475" customFormat="1" ht="14.25" customHeight="1" x14ac:dyDescent="0.2">
      <c r="A395" s="256"/>
      <c r="C395" s="1613" t="str">
        <f t="shared" si="263"/>
        <v>Investitionsgut 5</v>
      </c>
      <c r="D395" s="1615"/>
      <c r="E395" s="1303"/>
      <c r="F395" s="1358" t="str">
        <f t="shared" si="264"/>
        <v/>
      </c>
      <c r="G395" s="1358" t="str">
        <f t="shared" si="265"/>
        <v/>
      </c>
      <c r="H395" s="1358" t="str">
        <f t="shared" si="266"/>
        <v/>
      </c>
      <c r="I395" s="1358" t="str">
        <f t="shared" si="267"/>
        <v/>
      </c>
      <c r="J395" s="1359">
        <f t="shared" si="270"/>
        <v>0</v>
      </c>
      <c r="K395" s="1359" t="str">
        <f t="shared" si="268"/>
        <v/>
      </c>
      <c r="L395" s="1359" t="str">
        <f t="shared" si="268"/>
        <v/>
      </c>
      <c r="M395" s="1359" t="str">
        <f t="shared" si="268"/>
        <v/>
      </c>
      <c r="N395" s="1359" t="str">
        <f t="shared" si="268"/>
        <v/>
      </c>
      <c r="O395" s="633">
        <f t="shared" si="271"/>
        <v>-1</v>
      </c>
      <c r="P395" s="489"/>
      <c r="Q395" s="489"/>
      <c r="R395" s="485"/>
      <c r="S395" s="629"/>
      <c r="T395" s="630"/>
      <c r="U395" s="256"/>
      <c r="V395" s="256"/>
      <c r="W395" s="256"/>
      <c r="X395" s="256"/>
      <c r="Y395" s="256"/>
      <c r="Z395" s="256"/>
      <c r="AA395" s="256"/>
      <c r="AB395" s="256"/>
      <c r="AC395" s="539"/>
      <c r="AD395" s="256"/>
      <c r="AE395" s="256"/>
      <c r="AF395" s="256"/>
      <c r="AG395" s="256"/>
      <c r="AH395" s="256"/>
      <c r="AI395" s="256"/>
      <c r="AJ395" s="256"/>
      <c r="AK395" s="256"/>
      <c r="AL395" s="256"/>
      <c r="AM395" s="256"/>
      <c r="AN395" s="256"/>
      <c r="CU395" s="446"/>
      <c r="CV395" s="634" t="str">
        <f t="shared" si="269"/>
        <v>Investitionsgut 5</v>
      </c>
      <c r="CW395" s="634"/>
      <c r="DH395" s="446"/>
      <c r="DI395" s="446"/>
      <c r="DJ395" s="446"/>
      <c r="DK395" s="446"/>
      <c r="DL395" s="446"/>
      <c r="DM395" s="446"/>
      <c r="DN395" s="446"/>
      <c r="DO395" s="446"/>
      <c r="DP395" s="446"/>
      <c r="DQ395" s="446"/>
      <c r="DR395" s="446"/>
    </row>
    <row r="396" spans="1:122" s="475" customFormat="1" ht="14.25" customHeight="1" x14ac:dyDescent="0.2">
      <c r="A396" s="256"/>
      <c r="C396" s="1613" t="str">
        <f t="shared" si="263"/>
        <v>Investitionsgut 6</v>
      </c>
      <c r="D396" s="1615"/>
      <c r="E396" s="1303"/>
      <c r="F396" s="1358" t="str">
        <f t="shared" si="264"/>
        <v/>
      </c>
      <c r="G396" s="1358" t="str">
        <f t="shared" si="265"/>
        <v/>
      </c>
      <c r="H396" s="1358" t="str">
        <f t="shared" si="266"/>
        <v/>
      </c>
      <c r="I396" s="1358" t="str">
        <f t="shared" si="267"/>
        <v/>
      </c>
      <c r="J396" s="1359">
        <f t="shared" si="270"/>
        <v>0</v>
      </c>
      <c r="K396" s="1359" t="str">
        <f t="shared" si="268"/>
        <v/>
      </c>
      <c r="L396" s="1359" t="str">
        <f t="shared" si="268"/>
        <v/>
      </c>
      <c r="M396" s="1359" t="str">
        <f t="shared" si="268"/>
        <v/>
      </c>
      <c r="N396" s="1359" t="str">
        <f t="shared" si="268"/>
        <v/>
      </c>
      <c r="O396" s="633">
        <f t="shared" si="271"/>
        <v>-1</v>
      </c>
      <c r="P396" s="489"/>
      <c r="Q396" s="489"/>
      <c r="R396" s="485"/>
      <c r="S396" s="629"/>
      <c r="T396" s="630"/>
      <c r="U396" s="256"/>
      <c r="V396" s="256"/>
      <c r="W396" s="256"/>
      <c r="X396" s="256"/>
      <c r="Y396" s="256"/>
      <c r="Z396" s="256"/>
      <c r="AA396" s="256"/>
      <c r="AB396" s="256"/>
      <c r="AC396" s="539"/>
      <c r="AD396" s="256"/>
      <c r="AE396" s="256"/>
      <c r="AF396" s="256"/>
      <c r="AG396" s="256"/>
      <c r="AH396" s="256"/>
      <c r="AI396" s="256"/>
      <c r="AJ396" s="256"/>
      <c r="AK396" s="256"/>
      <c r="AL396" s="256"/>
      <c r="AM396" s="256"/>
      <c r="AN396" s="256"/>
      <c r="CU396" s="446"/>
      <c r="CV396" s="634" t="str">
        <f t="shared" si="269"/>
        <v>Investitionsgut 6</v>
      </c>
      <c r="CW396" s="634"/>
      <c r="DH396" s="446"/>
      <c r="DI396" s="446"/>
      <c r="DJ396" s="446"/>
      <c r="DK396" s="446"/>
      <c r="DL396" s="446"/>
      <c r="DM396" s="446"/>
      <c r="DN396" s="446"/>
      <c r="DO396" s="446"/>
      <c r="DP396" s="446"/>
      <c r="DQ396" s="446"/>
      <c r="DR396" s="446"/>
    </row>
    <row r="397" spans="1:122" s="475" customFormat="1" ht="14.25" customHeight="1" x14ac:dyDescent="0.2">
      <c r="A397" s="256"/>
      <c r="C397" s="1613" t="str">
        <f t="shared" si="263"/>
        <v>Investitionsgut 7</v>
      </c>
      <c r="D397" s="1615"/>
      <c r="E397" s="1303"/>
      <c r="F397" s="1358" t="str">
        <f t="shared" si="264"/>
        <v/>
      </c>
      <c r="G397" s="1358" t="str">
        <f t="shared" si="265"/>
        <v/>
      </c>
      <c r="H397" s="1358" t="str">
        <f t="shared" si="266"/>
        <v/>
      </c>
      <c r="I397" s="1358" t="str">
        <f t="shared" si="267"/>
        <v/>
      </c>
      <c r="J397" s="1359">
        <f t="shared" si="270"/>
        <v>0</v>
      </c>
      <c r="K397" s="1359" t="str">
        <f t="shared" si="268"/>
        <v/>
      </c>
      <c r="L397" s="1359" t="str">
        <f t="shared" si="268"/>
        <v/>
      </c>
      <c r="M397" s="1359" t="str">
        <f t="shared" si="268"/>
        <v/>
      </c>
      <c r="N397" s="1359" t="str">
        <f t="shared" si="268"/>
        <v/>
      </c>
      <c r="O397" s="633">
        <f t="shared" si="271"/>
        <v>-1</v>
      </c>
      <c r="P397" s="489"/>
      <c r="Q397" s="489"/>
      <c r="R397" s="485"/>
      <c r="S397" s="629"/>
      <c r="T397" s="630"/>
      <c r="U397" s="256"/>
      <c r="V397" s="256"/>
      <c r="W397" s="256"/>
      <c r="X397" s="256"/>
      <c r="Y397" s="256"/>
      <c r="Z397" s="256"/>
      <c r="AA397" s="256"/>
      <c r="AB397" s="256"/>
      <c r="AC397" s="539"/>
      <c r="AD397" s="256"/>
      <c r="AE397" s="256"/>
      <c r="AF397" s="256"/>
      <c r="AG397" s="256"/>
      <c r="AH397" s="256"/>
      <c r="AI397" s="256"/>
      <c r="AJ397" s="256"/>
      <c r="AK397" s="256"/>
      <c r="AL397" s="256"/>
      <c r="AM397" s="256"/>
      <c r="AN397" s="256"/>
      <c r="CU397" s="446"/>
      <c r="CV397" s="634" t="str">
        <f t="shared" si="269"/>
        <v>Investitionsgut 7</v>
      </c>
      <c r="CW397" s="634"/>
      <c r="DH397" s="446"/>
      <c r="DI397" s="446"/>
      <c r="DJ397" s="446"/>
      <c r="DK397" s="446"/>
      <c r="DL397" s="446"/>
      <c r="DM397" s="446"/>
      <c r="DN397" s="446"/>
      <c r="DO397" s="446"/>
      <c r="DP397" s="446"/>
      <c r="DQ397" s="446"/>
      <c r="DR397" s="446"/>
    </row>
    <row r="398" spans="1:122" s="475" customFormat="1" ht="14.25" customHeight="1" x14ac:dyDescent="0.2">
      <c r="A398" s="256"/>
      <c r="C398" s="1613" t="s">
        <v>152</v>
      </c>
      <c r="D398" s="1615"/>
      <c r="E398" s="1303"/>
      <c r="F398" s="1358">
        <f t="shared" si="264"/>
        <v>0</v>
      </c>
      <c r="G398" s="1358">
        <f t="shared" si="265"/>
        <v>0</v>
      </c>
      <c r="H398" s="1358">
        <f t="shared" si="266"/>
        <v>0</v>
      </c>
      <c r="I398" s="1358">
        <f t="shared" si="267"/>
        <v>0</v>
      </c>
      <c r="J398" s="1359">
        <f>IF(E398&gt;0,E398,IF(E398=0,0,""))</f>
        <v>0</v>
      </c>
      <c r="K398" s="1359">
        <f>IF(F398&gt;0,F398,IF(F398=0,0,""))</f>
        <v>0</v>
      </c>
      <c r="L398" s="1359">
        <f>IF(G398&gt;0,G398,IF(G398=0,0,""))</f>
        <v>0</v>
      </c>
      <c r="M398" s="1359">
        <f>IF(H398&gt;0,H398,IF(H398=0,0,""))</f>
        <v>0</v>
      </c>
      <c r="N398" s="1359">
        <f>IF(I398&gt;0,I398,IF(I398=0,0,""))</f>
        <v>0</v>
      </c>
      <c r="O398" s="633">
        <f>IF(K398="",-1,IF(K398=0,0,1))</f>
        <v>0</v>
      </c>
      <c r="P398" s="489"/>
      <c r="Q398" s="489"/>
      <c r="R398" s="485"/>
      <c r="S398" s="629"/>
      <c r="T398" s="630"/>
      <c r="U398" s="631"/>
      <c r="V398" s="628"/>
      <c r="W398" s="543"/>
      <c r="X398" s="543"/>
      <c r="Y398" s="543"/>
      <c r="Z398" s="543"/>
      <c r="AA398" s="543"/>
      <c r="AB398" s="543"/>
      <c r="AC398" s="539"/>
      <c r="AD398" s="256"/>
      <c r="AE398" s="256"/>
      <c r="AF398" s="256"/>
      <c r="AG398" s="256"/>
      <c r="AH398" s="256"/>
      <c r="AI398" s="256"/>
      <c r="AJ398" s="256"/>
      <c r="AK398" s="256"/>
      <c r="AL398" s="256"/>
      <c r="AM398" s="256"/>
      <c r="AN398" s="256"/>
      <c r="CU398" s="446"/>
      <c r="CV398" s="634" t="s">
        <v>152</v>
      </c>
      <c r="CW398" s="634"/>
      <c r="DH398" s="446"/>
      <c r="DI398" s="446"/>
      <c r="DJ398" s="446"/>
      <c r="DK398" s="446"/>
      <c r="DL398" s="446"/>
      <c r="DM398" s="446"/>
      <c r="DN398" s="446"/>
      <c r="DO398" s="446"/>
      <c r="DP398" s="446"/>
      <c r="DQ398" s="446"/>
      <c r="DR398" s="446"/>
    </row>
    <row r="399" spans="1:122" s="475" customFormat="1" ht="14.25" customHeight="1" thickBot="1" x14ac:dyDescent="0.25">
      <c r="A399" s="256"/>
      <c r="C399" s="1303"/>
      <c r="D399" s="1303"/>
      <c r="E399" s="1360">
        <f>SUM(E391:E398)</f>
        <v>0</v>
      </c>
      <c r="F399" s="1359">
        <f>SUM(F391:F398)</f>
        <v>0</v>
      </c>
      <c r="G399" s="1359">
        <f>SUM(G391:G398)</f>
        <v>0</v>
      </c>
      <c r="H399" s="1359">
        <f>SUM(H391:H398)</f>
        <v>0</v>
      </c>
      <c r="I399" s="1359">
        <f>SUM(I391:I398)</f>
        <v>0</v>
      </c>
      <c r="J399" s="1303"/>
      <c r="K399" s="1303"/>
      <c r="L399" s="1303"/>
      <c r="M399" s="1303"/>
      <c r="N399" s="1303"/>
      <c r="P399" s="489"/>
      <c r="Q399" s="489"/>
      <c r="R399" s="485"/>
      <c r="S399" s="629"/>
      <c r="T399" s="630"/>
      <c r="U399" s="631"/>
      <c r="V399" s="628"/>
      <c r="W399" s="543"/>
      <c r="X399" s="543"/>
      <c r="Y399" s="543"/>
      <c r="Z399" s="543"/>
      <c r="AA399" s="543"/>
      <c r="AB399" s="543"/>
      <c r="AC399" s="539"/>
      <c r="AD399" s="256"/>
      <c r="AE399" s="256"/>
      <c r="AF399" s="256"/>
      <c r="AG399" s="256"/>
      <c r="AH399" s="256"/>
      <c r="AI399" s="256"/>
      <c r="AJ399" s="256"/>
      <c r="AK399" s="256"/>
      <c r="AL399" s="256"/>
      <c r="AM399" s="256"/>
      <c r="AN399" s="256"/>
      <c r="CU399" s="446"/>
      <c r="CV399" s="446"/>
      <c r="CW399" s="446"/>
      <c r="DH399" s="446"/>
      <c r="DI399" s="446"/>
      <c r="DJ399" s="446"/>
      <c r="DK399" s="446"/>
      <c r="DL399" s="446"/>
      <c r="DM399" s="446"/>
      <c r="DN399" s="446"/>
      <c r="DO399" s="446"/>
      <c r="DP399" s="446"/>
      <c r="DQ399" s="446"/>
      <c r="DR399" s="446"/>
    </row>
    <row r="400" spans="1:122" s="475" customFormat="1" ht="15" customHeight="1" thickBot="1" x14ac:dyDescent="0.25">
      <c r="A400" s="256"/>
      <c r="C400" s="1356">
        <f ca="1">C389+1</f>
        <v>2019</v>
      </c>
      <c r="D400" s="1303" t="s">
        <v>153</v>
      </c>
      <c r="E400" s="1303"/>
      <c r="F400" s="1303"/>
      <c r="G400" s="1347"/>
      <c r="H400" s="1303"/>
      <c r="I400" s="1347"/>
      <c r="J400" s="1303"/>
      <c r="K400" s="1347"/>
      <c r="L400" s="1303"/>
      <c r="M400" s="1347"/>
      <c r="N400" s="1303"/>
      <c r="P400" s="489"/>
      <c r="Q400" s="489"/>
      <c r="R400" s="485"/>
      <c r="S400" s="629"/>
      <c r="T400" s="630"/>
      <c r="U400" s="631"/>
      <c r="V400" s="628"/>
      <c r="W400" s="543"/>
      <c r="X400" s="543"/>
      <c r="Y400" s="543"/>
      <c r="Z400" s="543"/>
      <c r="AA400" s="543"/>
      <c r="AB400" s="543"/>
      <c r="AC400" s="539"/>
      <c r="AD400" s="256"/>
      <c r="AE400" s="256"/>
      <c r="AF400" s="256"/>
      <c r="AG400" s="256"/>
      <c r="AH400" s="256"/>
      <c r="AI400" s="256"/>
      <c r="AJ400" s="256"/>
      <c r="AK400" s="256"/>
      <c r="AL400" s="256"/>
      <c r="AM400" s="256"/>
      <c r="AN400" s="256"/>
      <c r="CU400" s="446"/>
      <c r="CV400" s="446">
        <f>CV389+1</f>
        <v>2</v>
      </c>
      <c r="CW400" s="446" t="s">
        <v>153</v>
      </c>
      <c r="DH400" s="446"/>
      <c r="DI400" s="446"/>
      <c r="DJ400" s="446"/>
      <c r="DK400" s="446"/>
      <c r="DL400" s="446"/>
      <c r="DM400" s="446"/>
      <c r="DN400" s="446"/>
      <c r="DO400" s="446"/>
      <c r="DP400" s="446"/>
      <c r="DQ400" s="446"/>
      <c r="DR400" s="446"/>
    </row>
    <row r="401" spans="1:122" s="475" customFormat="1" ht="14.25" customHeight="1" x14ac:dyDescent="0.2">
      <c r="A401" s="256"/>
      <c r="C401" s="1303"/>
      <c r="D401" s="1303"/>
      <c r="E401" s="1357">
        <f ca="1">E379</f>
        <v>2017</v>
      </c>
      <c r="F401" s="1357">
        <f ca="1">E401+1</f>
        <v>2018</v>
      </c>
      <c r="G401" s="1357">
        <f ca="1">F401+1</f>
        <v>2019</v>
      </c>
      <c r="H401" s="1357">
        <f ca="1">G401+1</f>
        <v>2020</v>
      </c>
      <c r="I401" s="1357">
        <f ca="1">H401+1</f>
        <v>2021</v>
      </c>
      <c r="J401" s="1303"/>
      <c r="K401" s="1347"/>
      <c r="L401" s="1303"/>
      <c r="M401" s="1347"/>
      <c r="N401" s="1303"/>
      <c r="P401" s="489"/>
      <c r="Q401" s="489"/>
      <c r="R401" s="485"/>
      <c r="S401" s="629"/>
      <c r="T401" s="630"/>
      <c r="U401" s="631"/>
      <c r="V401" s="628"/>
      <c r="W401" s="539"/>
      <c r="X401" s="539"/>
      <c r="Y401" s="539"/>
      <c r="Z401" s="539"/>
      <c r="AA401" s="539"/>
      <c r="AB401" s="539"/>
      <c r="AC401" s="539"/>
      <c r="AD401" s="256"/>
      <c r="AE401" s="256"/>
      <c r="AF401" s="256"/>
      <c r="AG401" s="256"/>
      <c r="AH401" s="256"/>
      <c r="AI401" s="256"/>
      <c r="AJ401" s="256"/>
      <c r="AK401" s="256"/>
      <c r="AL401" s="256"/>
      <c r="AM401" s="256"/>
      <c r="AN401" s="256"/>
      <c r="CU401" s="446"/>
      <c r="CV401" s="446"/>
      <c r="CW401" s="446"/>
      <c r="DH401" s="446"/>
      <c r="DI401" s="446"/>
      <c r="DJ401" s="446"/>
      <c r="DK401" s="446"/>
      <c r="DL401" s="446"/>
      <c r="DM401" s="446"/>
      <c r="DN401" s="446"/>
      <c r="DO401" s="446"/>
      <c r="DP401" s="446"/>
      <c r="DQ401" s="446"/>
      <c r="DR401" s="446"/>
    </row>
    <row r="402" spans="1:122" s="475" customFormat="1" ht="14.25" customHeight="1" x14ac:dyDescent="0.2">
      <c r="A402" s="256"/>
      <c r="C402" s="1613" t="str">
        <f t="shared" ref="C402:C408" si="272">C6</f>
        <v>Investitionsgut 1</v>
      </c>
      <c r="D402" s="1615"/>
      <c r="E402" s="1347"/>
      <c r="F402" s="1303"/>
      <c r="G402" s="1358" t="str">
        <f t="shared" ref="G402:G409" si="273">J351</f>
        <v/>
      </c>
      <c r="H402" s="1358" t="str">
        <f t="shared" ref="H402:H409" si="274">M351</f>
        <v/>
      </c>
      <c r="I402" s="1358" t="str">
        <f t="shared" ref="I402:I408" si="275">R351</f>
        <v/>
      </c>
      <c r="J402" s="1359">
        <f>IF(E402&gt;0,E402,IF(E402=0,0,""))</f>
        <v>0</v>
      </c>
      <c r="K402" s="1359">
        <f>IF(F402&gt;0,F402,IF(F402=0,0,""))</f>
        <v>0</v>
      </c>
      <c r="L402" s="1359" t="str">
        <f>IF(G402&gt;0,G402,IF(G402=0,0,""))</f>
        <v/>
      </c>
      <c r="M402" s="1359" t="str">
        <f>IF(H402&gt;0,H402,IF(H402=0,0,""))</f>
        <v/>
      </c>
      <c r="N402" s="1359" t="str">
        <f>IF(I402&gt;0,I402,IF(I402=0,0,""))</f>
        <v/>
      </c>
      <c r="O402" s="633">
        <f>IF(L402="",-1,IF(L402=0,0,1))</f>
        <v>-1</v>
      </c>
      <c r="P402" s="489"/>
      <c r="Q402" s="489"/>
      <c r="R402" s="485"/>
      <c r="S402" s="629"/>
      <c r="T402" s="630"/>
      <c r="U402" s="631"/>
      <c r="V402" s="628"/>
      <c r="W402" s="256"/>
      <c r="X402" s="539"/>
      <c r="Y402" s="539"/>
      <c r="Z402" s="539"/>
      <c r="AA402" s="539"/>
      <c r="AB402" s="539"/>
      <c r="AC402" s="539"/>
      <c r="AD402" s="256"/>
      <c r="AE402" s="256"/>
      <c r="AF402" s="256"/>
      <c r="AG402" s="256"/>
      <c r="AH402" s="256"/>
      <c r="AI402" s="256"/>
      <c r="AJ402" s="256"/>
      <c r="AK402" s="256"/>
      <c r="AL402" s="256"/>
      <c r="AM402" s="256"/>
      <c r="AN402" s="256"/>
      <c r="CU402" s="446"/>
      <c r="CV402" s="634" t="str">
        <f t="shared" ref="CV402:CV408" si="276">CV6</f>
        <v>Investitionsgut 1</v>
      </c>
      <c r="CW402" s="634"/>
      <c r="DH402" s="446"/>
      <c r="DI402" s="446"/>
      <c r="DJ402" s="446"/>
      <c r="DK402" s="446"/>
      <c r="DL402" s="446"/>
      <c r="DM402" s="446"/>
      <c r="DN402" s="446"/>
      <c r="DO402" s="446"/>
      <c r="DP402" s="446"/>
      <c r="DQ402" s="446"/>
      <c r="DR402" s="446"/>
    </row>
    <row r="403" spans="1:122" s="475" customFormat="1" ht="14.25" customHeight="1" x14ac:dyDescent="0.2">
      <c r="A403" s="256"/>
      <c r="C403" s="1613" t="str">
        <f t="shared" si="272"/>
        <v>Investitionsgut 2</v>
      </c>
      <c r="D403" s="1615"/>
      <c r="E403" s="1347"/>
      <c r="F403" s="1303"/>
      <c r="G403" s="1358" t="str">
        <f t="shared" si="273"/>
        <v/>
      </c>
      <c r="H403" s="1358" t="str">
        <f t="shared" si="274"/>
        <v/>
      </c>
      <c r="I403" s="1358" t="str">
        <f t="shared" si="275"/>
        <v/>
      </c>
      <c r="J403" s="1359">
        <f t="shared" ref="J403:N409" si="277">IF(E403&gt;0,E403,IF(E403=0,0,""))</f>
        <v>0</v>
      </c>
      <c r="K403" s="1359">
        <f t="shared" si="277"/>
        <v>0</v>
      </c>
      <c r="L403" s="1359" t="str">
        <f t="shared" si="277"/>
        <v/>
      </c>
      <c r="M403" s="1359" t="str">
        <f t="shared" si="277"/>
        <v/>
      </c>
      <c r="N403" s="1359" t="str">
        <f t="shared" si="277"/>
        <v/>
      </c>
      <c r="O403" s="633">
        <f t="shared" ref="O403:O408" si="278">IF(L403="",-1,IF(L403=0,0,1))</f>
        <v>-1</v>
      </c>
      <c r="P403" s="489"/>
      <c r="Q403" s="489"/>
      <c r="R403" s="485"/>
      <c r="S403" s="629"/>
      <c r="T403" s="630"/>
      <c r="U403" s="631"/>
      <c r="V403" s="628"/>
      <c r="W403" s="543"/>
      <c r="X403" s="539"/>
      <c r="Y403" s="539"/>
      <c r="Z403" s="539"/>
      <c r="AA403" s="539"/>
      <c r="AB403" s="539"/>
      <c r="AC403" s="539"/>
      <c r="AD403" s="256"/>
      <c r="AE403" s="256"/>
      <c r="AF403" s="256"/>
      <c r="AG403" s="256"/>
      <c r="AH403" s="256"/>
      <c r="AI403" s="256"/>
      <c r="AJ403" s="256"/>
      <c r="AK403" s="256"/>
      <c r="AL403" s="256"/>
      <c r="AM403" s="256"/>
      <c r="AN403" s="256"/>
      <c r="CU403" s="446"/>
      <c r="CV403" s="634" t="str">
        <f t="shared" si="276"/>
        <v>Investitionsgut 2</v>
      </c>
      <c r="CW403" s="634"/>
      <c r="DH403" s="446"/>
      <c r="DI403" s="446"/>
      <c r="DJ403" s="446"/>
      <c r="DK403" s="446"/>
      <c r="DL403" s="446"/>
      <c r="DM403" s="446"/>
      <c r="DN403" s="446"/>
      <c r="DO403" s="446"/>
      <c r="DP403" s="446"/>
      <c r="DQ403" s="446"/>
      <c r="DR403" s="446"/>
    </row>
    <row r="404" spans="1:122" s="475" customFormat="1" ht="14.25" customHeight="1" x14ac:dyDescent="0.2">
      <c r="A404" s="256"/>
      <c r="C404" s="1613" t="str">
        <f t="shared" si="272"/>
        <v>Investitionsgut 3</v>
      </c>
      <c r="D404" s="1615"/>
      <c r="E404" s="1347"/>
      <c r="F404" s="1303"/>
      <c r="G404" s="1358" t="str">
        <f t="shared" si="273"/>
        <v/>
      </c>
      <c r="H404" s="1358" t="str">
        <f t="shared" si="274"/>
        <v/>
      </c>
      <c r="I404" s="1358" t="str">
        <f t="shared" si="275"/>
        <v/>
      </c>
      <c r="J404" s="1359">
        <f t="shared" si="277"/>
        <v>0</v>
      </c>
      <c r="K404" s="1359">
        <f t="shared" si="277"/>
        <v>0</v>
      </c>
      <c r="L404" s="1359" t="str">
        <f t="shared" si="277"/>
        <v/>
      </c>
      <c r="M404" s="1359" t="str">
        <f t="shared" si="277"/>
        <v/>
      </c>
      <c r="N404" s="1359" t="str">
        <f t="shared" si="277"/>
        <v/>
      </c>
      <c r="O404" s="633">
        <f t="shared" si="278"/>
        <v>-1</v>
      </c>
      <c r="P404" s="489"/>
      <c r="Q404" s="489"/>
      <c r="R404" s="485"/>
      <c r="S404" s="629"/>
      <c r="T404" s="630"/>
      <c r="U404" s="631"/>
      <c r="V404" s="628"/>
      <c r="W404" s="543"/>
      <c r="X404" s="539"/>
      <c r="Y404" s="539"/>
      <c r="Z404" s="539"/>
      <c r="AA404" s="539"/>
      <c r="AB404" s="539"/>
      <c r="AC404" s="539"/>
      <c r="AD404" s="256"/>
      <c r="AE404" s="256"/>
      <c r="AF404" s="256"/>
      <c r="AG404" s="256"/>
      <c r="AH404" s="256"/>
      <c r="AI404" s="256"/>
      <c r="AJ404" s="256"/>
      <c r="AK404" s="256"/>
      <c r="AL404" s="256"/>
      <c r="AM404" s="256"/>
      <c r="AN404" s="256"/>
      <c r="CU404" s="446"/>
      <c r="CV404" s="634" t="str">
        <f t="shared" si="276"/>
        <v>Investitionsgut 3</v>
      </c>
      <c r="CW404" s="634"/>
      <c r="DH404" s="446"/>
      <c r="DI404" s="446"/>
      <c r="DJ404" s="446"/>
      <c r="DK404" s="446"/>
      <c r="DL404" s="446"/>
      <c r="DM404" s="446"/>
      <c r="DN404" s="446"/>
      <c r="DO404" s="446"/>
      <c r="DP404" s="446"/>
      <c r="DQ404" s="446"/>
      <c r="DR404" s="446"/>
    </row>
    <row r="405" spans="1:122" s="475" customFormat="1" ht="14.25" customHeight="1" x14ac:dyDescent="0.2">
      <c r="A405" s="256"/>
      <c r="C405" s="1613" t="str">
        <f t="shared" si="272"/>
        <v>Investitionsgut 4</v>
      </c>
      <c r="D405" s="1615"/>
      <c r="E405" s="1347"/>
      <c r="F405" s="1303"/>
      <c r="G405" s="1358" t="str">
        <f t="shared" si="273"/>
        <v/>
      </c>
      <c r="H405" s="1358" t="str">
        <f t="shared" si="274"/>
        <v/>
      </c>
      <c r="I405" s="1358" t="str">
        <f t="shared" si="275"/>
        <v/>
      </c>
      <c r="J405" s="1359">
        <f t="shared" si="277"/>
        <v>0</v>
      </c>
      <c r="K405" s="1359">
        <f t="shared" si="277"/>
        <v>0</v>
      </c>
      <c r="L405" s="1359" t="str">
        <f t="shared" si="277"/>
        <v/>
      </c>
      <c r="M405" s="1359" t="str">
        <f t="shared" si="277"/>
        <v/>
      </c>
      <c r="N405" s="1359" t="str">
        <f t="shared" si="277"/>
        <v/>
      </c>
      <c r="O405" s="633">
        <f t="shared" si="278"/>
        <v>-1</v>
      </c>
      <c r="P405" s="489"/>
      <c r="Q405" s="489"/>
      <c r="R405" s="485"/>
      <c r="S405" s="629"/>
      <c r="T405" s="630"/>
      <c r="U405" s="631"/>
      <c r="V405" s="628"/>
      <c r="W405" s="543"/>
      <c r="X405" s="539"/>
      <c r="Y405" s="539"/>
      <c r="Z405" s="539"/>
      <c r="AA405" s="539"/>
      <c r="AB405" s="539"/>
      <c r="AC405" s="539"/>
      <c r="AD405" s="256"/>
      <c r="AE405" s="256"/>
      <c r="AF405" s="256"/>
      <c r="AG405" s="256"/>
      <c r="AH405" s="256"/>
      <c r="AI405" s="256"/>
      <c r="AJ405" s="256"/>
      <c r="AK405" s="256"/>
      <c r="AL405" s="256"/>
      <c r="AM405" s="256"/>
      <c r="AN405" s="256"/>
      <c r="CU405" s="446"/>
      <c r="CV405" s="634" t="str">
        <f t="shared" si="276"/>
        <v>Investitionsgut 4</v>
      </c>
      <c r="CW405" s="634"/>
      <c r="DH405" s="446"/>
      <c r="DI405" s="446"/>
      <c r="DJ405" s="446"/>
      <c r="DK405" s="446"/>
      <c r="DL405" s="446"/>
      <c r="DM405" s="446"/>
      <c r="DN405" s="446"/>
      <c r="DO405" s="446"/>
      <c r="DP405" s="446"/>
      <c r="DQ405" s="446"/>
      <c r="DR405" s="446"/>
    </row>
    <row r="406" spans="1:122" s="475" customFormat="1" ht="14.25" customHeight="1" x14ac:dyDescent="0.2">
      <c r="A406" s="256"/>
      <c r="C406" s="1613" t="str">
        <f t="shared" si="272"/>
        <v>Investitionsgut 5</v>
      </c>
      <c r="D406" s="1615"/>
      <c r="E406" s="1347"/>
      <c r="F406" s="1303"/>
      <c r="G406" s="1358" t="str">
        <f t="shared" si="273"/>
        <v/>
      </c>
      <c r="H406" s="1358" t="str">
        <f t="shared" si="274"/>
        <v/>
      </c>
      <c r="I406" s="1358" t="str">
        <f t="shared" si="275"/>
        <v/>
      </c>
      <c r="J406" s="1359">
        <f t="shared" si="277"/>
        <v>0</v>
      </c>
      <c r="K406" s="1359">
        <f t="shared" si="277"/>
        <v>0</v>
      </c>
      <c r="L406" s="1359" t="str">
        <f t="shared" si="277"/>
        <v/>
      </c>
      <c r="M406" s="1359" t="str">
        <f t="shared" si="277"/>
        <v/>
      </c>
      <c r="N406" s="1359" t="str">
        <f t="shared" si="277"/>
        <v/>
      </c>
      <c r="O406" s="633">
        <f t="shared" si="278"/>
        <v>-1</v>
      </c>
      <c r="P406" s="489"/>
      <c r="Q406" s="489"/>
      <c r="R406" s="485"/>
      <c r="S406" s="629"/>
      <c r="T406" s="630"/>
      <c r="U406" s="631"/>
      <c r="V406" s="628"/>
      <c r="W406" s="543"/>
      <c r="X406" s="539"/>
      <c r="Y406" s="539"/>
      <c r="Z406" s="539"/>
      <c r="AA406" s="539"/>
      <c r="AB406" s="539"/>
      <c r="AC406" s="539"/>
      <c r="AD406" s="256"/>
      <c r="AE406" s="256"/>
      <c r="AF406" s="256"/>
      <c r="AG406" s="256"/>
      <c r="AH406" s="256"/>
      <c r="AI406" s="256"/>
      <c r="AJ406" s="256"/>
      <c r="AK406" s="256"/>
      <c r="AL406" s="256"/>
      <c r="AM406" s="256"/>
      <c r="AN406" s="256"/>
      <c r="CU406" s="446"/>
      <c r="CV406" s="634" t="str">
        <f t="shared" si="276"/>
        <v>Investitionsgut 5</v>
      </c>
      <c r="CW406" s="634"/>
      <c r="DH406" s="446"/>
      <c r="DI406" s="446"/>
      <c r="DJ406" s="446"/>
      <c r="DK406" s="446"/>
      <c r="DL406" s="446"/>
      <c r="DM406" s="446"/>
      <c r="DN406" s="446"/>
      <c r="DO406" s="446"/>
      <c r="DP406" s="446"/>
      <c r="DQ406" s="446"/>
      <c r="DR406" s="446"/>
    </row>
    <row r="407" spans="1:122" s="475" customFormat="1" ht="14.25" customHeight="1" x14ac:dyDescent="0.2">
      <c r="A407" s="256"/>
      <c r="C407" s="1613" t="str">
        <f t="shared" si="272"/>
        <v>Investitionsgut 6</v>
      </c>
      <c r="D407" s="1615"/>
      <c r="E407" s="1347"/>
      <c r="F407" s="1303"/>
      <c r="G407" s="1358" t="str">
        <f t="shared" si="273"/>
        <v/>
      </c>
      <c r="H407" s="1358" t="str">
        <f t="shared" si="274"/>
        <v/>
      </c>
      <c r="I407" s="1358" t="str">
        <f t="shared" si="275"/>
        <v/>
      </c>
      <c r="J407" s="1359">
        <f t="shared" si="277"/>
        <v>0</v>
      </c>
      <c r="K407" s="1359">
        <f t="shared" si="277"/>
        <v>0</v>
      </c>
      <c r="L407" s="1359" t="str">
        <f t="shared" si="277"/>
        <v/>
      </c>
      <c r="M407" s="1359" t="str">
        <f t="shared" si="277"/>
        <v/>
      </c>
      <c r="N407" s="1359" t="str">
        <f t="shared" si="277"/>
        <v/>
      </c>
      <c r="O407" s="633">
        <f t="shared" si="278"/>
        <v>-1</v>
      </c>
      <c r="P407" s="489"/>
      <c r="Q407" s="489"/>
      <c r="R407" s="485"/>
      <c r="S407" s="629"/>
      <c r="T407" s="630"/>
      <c r="U407" s="631"/>
      <c r="V407" s="628"/>
      <c r="W407" s="256"/>
      <c r="X407" s="539"/>
      <c r="Y407" s="539"/>
      <c r="Z407" s="539"/>
      <c r="AA407" s="539"/>
      <c r="AB407" s="539"/>
      <c r="AC407" s="539"/>
      <c r="AD407" s="256"/>
      <c r="AE407" s="256"/>
      <c r="AF407" s="256"/>
      <c r="AG407" s="256"/>
      <c r="AH407" s="256"/>
      <c r="AI407" s="256"/>
      <c r="AJ407" s="256"/>
      <c r="AK407" s="256"/>
      <c r="AL407" s="256"/>
      <c r="AM407" s="256"/>
      <c r="AN407" s="256"/>
      <c r="CU407" s="446"/>
      <c r="CV407" s="634" t="str">
        <f t="shared" si="276"/>
        <v>Investitionsgut 6</v>
      </c>
      <c r="CW407" s="634"/>
      <c r="DH407" s="446"/>
      <c r="DI407" s="446"/>
      <c r="DJ407" s="446"/>
      <c r="DK407" s="446"/>
      <c r="DL407" s="446"/>
      <c r="DM407" s="446"/>
      <c r="DN407" s="446"/>
      <c r="DO407" s="446"/>
      <c r="DP407" s="446"/>
      <c r="DQ407" s="446"/>
      <c r="DR407" s="446"/>
    </row>
    <row r="408" spans="1:122" s="475" customFormat="1" ht="14.25" customHeight="1" x14ac:dyDescent="0.2">
      <c r="A408" s="256"/>
      <c r="C408" s="1613" t="str">
        <f t="shared" si="272"/>
        <v>Investitionsgut 7</v>
      </c>
      <c r="D408" s="1615"/>
      <c r="E408" s="1358"/>
      <c r="F408" s="1358"/>
      <c r="G408" s="1358" t="str">
        <f t="shared" si="273"/>
        <v/>
      </c>
      <c r="H408" s="1358" t="str">
        <f t="shared" si="274"/>
        <v/>
      </c>
      <c r="I408" s="1358" t="str">
        <f t="shared" si="275"/>
        <v/>
      </c>
      <c r="J408" s="1359">
        <f t="shared" si="277"/>
        <v>0</v>
      </c>
      <c r="K408" s="1359">
        <f t="shared" si="277"/>
        <v>0</v>
      </c>
      <c r="L408" s="1359" t="str">
        <f t="shared" si="277"/>
        <v/>
      </c>
      <c r="M408" s="1359" t="str">
        <f t="shared" si="277"/>
        <v/>
      </c>
      <c r="N408" s="1359" t="str">
        <f t="shared" si="277"/>
        <v/>
      </c>
      <c r="O408" s="633">
        <f t="shared" si="278"/>
        <v>-1</v>
      </c>
      <c r="P408" s="489"/>
      <c r="Q408" s="489"/>
      <c r="R408" s="485"/>
      <c r="S408" s="629"/>
      <c r="T408" s="630"/>
      <c r="U408" s="631"/>
      <c r="V408" s="628"/>
      <c r="W408" s="543"/>
      <c r="X408" s="539"/>
      <c r="Y408" s="539"/>
      <c r="Z408" s="539"/>
      <c r="AA408" s="539"/>
      <c r="AB408" s="539"/>
      <c r="AC408" s="539"/>
      <c r="AD408" s="256"/>
      <c r="AE408" s="256"/>
      <c r="AF408" s="256"/>
      <c r="AG408" s="256"/>
      <c r="AH408" s="256"/>
      <c r="AI408" s="256"/>
      <c r="AJ408" s="256"/>
      <c r="AK408" s="256"/>
      <c r="AL408" s="256"/>
      <c r="AM408" s="256"/>
      <c r="AN408" s="256"/>
      <c r="CU408" s="446"/>
      <c r="CV408" s="634" t="str">
        <f t="shared" si="276"/>
        <v>Investitionsgut 7</v>
      </c>
      <c r="CW408" s="634"/>
      <c r="DH408" s="446"/>
      <c r="DI408" s="446"/>
      <c r="DJ408" s="446"/>
      <c r="DK408" s="446"/>
      <c r="DL408" s="446"/>
      <c r="DM408" s="446"/>
      <c r="DN408" s="446"/>
      <c r="DO408" s="446"/>
      <c r="DP408" s="446"/>
      <c r="DQ408" s="446"/>
      <c r="DR408" s="446"/>
    </row>
    <row r="409" spans="1:122" s="475" customFormat="1" ht="14.25" customHeight="1" x14ac:dyDescent="0.2">
      <c r="A409" s="256"/>
      <c r="C409" s="1611" t="s">
        <v>152</v>
      </c>
      <c r="D409" s="1616"/>
      <c r="E409" s="1347"/>
      <c r="F409" s="1303"/>
      <c r="G409" s="1358">
        <f t="shared" si="273"/>
        <v>0</v>
      </c>
      <c r="H409" s="1358">
        <f t="shared" si="274"/>
        <v>0</v>
      </c>
      <c r="I409" s="1358">
        <f>R358</f>
        <v>0</v>
      </c>
      <c r="J409" s="1359">
        <f t="shared" si="277"/>
        <v>0</v>
      </c>
      <c r="K409" s="1359">
        <f t="shared" si="277"/>
        <v>0</v>
      </c>
      <c r="L409" s="1359">
        <f>IF(G409&gt;0,G409,IF(G409=0,0,""))</f>
        <v>0</v>
      </c>
      <c r="M409" s="1359">
        <f>IF(H409&gt;0,H409,IF(H409=0,0,""))</f>
        <v>0</v>
      </c>
      <c r="N409" s="1359">
        <f>IF(I409&gt;0,I409,IF(I409=0,0,""))</f>
        <v>0</v>
      </c>
      <c r="O409" s="633">
        <f>IF(L409="",-1,IF(L409=0,0,1))</f>
        <v>0</v>
      </c>
      <c r="P409" s="489"/>
      <c r="Q409" s="489"/>
      <c r="R409" s="485"/>
      <c r="S409" s="629"/>
      <c r="T409" s="630"/>
      <c r="U409" s="631"/>
      <c r="V409" s="628"/>
      <c r="W409" s="543"/>
      <c r="X409" s="539"/>
      <c r="Y409" s="539"/>
      <c r="Z409" s="539"/>
      <c r="AA409" s="539"/>
      <c r="AB409" s="539"/>
      <c r="AC409" s="539"/>
      <c r="AD409" s="256"/>
      <c r="AE409" s="256"/>
      <c r="AF409" s="256"/>
      <c r="AG409" s="256"/>
      <c r="AH409" s="256"/>
      <c r="AI409" s="256"/>
      <c r="AJ409" s="256"/>
      <c r="AK409" s="256"/>
      <c r="AL409" s="256"/>
      <c r="AM409" s="256"/>
      <c r="AN409" s="256"/>
      <c r="CU409" s="446"/>
      <c r="CV409" s="634" t="s">
        <v>152</v>
      </c>
      <c r="CW409" s="634"/>
      <c r="DH409" s="446"/>
      <c r="DI409" s="446"/>
      <c r="DJ409" s="446"/>
      <c r="DK409" s="446"/>
      <c r="DL409" s="446"/>
      <c r="DM409" s="446"/>
      <c r="DN409" s="446"/>
      <c r="DO409" s="446"/>
      <c r="DP409" s="446"/>
      <c r="DQ409" s="446"/>
      <c r="DR409" s="446"/>
    </row>
    <row r="410" spans="1:122" s="475" customFormat="1" ht="14.25" customHeight="1" thickBot="1" x14ac:dyDescent="0.25">
      <c r="A410" s="256"/>
      <c r="C410" s="1303"/>
      <c r="D410" s="1303"/>
      <c r="E410" s="1360">
        <f>SUM(E402:E409)</f>
        <v>0</v>
      </c>
      <c r="F410" s="1359">
        <f>SUM(F402:F409)</f>
        <v>0</v>
      </c>
      <c r="G410" s="1359">
        <f>SUM(G402:G409)</f>
        <v>0</v>
      </c>
      <c r="H410" s="1359">
        <f>SUM(H402:H409)</f>
        <v>0</v>
      </c>
      <c r="I410" s="1359">
        <f>SUM(I402:I409)</f>
        <v>0</v>
      </c>
      <c r="J410" s="1303"/>
      <c r="K410" s="1347"/>
      <c r="L410" s="1303"/>
      <c r="M410" s="1347"/>
      <c r="N410" s="1303"/>
      <c r="P410" s="489"/>
      <c r="Q410" s="489"/>
      <c r="R410" s="485"/>
      <c r="S410" s="629"/>
      <c r="T410" s="630"/>
      <c r="U410" s="631"/>
      <c r="V410" s="628"/>
      <c r="W410" s="543"/>
      <c r="X410" s="539"/>
      <c r="Y410" s="539"/>
      <c r="Z410" s="539"/>
      <c r="AA410" s="539"/>
      <c r="AB410" s="539"/>
      <c r="AC410" s="539"/>
      <c r="AD410" s="256"/>
      <c r="AE410" s="256"/>
      <c r="AF410" s="256"/>
      <c r="AG410" s="256"/>
      <c r="AH410" s="256"/>
      <c r="AI410" s="256"/>
      <c r="AJ410" s="256"/>
      <c r="AK410" s="256"/>
      <c r="AL410" s="256"/>
      <c r="AM410" s="256"/>
      <c r="AN410" s="256"/>
      <c r="CU410" s="446"/>
      <c r="CV410" s="446"/>
      <c r="CW410" s="446"/>
      <c r="DH410" s="446"/>
      <c r="DI410" s="446"/>
      <c r="DJ410" s="446"/>
      <c r="DK410" s="446"/>
      <c r="DL410" s="446"/>
      <c r="DM410" s="446"/>
      <c r="DN410" s="446"/>
      <c r="DO410" s="446"/>
      <c r="DP410" s="446"/>
      <c r="DQ410" s="446"/>
      <c r="DR410" s="446"/>
    </row>
    <row r="411" spans="1:122" s="475" customFormat="1" ht="15" customHeight="1" thickBot="1" x14ac:dyDescent="0.25">
      <c r="A411" s="256"/>
      <c r="C411" s="1356">
        <f ca="1">C400+1</f>
        <v>2020</v>
      </c>
      <c r="D411" s="1303" t="s">
        <v>153</v>
      </c>
      <c r="E411" s="1303"/>
      <c r="F411" s="1303"/>
      <c r="G411" s="1347"/>
      <c r="H411" s="1303"/>
      <c r="I411" s="1347"/>
      <c r="J411" s="1303"/>
      <c r="K411" s="1347"/>
      <c r="L411" s="1303"/>
      <c r="M411" s="1347"/>
      <c r="N411" s="1303"/>
      <c r="P411" s="489"/>
      <c r="Q411" s="489"/>
      <c r="R411" s="485"/>
      <c r="S411" s="629"/>
      <c r="T411" s="630"/>
      <c r="U411" s="631"/>
      <c r="V411" s="628"/>
      <c r="W411" s="539"/>
      <c r="X411" s="539"/>
      <c r="Y411" s="539"/>
      <c r="Z411" s="539"/>
      <c r="AA411" s="539"/>
      <c r="AB411" s="539"/>
      <c r="AC411" s="539"/>
      <c r="AD411" s="256"/>
      <c r="AE411" s="256"/>
      <c r="AF411" s="256"/>
      <c r="AG411" s="256"/>
      <c r="AH411" s="256"/>
      <c r="AI411" s="256"/>
      <c r="AJ411" s="256"/>
      <c r="AK411" s="256"/>
      <c r="AL411" s="256"/>
      <c r="AM411" s="256"/>
      <c r="AN411" s="256"/>
      <c r="CU411" s="446"/>
      <c r="CV411" s="446">
        <f>CV400+1</f>
        <v>3</v>
      </c>
      <c r="CW411" s="446" t="s">
        <v>153</v>
      </c>
      <c r="DH411" s="446"/>
      <c r="DI411" s="446"/>
      <c r="DJ411" s="446"/>
      <c r="DK411" s="446"/>
      <c r="DL411" s="446"/>
      <c r="DM411" s="446"/>
      <c r="DN411" s="446"/>
      <c r="DO411" s="446"/>
      <c r="DP411" s="446"/>
      <c r="DQ411" s="446"/>
      <c r="DR411" s="446"/>
    </row>
    <row r="412" spans="1:122" s="475" customFormat="1" ht="14.25" customHeight="1" x14ac:dyDescent="0.2">
      <c r="A412" s="256"/>
      <c r="C412" s="1303"/>
      <c r="D412" s="1303"/>
      <c r="E412" s="1357">
        <f ca="1">E379</f>
        <v>2017</v>
      </c>
      <c r="F412" s="1357">
        <f ca="1">E412+1</f>
        <v>2018</v>
      </c>
      <c r="G412" s="1357">
        <f ca="1">F412+1</f>
        <v>2019</v>
      </c>
      <c r="H412" s="1357">
        <f ca="1">G412+1</f>
        <v>2020</v>
      </c>
      <c r="I412" s="1357">
        <f ca="1">H412+1</f>
        <v>2021</v>
      </c>
      <c r="J412" s="1303"/>
      <c r="K412" s="1347"/>
      <c r="L412" s="1303"/>
      <c r="M412" s="1347"/>
      <c r="N412" s="1303"/>
      <c r="P412" s="489"/>
      <c r="Q412" s="489"/>
      <c r="R412" s="485"/>
      <c r="S412" s="629"/>
      <c r="T412" s="630"/>
      <c r="U412" s="631"/>
      <c r="V412" s="628"/>
      <c r="W412" s="539"/>
      <c r="X412" s="539"/>
      <c r="Y412" s="539"/>
      <c r="Z412" s="539"/>
      <c r="AA412" s="539"/>
      <c r="AB412" s="539"/>
      <c r="AC412" s="539"/>
      <c r="AD412" s="256"/>
      <c r="AE412" s="256"/>
      <c r="AF412" s="256"/>
      <c r="AG412" s="256"/>
      <c r="AH412" s="256"/>
      <c r="AI412" s="256"/>
      <c r="AJ412" s="256"/>
      <c r="AK412" s="256"/>
      <c r="AL412" s="256"/>
      <c r="AM412" s="256"/>
      <c r="AN412" s="256"/>
      <c r="CU412" s="446"/>
      <c r="CV412" s="446"/>
      <c r="CW412" s="446"/>
      <c r="DH412" s="446"/>
      <c r="DI412" s="446"/>
      <c r="DJ412" s="446"/>
      <c r="DK412" s="446"/>
      <c r="DL412" s="446"/>
      <c r="DM412" s="446"/>
      <c r="DN412" s="446"/>
      <c r="DO412" s="446"/>
      <c r="DP412" s="446"/>
      <c r="DQ412" s="446"/>
      <c r="DR412" s="446"/>
    </row>
    <row r="413" spans="1:122" s="475" customFormat="1" ht="14.25" customHeight="1" x14ac:dyDescent="0.2">
      <c r="A413" s="256"/>
      <c r="C413" s="1613" t="str">
        <f t="shared" ref="C413:C420" si="279">C6</f>
        <v>Investitionsgut 1</v>
      </c>
      <c r="D413" s="1614"/>
      <c r="E413" s="1347"/>
      <c r="F413" s="1303"/>
      <c r="G413" s="1347"/>
      <c r="H413" s="1358" t="str">
        <f t="shared" ref="H413:H419" si="280">N351</f>
        <v/>
      </c>
      <c r="I413" s="1358" t="str">
        <f t="shared" ref="I413:I419" si="281">S351</f>
        <v/>
      </c>
      <c r="J413" s="1359">
        <f>IF(E413&gt;0,E413,IF(E413=0,0,""))</f>
        <v>0</v>
      </c>
      <c r="K413" s="1359">
        <f t="shared" ref="K413:N419" si="282">IF(F413&gt;0,F413,IF(F413=0,0,""))</f>
        <v>0</v>
      </c>
      <c r="L413" s="1359">
        <f t="shared" si="282"/>
        <v>0</v>
      </c>
      <c r="M413" s="1359" t="str">
        <f t="shared" si="282"/>
        <v/>
      </c>
      <c r="N413" s="1359" t="str">
        <f t="shared" si="282"/>
        <v/>
      </c>
      <c r="O413" s="633">
        <f>IF(M413="",-1,IF(M413=0,0,1))</f>
        <v>-1</v>
      </c>
      <c r="P413" s="489"/>
      <c r="Q413" s="489"/>
      <c r="R413" s="485"/>
      <c r="S413" s="629"/>
      <c r="T413" s="630"/>
      <c r="U413" s="631"/>
      <c r="V413" s="628"/>
      <c r="W413" s="543"/>
      <c r="X413" s="543"/>
      <c r="Y413" s="543"/>
      <c r="Z413" s="543"/>
      <c r="AA413" s="543"/>
      <c r="AB413" s="543"/>
      <c r="AC413" s="256"/>
      <c r="AD413" s="256"/>
      <c r="AE413" s="256"/>
      <c r="AF413" s="256"/>
      <c r="AG413" s="256"/>
      <c r="AH413" s="256"/>
      <c r="AI413" s="256"/>
      <c r="AJ413" s="256"/>
      <c r="AK413" s="256"/>
      <c r="AL413" s="256"/>
      <c r="AM413" s="256"/>
      <c r="AN413" s="256"/>
      <c r="CU413" s="446"/>
      <c r="CV413" s="634" t="str">
        <f t="shared" ref="CV413:CV420" si="283">CV6</f>
        <v>Investitionsgut 1</v>
      </c>
      <c r="CW413" s="634"/>
      <c r="DH413" s="446"/>
      <c r="DI413" s="446"/>
      <c r="DJ413" s="446"/>
      <c r="DK413" s="446"/>
      <c r="DL413" s="446"/>
      <c r="DM413" s="446"/>
      <c r="DN413" s="446"/>
      <c r="DO413" s="446"/>
      <c r="DP413" s="446"/>
      <c r="DQ413" s="446"/>
      <c r="DR413" s="446"/>
    </row>
    <row r="414" spans="1:122" s="475" customFormat="1" ht="14.25" customHeight="1" x14ac:dyDescent="0.2">
      <c r="A414" s="256"/>
      <c r="C414" s="1613" t="str">
        <f t="shared" si="279"/>
        <v>Investitionsgut 2</v>
      </c>
      <c r="D414" s="1614"/>
      <c r="E414" s="1347"/>
      <c r="F414" s="1303"/>
      <c r="G414" s="1347"/>
      <c r="H414" s="1358" t="str">
        <f t="shared" si="280"/>
        <v/>
      </c>
      <c r="I414" s="1358" t="str">
        <f t="shared" si="281"/>
        <v/>
      </c>
      <c r="J414" s="1359">
        <f t="shared" ref="J414:J419" si="284">IF(E414&gt;0,E414,IF(E414=0,0,""))</f>
        <v>0</v>
      </c>
      <c r="K414" s="1359">
        <f t="shared" si="282"/>
        <v>0</v>
      </c>
      <c r="L414" s="1359">
        <f t="shared" si="282"/>
        <v>0</v>
      </c>
      <c r="M414" s="1359" t="str">
        <f t="shared" si="282"/>
        <v/>
      </c>
      <c r="N414" s="1359" t="str">
        <f t="shared" si="282"/>
        <v/>
      </c>
      <c r="O414" s="633">
        <f t="shared" ref="O414:O419" si="285">IF(M414="",-1,IF(M414=0,0,1))</f>
        <v>-1</v>
      </c>
      <c r="P414" s="489"/>
      <c r="Q414" s="489"/>
      <c r="R414" s="485"/>
      <c r="S414" s="629"/>
      <c r="T414" s="630"/>
      <c r="U414" s="631"/>
      <c r="V414" s="628"/>
      <c r="W414" s="543"/>
      <c r="X414" s="543"/>
      <c r="Y414" s="543"/>
      <c r="Z414" s="543"/>
      <c r="AA414" s="543"/>
      <c r="AB414" s="543"/>
      <c r="AC414" s="256"/>
      <c r="AD414" s="256"/>
      <c r="AE414" s="256"/>
      <c r="AF414" s="256"/>
      <c r="AG414" s="256"/>
      <c r="AH414" s="256"/>
      <c r="AI414" s="256"/>
      <c r="AJ414" s="256"/>
      <c r="AK414" s="256"/>
      <c r="AL414" s="256"/>
      <c r="AM414" s="256"/>
      <c r="AN414" s="256"/>
      <c r="CU414" s="446"/>
      <c r="CV414" s="634" t="str">
        <f t="shared" si="283"/>
        <v>Investitionsgut 2</v>
      </c>
      <c r="CW414" s="634"/>
      <c r="DH414" s="446"/>
      <c r="DI414" s="446"/>
      <c r="DJ414" s="446"/>
      <c r="DK414" s="446"/>
      <c r="DL414" s="446"/>
      <c r="DM414" s="446"/>
      <c r="DN414" s="446"/>
      <c r="DO414" s="446"/>
      <c r="DP414" s="446"/>
      <c r="DQ414" s="446"/>
      <c r="DR414" s="446"/>
    </row>
    <row r="415" spans="1:122" s="475" customFormat="1" ht="14.25" customHeight="1" x14ac:dyDescent="0.2">
      <c r="A415" s="256"/>
      <c r="C415" s="1613" t="str">
        <f t="shared" si="279"/>
        <v>Investitionsgut 3</v>
      </c>
      <c r="D415" s="1614"/>
      <c r="E415" s="1347"/>
      <c r="F415" s="1303"/>
      <c r="G415" s="1347"/>
      <c r="H415" s="1358" t="str">
        <f t="shared" si="280"/>
        <v/>
      </c>
      <c r="I415" s="1358" t="str">
        <f t="shared" si="281"/>
        <v/>
      </c>
      <c r="J415" s="1359">
        <f t="shared" si="284"/>
        <v>0</v>
      </c>
      <c r="K415" s="1359">
        <f t="shared" si="282"/>
        <v>0</v>
      </c>
      <c r="L415" s="1359">
        <f t="shared" si="282"/>
        <v>0</v>
      </c>
      <c r="M415" s="1359" t="str">
        <f t="shared" si="282"/>
        <v/>
      </c>
      <c r="N415" s="1359" t="str">
        <f t="shared" si="282"/>
        <v/>
      </c>
      <c r="O415" s="633">
        <f t="shared" si="285"/>
        <v>-1</v>
      </c>
      <c r="P415" s="489"/>
      <c r="Q415" s="489"/>
      <c r="R415" s="485"/>
      <c r="S415" s="629"/>
      <c r="T415" s="630"/>
      <c r="U415" s="631"/>
      <c r="V415" s="628"/>
      <c r="W415" s="543"/>
      <c r="X415" s="543"/>
      <c r="Y415" s="543"/>
      <c r="Z415" s="543"/>
      <c r="AA415" s="543"/>
      <c r="AB415" s="543"/>
      <c r="AC415" s="256"/>
      <c r="AD415" s="256"/>
      <c r="AE415" s="256"/>
      <c r="AF415" s="256"/>
      <c r="AG415" s="256"/>
      <c r="AH415" s="256"/>
      <c r="AI415" s="256"/>
      <c r="AJ415" s="256"/>
      <c r="AK415" s="256"/>
      <c r="AL415" s="256"/>
      <c r="AM415" s="256"/>
      <c r="AN415" s="256"/>
      <c r="CU415" s="446"/>
      <c r="CV415" s="634" t="str">
        <f t="shared" si="283"/>
        <v>Investitionsgut 3</v>
      </c>
      <c r="CW415" s="634"/>
      <c r="DH415" s="446"/>
      <c r="DI415" s="446"/>
      <c r="DJ415" s="446"/>
      <c r="DK415" s="446"/>
      <c r="DL415" s="446"/>
      <c r="DM415" s="446"/>
      <c r="DN415" s="446"/>
      <c r="DO415" s="446"/>
      <c r="DP415" s="446"/>
      <c r="DQ415" s="446"/>
      <c r="DR415" s="446"/>
    </row>
    <row r="416" spans="1:122" s="475" customFormat="1" ht="14.25" customHeight="1" x14ac:dyDescent="0.2">
      <c r="A416" s="256"/>
      <c r="C416" s="1613" t="str">
        <f t="shared" si="279"/>
        <v>Investitionsgut 4</v>
      </c>
      <c r="D416" s="1614"/>
      <c r="E416" s="1347"/>
      <c r="F416" s="1303"/>
      <c r="G416" s="1347"/>
      <c r="H416" s="1358" t="str">
        <f t="shared" si="280"/>
        <v/>
      </c>
      <c r="I416" s="1358" t="str">
        <f t="shared" si="281"/>
        <v/>
      </c>
      <c r="J416" s="1359">
        <f t="shared" si="284"/>
        <v>0</v>
      </c>
      <c r="K416" s="1359">
        <f t="shared" si="282"/>
        <v>0</v>
      </c>
      <c r="L416" s="1359">
        <f t="shared" si="282"/>
        <v>0</v>
      </c>
      <c r="M416" s="1359" t="str">
        <f t="shared" si="282"/>
        <v/>
      </c>
      <c r="N416" s="1359" t="str">
        <f t="shared" si="282"/>
        <v/>
      </c>
      <c r="O416" s="633">
        <f t="shared" si="285"/>
        <v>-1</v>
      </c>
      <c r="P416" s="489"/>
      <c r="Q416" s="489"/>
      <c r="R416" s="485"/>
      <c r="S416" s="629"/>
      <c r="T416" s="630"/>
      <c r="U416" s="631"/>
      <c r="V416" s="628"/>
      <c r="W416" s="543"/>
      <c r="X416" s="543"/>
      <c r="Y416" s="543"/>
      <c r="Z416" s="543"/>
      <c r="AA416" s="543"/>
      <c r="AB416" s="543"/>
      <c r="AC416" s="256"/>
      <c r="AD416" s="256"/>
      <c r="AE416" s="256"/>
      <c r="AF416" s="256"/>
      <c r="AG416" s="256"/>
      <c r="AH416" s="256"/>
      <c r="AI416" s="256"/>
      <c r="AJ416" s="256"/>
      <c r="AK416" s="256"/>
      <c r="AL416" s="256"/>
      <c r="AM416" s="256"/>
      <c r="AN416" s="256"/>
      <c r="CU416" s="446"/>
      <c r="CV416" s="634" t="str">
        <f t="shared" si="283"/>
        <v>Investitionsgut 4</v>
      </c>
      <c r="CW416" s="634"/>
      <c r="DH416" s="446"/>
      <c r="DI416" s="446"/>
      <c r="DJ416" s="446"/>
      <c r="DK416" s="446"/>
      <c r="DL416" s="446"/>
      <c r="DM416" s="446"/>
      <c r="DN416" s="446"/>
      <c r="DO416" s="446"/>
      <c r="DP416" s="446"/>
      <c r="DQ416" s="446"/>
      <c r="DR416" s="446"/>
    </row>
    <row r="417" spans="1:122" s="475" customFormat="1" ht="14.25" customHeight="1" x14ac:dyDescent="0.2">
      <c r="A417" s="256"/>
      <c r="C417" s="1613" t="str">
        <f t="shared" si="279"/>
        <v>Investitionsgut 5</v>
      </c>
      <c r="D417" s="1614"/>
      <c r="E417" s="1347"/>
      <c r="F417" s="1303"/>
      <c r="G417" s="1347"/>
      <c r="H417" s="1358" t="str">
        <f t="shared" si="280"/>
        <v/>
      </c>
      <c r="I417" s="1358" t="str">
        <f t="shared" si="281"/>
        <v/>
      </c>
      <c r="J417" s="1359">
        <f t="shared" si="284"/>
        <v>0</v>
      </c>
      <c r="K417" s="1359">
        <f t="shared" si="282"/>
        <v>0</v>
      </c>
      <c r="L417" s="1359">
        <f t="shared" si="282"/>
        <v>0</v>
      </c>
      <c r="M417" s="1359" t="str">
        <f t="shared" si="282"/>
        <v/>
      </c>
      <c r="N417" s="1359" t="str">
        <f t="shared" si="282"/>
        <v/>
      </c>
      <c r="O417" s="633">
        <f t="shared" si="285"/>
        <v>-1</v>
      </c>
      <c r="P417" s="489"/>
      <c r="Q417" s="489"/>
      <c r="R417" s="485"/>
      <c r="S417" s="629"/>
      <c r="T417" s="630"/>
      <c r="U417" s="631"/>
      <c r="V417" s="628"/>
      <c r="W417" s="543"/>
      <c r="X417" s="543"/>
      <c r="Y417" s="543"/>
      <c r="Z417" s="543"/>
      <c r="AA417" s="543"/>
      <c r="AB417" s="543"/>
      <c r="AC417" s="256"/>
      <c r="AD417" s="256"/>
      <c r="AE417" s="256"/>
      <c r="AF417" s="256"/>
      <c r="AG417" s="256"/>
      <c r="AH417" s="256"/>
      <c r="AI417" s="256"/>
      <c r="AJ417" s="256"/>
      <c r="AK417" s="256"/>
      <c r="AL417" s="256"/>
      <c r="AM417" s="256"/>
      <c r="AN417" s="256"/>
      <c r="CU417" s="446"/>
      <c r="CV417" s="634" t="str">
        <f t="shared" si="283"/>
        <v>Investitionsgut 5</v>
      </c>
      <c r="CW417" s="634"/>
      <c r="DH417" s="446"/>
      <c r="DI417" s="446"/>
      <c r="DJ417" s="446"/>
      <c r="DK417" s="446"/>
      <c r="DL417" s="446"/>
      <c r="DM417" s="446"/>
      <c r="DN417" s="446"/>
      <c r="DO417" s="446"/>
      <c r="DP417" s="446"/>
      <c r="DQ417" s="446"/>
      <c r="DR417" s="446"/>
    </row>
    <row r="418" spans="1:122" s="475" customFormat="1" ht="14.25" customHeight="1" x14ac:dyDescent="0.2">
      <c r="A418" s="256"/>
      <c r="C418" s="1613" t="str">
        <f t="shared" si="279"/>
        <v>Investitionsgut 6</v>
      </c>
      <c r="D418" s="1614"/>
      <c r="E418" s="1347"/>
      <c r="F418" s="1303"/>
      <c r="G418" s="1347"/>
      <c r="H418" s="1358" t="str">
        <f t="shared" si="280"/>
        <v/>
      </c>
      <c r="I418" s="1358" t="str">
        <f t="shared" si="281"/>
        <v/>
      </c>
      <c r="J418" s="1359">
        <f t="shared" si="284"/>
        <v>0</v>
      </c>
      <c r="K418" s="1359">
        <f t="shared" si="282"/>
        <v>0</v>
      </c>
      <c r="L418" s="1359">
        <f t="shared" si="282"/>
        <v>0</v>
      </c>
      <c r="M418" s="1359" t="str">
        <f t="shared" si="282"/>
        <v/>
      </c>
      <c r="N418" s="1359" t="str">
        <f t="shared" si="282"/>
        <v/>
      </c>
      <c r="O418" s="633">
        <f t="shared" si="285"/>
        <v>-1</v>
      </c>
      <c r="P418" s="489"/>
      <c r="Q418" s="489"/>
      <c r="R418" s="485"/>
      <c r="S418" s="629"/>
      <c r="T418" s="630"/>
      <c r="U418" s="631"/>
      <c r="V418" s="628"/>
      <c r="W418" s="543"/>
      <c r="X418" s="543"/>
      <c r="Y418" s="543"/>
      <c r="Z418" s="543"/>
      <c r="AA418" s="543"/>
      <c r="AB418" s="543"/>
      <c r="AC418" s="256"/>
      <c r="AD418" s="256"/>
      <c r="AE418" s="256"/>
      <c r="AF418" s="256"/>
      <c r="AG418" s="256"/>
      <c r="AH418" s="256"/>
      <c r="AI418" s="256"/>
      <c r="AJ418" s="256"/>
      <c r="AK418" s="256"/>
      <c r="AL418" s="256"/>
      <c r="AM418" s="256"/>
      <c r="AN418" s="256"/>
      <c r="CU418" s="446"/>
      <c r="CV418" s="634" t="str">
        <f t="shared" si="283"/>
        <v>Investitionsgut 6</v>
      </c>
      <c r="CW418" s="634"/>
      <c r="DH418" s="446"/>
      <c r="DI418" s="446"/>
      <c r="DJ418" s="446"/>
      <c r="DK418" s="446"/>
      <c r="DL418" s="446"/>
      <c r="DM418" s="446"/>
      <c r="DN418" s="446"/>
      <c r="DO418" s="446"/>
      <c r="DP418" s="446"/>
      <c r="DQ418" s="446"/>
      <c r="DR418" s="446"/>
    </row>
    <row r="419" spans="1:122" s="475" customFormat="1" ht="14.25" customHeight="1" x14ac:dyDescent="0.2">
      <c r="A419" s="256"/>
      <c r="C419" s="1613" t="str">
        <f t="shared" si="279"/>
        <v>Investitionsgut 7</v>
      </c>
      <c r="D419" s="1614"/>
      <c r="E419" s="1347"/>
      <c r="F419" s="1303"/>
      <c r="G419" s="1347"/>
      <c r="H419" s="1358" t="str">
        <f t="shared" si="280"/>
        <v/>
      </c>
      <c r="I419" s="1358" t="str">
        <f t="shared" si="281"/>
        <v/>
      </c>
      <c r="J419" s="1359">
        <f t="shared" si="284"/>
        <v>0</v>
      </c>
      <c r="K419" s="1359">
        <f t="shared" si="282"/>
        <v>0</v>
      </c>
      <c r="L419" s="1359">
        <f t="shared" si="282"/>
        <v>0</v>
      </c>
      <c r="M419" s="1359" t="str">
        <f>IF(H419&gt;0,H419,IF(H419=0,0,""))</f>
        <v/>
      </c>
      <c r="N419" s="1359" t="str">
        <f t="shared" si="282"/>
        <v/>
      </c>
      <c r="O419" s="633">
        <f t="shared" si="285"/>
        <v>-1</v>
      </c>
      <c r="P419" s="489"/>
      <c r="Q419" s="489"/>
      <c r="R419" s="485"/>
      <c r="S419" s="629"/>
      <c r="T419" s="630"/>
      <c r="U419" s="631"/>
      <c r="V419" s="628"/>
      <c r="W419" s="543"/>
      <c r="X419" s="543"/>
      <c r="Y419" s="543"/>
      <c r="Z419" s="543"/>
      <c r="AA419" s="543"/>
      <c r="AB419" s="543"/>
      <c r="AC419" s="256"/>
      <c r="AD419" s="256"/>
      <c r="AE419" s="256"/>
      <c r="AF419" s="256"/>
      <c r="AG419" s="256"/>
      <c r="AH419" s="256"/>
      <c r="AI419" s="256"/>
      <c r="AJ419" s="256"/>
      <c r="AK419" s="256"/>
      <c r="AL419" s="256"/>
      <c r="AM419" s="256"/>
      <c r="AN419" s="256"/>
      <c r="CU419" s="446"/>
      <c r="CV419" s="634" t="str">
        <f t="shared" si="283"/>
        <v>Investitionsgut 7</v>
      </c>
      <c r="CW419" s="634"/>
      <c r="DH419" s="446"/>
      <c r="DI419" s="446"/>
      <c r="DJ419" s="446"/>
      <c r="DK419" s="446"/>
      <c r="DL419" s="446"/>
      <c r="DM419" s="446"/>
      <c r="DN419" s="446"/>
      <c r="DO419" s="446"/>
      <c r="DP419" s="446"/>
      <c r="DQ419" s="446"/>
      <c r="DR419" s="446"/>
    </row>
    <row r="420" spans="1:122" s="475" customFormat="1" ht="14.25" customHeight="1" x14ac:dyDescent="0.2">
      <c r="A420" s="256"/>
      <c r="C420" s="1613" t="str">
        <f t="shared" si="279"/>
        <v>Summe Sammelposten</v>
      </c>
      <c r="D420" s="1614"/>
      <c r="E420" s="1347"/>
      <c r="F420" s="1303"/>
      <c r="G420" s="1347"/>
      <c r="H420" s="1358">
        <f>S358</f>
        <v>0</v>
      </c>
      <c r="I420" s="1358">
        <f>N358</f>
        <v>0</v>
      </c>
      <c r="J420" s="1359">
        <f>IF(E420&gt;0,E420,IF(E420=0,0,""))</f>
        <v>0</v>
      </c>
      <c r="K420" s="1359">
        <f>IF(F420&gt;0,F420,IF(F420=0,0,""))</f>
        <v>0</v>
      </c>
      <c r="L420" s="1359">
        <f>IF(G420&gt;0,G420,IF(G420=0,0,""))</f>
        <v>0</v>
      </c>
      <c r="M420" s="1359">
        <f>IF(H420&gt;0,H420,IF(H420=0,0,""))</f>
        <v>0</v>
      </c>
      <c r="N420" s="1359">
        <f>IF(I420&gt;0,I420,IF(I420=0,0,""))</f>
        <v>0</v>
      </c>
      <c r="O420" s="633">
        <f>IF(M420="",-1,IF(M420=0,0,1))</f>
        <v>0</v>
      </c>
      <c r="P420" s="489"/>
      <c r="Q420" s="489"/>
      <c r="R420" s="485"/>
      <c r="S420" s="629"/>
      <c r="T420" s="630"/>
      <c r="U420" s="631"/>
      <c r="V420" s="628"/>
      <c r="W420" s="543"/>
      <c r="X420" s="543"/>
      <c r="Y420" s="543"/>
      <c r="Z420" s="543"/>
      <c r="AA420" s="543"/>
      <c r="AB420" s="543"/>
      <c r="AC420" s="256"/>
      <c r="AD420" s="256"/>
      <c r="AE420" s="256"/>
      <c r="AF420" s="256"/>
      <c r="AG420" s="256"/>
      <c r="AH420" s="256"/>
      <c r="AI420" s="256"/>
      <c r="AJ420" s="256"/>
      <c r="AK420" s="256"/>
      <c r="AL420" s="256"/>
      <c r="AM420" s="256"/>
      <c r="AN420" s="256"/>
      <c r="CU420" s="446"/>
      <c r="CV420" s="634" t="str">
        <f t="shared" si="283"/>
        <v>Summe Sammelposten</v>
      </c>
      <c r="CW420" s="634"/>
      <c r="DH420" s="446"/>
      <c r="DI420" s="446"/>
      <c r="DJ420" s="446"/>
      <c r="DK420" s="446"/>
      <c r="DL420" s="446"/>
      <c r="DM420" s="446"/>
      <c r="DN420" s="446"/>
      <c r="DO420" s="446"/>
      <c r="DP420" s="446"/>
      <c r="DQ420" s="446"/>
      <c r="DR420" s="446"/>
    </row>
    <row r="421" spans="1:122" s="475" customFormat="1" ht="14.25" customHeight="1" thickBot="1" x14ac:dyDescent="0.25">
      <c r="A421" s="256"/>
      <c r="C421" s="1303"/>
      <c r="D421" s="1303"/>
      <c r="E421" s="1360">
        <f>SUM(E413:E420)</f>
        <v>0</v>
      </c>
      <c r="F421" s="1359">
        <f>SUM(F413:F420)</f>
        <v>0</v>
      </c>
      <c r="G421" s="1359">
        <f>SUM(G413:G420)</f>
        <v>0</v>
      </c>
      <c r="H421" s="1359">
        <f>SUM(H413:H420)</f>
        <v>0</v>
      </c>
      <c r="I421" s="1359">
        <f>SUM(I413:I420)</f>
        <v>0</v>
      </c>
      <c r="J421" s="1303"/>
      <c r="K421" s="1347"/>
      <c r="L421" s="1303"/>
      <c r="M421" s="1347"/>
      <c r="N421" s="1303"/>
      <c r="P421" s="489"/>
      <c r="Q421" s="489"/>
      <c r="R421" s="485"/>
      <c r="S421" s="629"/>
      <c r="T421" s="630"/>
      <c r="U421" s="631"/>
      <c r="V421" s="628"/>
      <c r="W421" s="539"/>
      <c r="X421" s="539"/>
      <c r="Y421" s="539"/>
      <c r="Z421" s="539"/>
      <c r="AA421" s="539"/>
      <c r="AB421" s="539"/>
      <c r="AC421" s="539"/>
      <c r="AD421" s="256"/>
      <c r="AE421" s="256"/>
      <c r="AF421" s="256"/>
      <c r="AG421" s="256"/>
      <c r="AH421" s="256"/>
      <c r="AI421" s="256"/>
      <c r="AJ421" s="256"/>
      <c r="AK421" s="256"/>
      <c r="AL421" s="256"/>
      <c r="AM421" s="256"/>
      <c r="AN421" s="256"/>
      <c r="CU421" s="446"/>
      <c r="CV421" s="446"/>
      <c r="CW421" s="446"/>
      <c r="DH421" s="446"/>
      <c r="DI421" s="446"/>
      <c r="DJ421" s="446"/>
      <c r="DK421" s="446"/>
      <c r="DL421" s="446"/>
      <c r="DM421" s="446"/>
      <c r="DN421" s="446"/>
      <c r="DO421" s="446"/>
      <c r="DP421" s="446"/>
      <c r="DQ421" s="446"/>
      <c r="DR421" s="446"/>
    </row>
    <row r="422" spans="1:122" s="475" customFormat="1" ht="15" customHeight="1" thickBot="1" x14ac:dyDescent="0.25">
      <c r="A422" s="256"/>
      <c r="C422" s="1356">
        <f ca="1">C411+1</f>
        <v>2021</v>
      </c>
      <c r="D422" s="1303" t="s">
        <v>153</v>
      </c>
      <c r="E422" s="1303"/>
      <c r="F422" s="1303"/>
      <c r="G422" s="1347"/>
      <c r="H422" s="1303"/>
      <c r="I422" s="1347"/>
      <c r="J422" s="1303"/>
      <c r="K422" s="1347"/>
      <c r="L422" s="1303"/>
      <c r="M422" s="1347"/>
      <c r="N422" s="1303"/>
      <c r="P422" s="489"/>
      <c r="Q422" s="489"/>
      <c r="R422" s="485"/>
      <c r="S422" s="629"/>
      <c r="T422" s="630"/>
      <c r="U422" s="631"/>
      <c r="V422" s="628"/>
      <c r="W422" s="539"/>
      <c r="X422" s="539"/>
      <c r="Y422" s="539"/>
      <c r="Z422" s="539"/>
      <c r="AA422" s="539"/>
      <c r="AB422" s="539"/>
      <c r="AC422" s="539"/>
      <c r="AD422" s="256"/>
      <c r="AE422" s="256"/>
      <c r="AF422" s="256"/>
      <c r="AG422" s="256"/>
      <c r="AH422" s="256"/>
      <c r="AI422" s="256"/>
      <c r="AJ422" s="256"/>
      <c r="AK422" s="256"/>
      <c r="AL422" s="256"/>
      <c r="AM422" s="256"/>
      <c r="AN422" s="256"/>
      <c r="CU422" s="446"/>
      <c r="CV422" s="446">
        <f>CV411+1</f>
        <v>4</v>
      </c>
      <c r="CW422" s="446" t="s">
        <v>153</v>
      </c>
      <c r="DH422" s="446"/>
      <c r="DI422" s="446"/>
      <c r="DJ422" s="446"/>
      <c r="DK422" s="446"/>
      <c r="DL422" s="446"/>
      <c r="DM422" s="446"/>
      <c r="DN422" s="446"/>
      <c r="DO422" s="446"/>
      <c r="DP422" s="446"/>
      <c r="DQ422" s="446"/>
      <c r="DR422" s="446"/>
    </row>
    <row r="423" spans="1:122" s="475" customFormat="1" ht="14.25" customHeight="1" x14ac:dyDescent="0.2">
      <c r="A423" s="256"/>
      <c r="C423" s="1303"/>
      <c r="D423" s="1303"/>
      <c r="E423" s="1357">
        <f ca="1">E379</f>
        <v>2017</v>
      </c>
      <c r="F423" s="1357">
        <f ca="1">E423+1</f>
        <v>2018</v>
      </c>
      <c r="G423" s="1357">
        <f ca="1">F423+1</f>
        <v>2019</v>
      </c>
      <c r="H423" s="1357">
        <f ca="1">G423+1</f>
        <v>2020</v>
      </c>
      <c r="I423" s="1357">
        <f ca="1">H423+1</f>
        <v>2021</v>
      </c>
      <c r="J423" s="1303"/>
      <c r="K423" s="1347"/>
      <c r="L423" s="1303"/>
      <c r="M423" s="1347"/>
      <c r="N423" s="1303"/>
      <c r="P423" s="489"/>
      <c r="Q423" s="489"/>
      <c r="R423" s="485"/>
      <c r="S423" s="629"/>
      <c r="T423" s="630"/>
      <c r="U423" s="631"/>
      <c r="V423" s="628"/>
      <c r="W423" s="539"/>
      <c r="X423" s="539"/>
      <c r="Y423" s="539"/>
      <c r="Z423" s="539"/>
      <c r="AA423" s="539"/>
      <c r="AB423" s="539"/>
      <c r="AC423" s="539"/>
      <c r="AD423" s="256"/>
      <c r="AE423" s="256"/>
      <c r="AF423" s="256"/>
      <c r="AG423" s="256"/>
      <c r="AH423" s="256"/>
      <c r="AI423" s="256"/>
      <c r="AJ423" s="256"/>
      <c r="AK423" s="256"/>
      <c r="AL423" s="256"/>
      <c r="AM423" s="256"/>
      <c r="AN423" s="256"/>
      <c r="CU423" s="446"/>
      <c r="CV423" s="446"/>
      <c r="CW423" s="446"/>
      <c r="DH423" s="446"/>
      <c r="DI423" s="446"/>
      <c r="DJ423" s="446"/>
      <c r="DK423" s="446"/>
      <c r="DL423" s="446"/>
      <c r="DM423" s="446"/>
      <c r="DN423" s="446"/>
      <c r="DO423" s="446"/>
      <c r="DP423" s="446"/>
      <c r="DQ423" s="446"/>
      <c r="DR423" s="446"/>
    </row>
    <row r="424" spans="1:122" s="475" customFormat="1" ht="14.25" customHeight="1" x14ac:dyDescent="0.2">
      <c r="A424" s="256"/>
      <c r="C424" s="1613" t="str">
        <f t="shared" ref="C424:C430" si="286">C6</f>
        <v>Investitionsgut 1</v>
      </c>
      <c r="D424" s="1615"/>
      <c r="E424" s="1347"/>
      <c r="F424" s="1303"/>
      <c r="G424" s="1347"/>
      <c r="H424" s="1303"/>
      <c r="I424" s="1358" t="str">
        <f t="shared" ref="I424:I430" si="287">T351</f>
        <v/>
      </c>
      <c r="J424" s="1359">
        <f>IF(E424&gt;0,E424,IF(E424=0,0,""))</f>
        <v>0</v>
      </c>
      <c r="K424" s="1359">
        <f t="shared" ref="K424:N430" si="288">IF(F424&gt;0,F424,IF(F424=0,0,""))</f>
        <v>0</v>
      </c>
      <c r="L424" s="1359">
        <f t="shared" si="288"/>
        <v>0</v>
      </c>
      <c r="M424" s="1359">
        <f t="shared" si="288"/>
        <v>0</v>
      </c>
      <c r="N424" s="1359" t="str">
        <f t="shared" si="288"/>
        <v/>
      </c>
      <c r="O424" s="633">
        <f t="shared" ref="O424:O430" si="289">IF(N424="",-1,IF(N424=0,0,1))</f>
        <v>-1</v>
      </c>
      <c r="P424" s="489"/>
      <c r="Q424" s="489"/>
      <c r="R424" s="485"/>
      <c r="S424" s="629"/>
      <c r="T424" s="630"/>
      <c r="U424" s="631"/>
      <c r="V424" s="628"/>
      <c r="W424" s="543"/>
      <c r="X424" s="539"/>
      <c r="Y424" s="539"/>
      <c r="Z424" s="539"/>
      <c r="AA424" s="539"/>
      <c r="AB424" s="539"/>
      <c r="AC424" s="539"/>
      <c r="AD424" s="256"/>
      <c r="AE424" s="256"/>
      <c r="AF424" s="256"/>
      <c r="AG424" s="256"/>
      <c r="AH424" s="256"/>
      <c r="AI424" s="256"/>
      <c r="AJ424" s="256"/>
      <c r="AK424" s="256"/>
      <c r="AL424" s="256"/>
      <c r="AM424" s="256"/>
      <c r="AN424" s="256"/>
      <c r="CU424" s="446"/>
      <c r="CV424" s="634" t="str">
        <f t="shared" ref="CV424:CV430" si="290">CV6</f>
        <v>Investitionsgut 1</v>
      </c>
      <c r="CW424" s="634"/>
      <c r="DH424" s="446"/>
      <c r="DI424" s="446"/>
      <c r="DJ424" s="446"/>
      <c r="DK424" s="446"/>
      <c r="DL424" s="446"/>
      <c r="DM424" s="446"/>
      <c r="DN424" s="446"/>
      <c r="DO424" s="446"/>
      <c r="DP424" s="446"/>
      <c r="DQ424" s="446"/>
      <c r="DR424" s="446"/>
    </row>
    <row r="425" spans="1:122" s="475" customFormat="1" ht="14.25" customHeight="1" x14ac:dyDescent="0.2">
      <c r="A425" s="256"/>
      <c r="C425" s="1613" t="str">
        <f t="shared" si="286"/>
        <v>Investitionsgut 2</v>
      </c>
      <c r="D425" s="1615"/>
      <c r="E425" s="1347"/>
      <c r="F425" s="1303"/>
      <c r="G425" s="1347"/>
      <c r="H425" s="1303"/>
      <c r="I425" s="1358" t="str">
        <f t="shared" si="287"/>
        <v/>
      </c>
      <c r="J425" s="1359">
        <f t="shared" ref="J425:J430" si="291">IF(E425&gt;0,E425,IF(E425=0,0,""))</f>
        <v>0</v>
      </c>
      <c r="K425" s="1359">
        <f t="shared" si="288"/>
        <v>0</v>
      </c>
      <c r="L425" s="1359">
        <f t="shared" si="288"/>
        <v>0</v>
      </c>
      <c r="M425" s="1359">
        <f t="shared" si="288"/>
        <v>0</v>
      </c>
      <c r="N425" s="1359" t="str">
        <f t="shared" si="288"/>
        <v/>
      </c>
      <c r="O425" s="633">
        <f t="shared" si="289"/>
        <v>-1</v>
      </c>
      <c r="P425" s="489"/>
      <c r="Q425" s="489"/>
      <c r="R425" s="485"/>
      <c r="S425" s="629"/>
      <c r="T425" s="630"/>
      <c r="U425" s="631"/>
      <c r="V425" s="628"/>
      <c r="W425" s="543"/>
      <c r="X425" s="539"/>
      <c r="Y425" s="539"/>
      <c r="Z425" s="539"/>
      <c r="AA425" s="539"/>
      <c r="AB425" s="539"/>
      <c r="AC425" s="539"/>
      <c r="AD425" s="256"/>
      <c r="AE425" s="256"/>
      <c r="AF425" s="256"/>
      <c r="AG425" s="256"/>
      <c r="AH425" s="256"/>
      <c r="AI425" s="256"/>
      <c r="AJ425" s="256"/>
      <c r="AK425" s="256"/>
      <c r="AL425" s="256"/>
      <c r="AM425" s="256"/>
      <c r="AN425" s="256"/>
      <c r="CU425" s="446"/>
      <c r="CV425" s="634" t="str">
        <f t="shared" si="290"/>
        <v>Investitionsgut 2</v>
      </c>
      <c r="CW425" s="634"/>
      <c r="DH425" s="446"/>
      <c r="DI425" s="446"/>
      <c r="DJ425" s="446"/>
      <c r="DK425" s="446"/>
      <c r="DL425" s="446"/>
      <c r="DM425" s="446"/>
      <c r="DN425" s="446"/>
      <c r="DO425" s="446"/>
      <c r="DP425" s="446"/>
      <c r="DQ425" s="446"/>
      <c r="DR425" s="446"/>
    </row>
    <row r="426" spans="1:122" s="475" customFormat="1" ht="14.25" customHeight="1" x14ac:dyDescent="0.2">
      <c r="A426" s="256"/>
      <c r="C426" s="1613" t="str">
        <f t="shared" si="286"/>
        <v>Investitionsgut 3</v>
      </c>
      <c r="D426" s="1615"/>
      <c r="E426" s="1347"/>
      <c r="F426" s="1303"/>
      <c r="G426" s="1347"/>
      <c r="H426" s="1303"/>
      <c r="I426" s="1358" t="str">
        <f t="shared" si="287"/>
        <v/>
      </c>
      <c r="J426" s="1359">
        <f t="shared" si="291"/>
        <v>0</v>
      </c>
      <c r="K426" s="1359">
        <f t="shared" si="288"/>
        <v>0</v>
      </c>
      <c r="L426" s="1359">
        <f t="shared" si="288"/>
        <v>0</v>
      </c>
      <c r="M426" s="1359">
        <f t="shared" si="288"/>
        <v>0</v>
      </c>
      <c r="N426" s="1359" t="str">
        <f t="shared" si="288"/>
        <v/>
      </c>
      <c r="O426" s="633">
        <f t="shared" si="289"/>
        <v>-1</v>
      </c>
      <c r="P426" s="489"/>
      <c r="Q426" s="489"/>
      <c r="R426" s="485"/>
      <c r="S426" s="629"/>
      <c r="T426" s="630"/>
      <c r="U426" s="631"/>
      <c r="V426" s="628"/>
      <c r="W426" s="543"/>
      <c r="X426" s="539"/>
      <c r="Y426" s="539"/>
      <c r="Z426" s="539"/>
      <c r="AA426" s="539"/>
      <c r="AB426" s="539"/>
      <c r="AC426" s="539"/>
      <c r="AD426" s="256"/>
      <c r="AE426" s="256"/>
      <c r="AF426" s="256"/>
      <c r="AG426" s="256"/>
      <c r="AH426" s="256"/>
      <c r="AI426" s="256"/>
      <c r="AJ426" s="256"/>
      <c r="AK426" s="256"/>
      <c r="AL426" s="256"/>
      <c r="AM426" s="256"/>
      <c r="AN426" s="256"/>
      <c r="CU426" s="446"/>
      <c r="CV426" s="634" t="str">
        <f t="shared" si="290"/>
        <v>Investitionsgut 3</v>
      </c>
      <c r="CW426" s="634"/>
      <c r="DH426" s="446"/>
      <c r="DI426" s="446"/>
      <c r="DJ426" s="446"/>
      <c r="DK426" s="446"/>
      <c r="DL426" s="446"/>
      <c r="DM426" s="446"/>
      <c r="DN426" s="446"/>
      <c r="DO426" s="446"/>
      <c r="DP426" s="446"/>
      <c r="DQ426" s="446"/>
      <c r="DR426" s="446"/>
    </row>
    <row r="427" spans="1:122" s="475" customFormat="1" ht="14.25" customHeight="1" x14ac:dyDescent="0.2">
      <c r="A427" s="256"/>
      <c r="C427" s="1613" t="str">
        <f t="shared" si="286"/>
        <v>Investitionsgut 4</v>
      </c>
      <c r="D427" s="1615"/>
      <c r="E427" s="1347"/>
      <c r="F427" s="1303"/>
      <c r="G427" s="1347"/>
      <c r="H427" s="1303"/>
      <c r="I427" s="1358" t="str">
        <f t="shared" si="287"/>
        <v/>
      </c>
      <c r="J427" s="1359">
        <f t="shared" si="291"/>
        <v>0</v>
      </c>
      <c r="K427" s="1359">
        <f t="shared" si="288"/>
        <v>0</v>
      </c>
      <c r="L427" s="1359">
        <f t="shared" si="288"/>
        <v>0</v>
      </c>
      <c r="M427" s="1359">
        <f t="shared" si="288"/>
        <v>0</v>
      </c>
      <c r="N427" s="1359" t="str">
        <f t="shared" si="288"/>
        <v/>
      </c>
      <c r="O427" s="633">
        <f t="shared" si="289"/>
        <v>-1</v>
      </c>
      <c r="P427" s="489"/>
      <c r="Q427" s="489"/>
      <c r="R427" s="485"/>
      <c r="S427" s="629"/>
      <c r="T427" s="630"/>
      <c r="U427" s="631"/>
      <c r="V427" s="628"/>
      <c r="W427" s="543"/>
      <c r="X427" s="539"/>
      <c r="Y427" s="539"/>
      <c r="Z427" s="539"/>
      <c r="AA427" s="539"/>
      <c r="AB427" s="539"/>
      <c r="AC427" s="539"/>
      <c r="AD427" s="256"/>
      <c r="AE427" s="256"/>
      <c r="AF427" s="256"/>
      <c r="AG427" s="256"/>
      <c r="AH427" s="256"/>
      <c r="AI427" s="256"/>
      <c r="AJ427" s="256"/>
      <c r="AK427" s="256"/>
      <c r="AL427" s="256"/>
      <c r="AM427" s="256"/>
      <c r="AN427" s="256"/>
      <c r="CU427" s="446"/>
      <c r="CV427" s="634" t="str">
        <f t="shared" si="290"/>
        <v>Investitionsgut 4</v>
      </c>
      <c r="CW427" s="634"/>
      <c r="DH427" s="446"/>
      <c r="DI427" s="446"/>
      <c r="DJ427" s="446"/>
      <c r="DK427" s="446"/>
      <c r="DL427" s="446"/>
      <c r="DM427" s="446"/>
      <c r="DN427" s="446"/>
      <c r="DO427" s="446"/>
      <c r="DP427" s="446"/>
      <c r="DQ427" s="446"/>
      <c r="DR427" s="446"/>
    </row>
    <row r="428" spans="1:122" s="475" customFormat="1" ht="14.25" customHeight="1" x14ac:dyDescent="0.2">
      <c r="A428" s="256"/>
      <c r="C428" s="1613" t="str">
        <f t="shared" si="286"/>
        <v>Investitionsgut 5</v>
      </c>
      <c r="D428" s="1615"/>
      <c r="E428" s="1347"/>
      <c r="F428" s="1303"/>
      <c r="G428" s="1347"/>
      <c r="H428" s="1303"/>
      <c r="I428" s="1358" t="str">
        <f t="shared" si="287"/>
        <v/>
      </c>
      <c r="J428" s="1359">
        <f t="shared" si="291"/>
        <v>0</v>
      </c>
      <c r="K428" s="1359">
        <f t="shared" si="288"/>
        <v>0</v>
      </c>
      <c r="L428" s="1359">
        <f t="shared" si="288"/>
        <v>0</v>
      </c>
      <c r="M428" s="1359">
        <f t="shared" si="288"/>
        <v>0</v>
      </c>
      <c r="N428" s="1359" t="str">
        <f t="shared" si="288"/>
        <v/>
      </c>
      <c r="O428" s="633">
        <f t="shared" si="289"/>
        <v>-1</v>
      </c>
      <c r="P428" s="489"/>
      <c r="Q428" s="489"/>
      <c r="R428" s="485"/>
      <c r="S428" s="629"/>
      <c r="T428" s="630"/>
      <c r="U428" s="631"/>
      <c r="V428" s="628"/>
      <c r="W428" s="543"/>
      <c r="X428" s="539"/>
      <c r="Y428" s="539"/>
      <c r="Z428" s="539"/>
      <c r="AA428" s="539"/>
      <c r="AB428" s="539"/>
      <c r="AC428" s="539"/>
      <c r="AD428" s="256"/>
      <c r="AE428" s="256"/>
      <c r="AF428" s="256"/>
      <c r="AG428" s="256"/>
      <c r="AH428" s="256"/>
      <c r="AI428" s="256"/>
      <c r="AJ428" s="256"/>
      <c r="AK428" s="256"/>
      <c r="AL428" s="256"/>
      <c r="AM428" s="256"/>
      <c r="AN428" s="256"/>
      <c r="CU428" s="446"/>
      <c r="CV428" s="634" t="str">
        <f t="shared" si="290"/>
        <v>Investitionsgut 5</v>
      </c>
      <c r="CW428" s="634"/>
      <c r="DH428" s="446"/>
      <c r="DI428" s="446"/>
      <c r="DJ428" s="446"/>
      <c r="DK428" s="446"/>
      <c r="DL428" s="446"/>
      <c r="DM428" s="446"/>
      <c r="DN428" s="446"/>
      <c r="DO428" s="446"/>
      <c r="DP428" s="446"/>
      <c r="DQ428" s="446"/>
      <c r="DR428" s="446"/>
    </row>
    <row r="429" spans="1:122" s="475" customFormat="1" ht="14.25" customHeight="1" x14ac:dyDescent="0.2">
      <c r="A429" s="256"/>
      <c r="C429" s="1613" t="str">
        <f t="shared" si="286"/>
        <v>Investitionsgut 6</v>
      </c>
      <c r="D429" s="1615"/>
      <c r="E429" s="1347"/>
      <c r="F429" s="1303"/>
      <c r="G429" s="1347"/>
      <c r="H429" s="1303"/>
      <c r="I429" s="1358" t="str">
        <f t="shared" si="287"/>
        <v/>
      </c>
      <c r="J429" s="1359">
        <f t="shared" si="291"/>
        <v>0</v>
      </c>
      <c r="K429" s="1359">
        <f t="shared" si="288"/>
        <v>0</v>
      </c>
      <c r="L429" s="1359">
        <f t="shared" si="288"/>
        <v>0</v>
      </c>
      <c r="M429" s="1359">
        <f t="shared" si="288"/>
        <v>0</v>
      </c>
      <c r="N429" s="1359" t="str">
        <f t="shared" si="288"/>
        <v/>
      </c>
      <c r="O429" s="633">
        <f t="shared" si="289"/>
        <v>-1</v>
      </c>
      <c r="P429" s="489"/>
      <c r="Q429" s="489"/>
      <c r="R429" s="485"/>
      <c r="S429" s="629"/>
      <c r="T429" s="630"/>
      <c r="U429" s="631"/>
      <c r="V429" s="628"/>
      <c r="W429" s="543"/>
      <c r="X429" s="539"/>
      <c r="Y429" s="539"/>
      <c r="Z429" s="539"/>
      <c r="AA429" s="539"/>
      <c r="AB429" s="539"/>
      <c r="AC429" s="539"/>
      <c r="AD429" s="256"/>
      <c r="AE429" s="256"/>
      <c r="AF429" s="256"/>
      <c r="AG429" s="256"/>
      <c r="AH429" s="256"/>
      <c r="AI429" s="256"/>
      <c r="AJ429" s="256"/>
      <c r="AK429" s="256"/>
      <c r="AL429" s="256"/>
      <c r="AM429" s="256"/>
      <c r="AN429" s="256"/>
      <c r="CU429" s="446"/>
      <c r="CV429" s="634" t="str">
        <f t="shared" si="290"/>
        <v>Investitionsgut 6</v>
      </c>
      <c r="CW429" s="634"/>
      <c r="DH429" s="446"/>
      <c r="DI429" s="446"/>
      <c r="DJ429" s="446"/>
      <c r="DK429" s="446"/>
      <c r="DL429" s="446"/>
      <c r="DM429" s="446"/>
      <c r="DN429" s="446"/>
      <c r="DO429" s="446"/>
      <c r="DP429" s="446"/>
      <c r="DQ429" s="446"/>
      <c r="DR429" s="446"/>
    </row>
    <row r="430" spans="1:122" s="475" customFormat="1" ht="14.25" customHeight="1" x14ac:dyDescent="0.2">
      <c r="A430" s="256"/>
      <c r="C430" s="1613" t="str">
        <f t="shared" si="286"/>
        <v>Investitionsgut 7</v>
      </c>
      <c r="D430" s="1615"/>
      <c r="E430" s="1347"/>
      <c r="F430" s="1303"/>
      <c r="G430" s="1347"/>
      <c r="H430" s="1303"/>
      <c r="I430" s="1358" t="str">
        <f t="shared" si="287"/>
        <v/>
      </c>
      <c r="J430" s="1359">
        <f t="shared" si="291"/>
        <v>0</v>
      </c>
      <c r="K430" s="1359">
        <f t="shared" si="288"/>
        <v>0</v>
      </c>
      <c r="L430" s="1359">
        <f t="shared" si="288"/>
        <v>0</v>
      </c>
      <c r="M430" s="1359">
        <f t="shared" si="288"/>
        <v>0</v>
      </c>
      <c r="N430" s="1359" t="str">
        <f t="shared" si="288"/>
        <v/>
      </c>
      <c r="O430" s="633">
        <f t="shared" si="289"/>
        <v>-1</v>
      </c>
      <c r="P430" s="489"/>
      <c r="Q430" s="489"/>
      <c r="R430" s="485"/>
      <c r="S430" s="629"/>
      <c r="T430" s="630"/>
      <c r="U430" s="631"/>
      <c r="V430" s="628"/>
      <c r="W430" s="543"/>
      <c r="X430" s="539"/>
      <c r="Y430" s="539"/>
      <c r="Z430" s="539"/>
      <c r="AA430" s="539"/>
      <c r="AB430" s="539"/>
      <c r="AC430" s="539"/>
      <c r="AD430" s="256"/>
      <c r="AE430" s="256"/>
      <c r="AF430" s="256"/>
      <c r="AG430" s="256"/>
      <c r="AH430" s="256"/>
      <c r="AI430" s="256"/>
      <c r="AJ430" s="256"/>
      <c r="AK430" s="256"/>
      <c r="AL430" s="256"/>
      <c r="AM430" s="256"/>
      <c r="AN430" s="256"/>
      <c r="CU430" s="446"/>
      <c r="CV430" s="634" t="str">
        <f t="shared" si="290"/>
        <v>Investitionsgut 7</v>
      </c>
      <c r="CW430" s="634"/>
      <c r="DH430" s="446"/>
      <c r="DI430" s="446"/>
      <c r="DJ430" s="446"/>
      <c r="DK430" s="446"/>
      <c r="DL430" s="446"/>
      <c r="DM430" s="446"/>
      <c r="DN430" s="446"/>
      <c r="DO430" s="446"/>
      <c r="DP430" s="446"/>
      <c r="DQ430" s="446"/>
      <c r="DR430" s="446"/>
    </row>
    <row r="431" spans="1:122" s="475" customFormat="1" ht="14.25" customHeight="1" x14ac:dyDescent="0.2">
      <c r="A431" s="256"/>
      <c r="C431" s="1611" t="s">
        <v>152</v>
      </c>
      <c r="D431" s="1612"/>
      <c r="E431" s="1347"/>
      <c r="F431" s="1303"/>
      <c r="G431" s="1347"/>
      <c r="H431" s="1303"/>
      <c r="I431" s="1358"/>
      <c r="J431" s="1358"/>
      <c r="K431" s="1358"/>
      <c r="L431" s="1358"/>
      <c r="M431" s="1358"/>
      <c r="N431" s="1358"/>
      <c r="O431" s="632"/>
      <c r="P431" s="489"/>
      <c r="Q431" s="489"/>
      <c r="R431" s="485"/>
      <c r="S431" s="629"/>
      <c r="T431" s="630"/>
      <c r="U431" s="631"/>
      <c r="V431" s="628"/>
      <c r="W431" s="539"/>
      <c r="X431" s="539"/>
      <c r="Y431" s="539"/>
      <c r="Z431" s="539"/>
      <c r="AA431" s="539"/>
      <c r="AB431" s="539"/>
      <c r="AC431" s="539"/>
      <c r="AD431" s="256"/>
      <c r="AE431" s="256"/>
      <c r="AF431" s="256"/>
      <c r="AG431" s="256"/>
      <c r="AH431" s="256"/>
      <c r="AI431" s="256"/>
      <c r="AJ431" s="256"/>
      <c r="AK431" s="256"/>
      <c r="AL431" s="256"/>
      <c r="AM431" s="256"/>
      <c r="AN431" s="256"/>
      <c r="CU431" s="446"/>
      <c r="CV431" s="634" t="s">
        <v>152</v>
      </c>
      <c r="CW431" s="634"/>
      <c r="DH431" s="446"/>
      <c r="DI431" s="446"/>
      <c r="DJ431" s="446"/>
      <c r="DK431" s="446"/>
      <c r="DL431" s="446"/>
      <c r="DM431" s="446"/>
      <c r="DN431" s="446"/>
      <c r="DO431" s="446"/>
      <c r="DP431" s="446"/>
      <c r="DQ431" s="446"/>
      <c r="DR431" s="446"/>
    </row>
    <row r="432" spans="1:122" s="475" customFormat="1" ht="14.25" customHeight="1" x14ac:dyDescent="0.2">
      <c r="A432" s="256"/>
      <c r="C432" s="1303"/>
      <c r="D432" s="1303"/>
      <c r="E432" s="1360">
        <f>SUM(E424:E431)</f>
        <v>0</v>
      </c>
      <c r="F432" s="1359">
        <f>SUM(F424:F431)</f>
        <v>0</v>
      </c>
      <c r="G432" s="1359">
        <f>SUM(G424:G431)</f>
        <v>0</v>
      </c>
      <c r="H432" s="1359">
        <f>SUM(H424:H431)</f>
        <v>0</v>
      </c>
      <c r="I432" s="1359">
        <f>SUM(I424:I431)</f>
        <v>0</v>
      </c>
      <c r="J432" s="1303"/>
      <c r="K432" s="1347"/>
      <c r="L432" s="1303"/>
      <c r="M432" s="1347"/>
      <c r="N432" s="1303"/>
      <c r="P432" s="489"/>
      <c r="Q432" s="489"/>
      <c r="R432" s="485"/>
      <c r="S432" s="629"/>
      <c r="T432" s="630"/>
      <c r="U432" s="631"/>
      <c r="V432" s="628"/>
      <c r="W432" s="539"/>
      <c r="X432" s="539"/>
      <c r="Y432" s="539"/>
      <c r="Z432" s="539"/>
      <c r="AA432" s="539"/>
      <c r="AB432" s="539"/>
      <c r="AC432" s="539"/>
      <c r="AD432" s="256"/>
      <c r="AE432" s="256"/>
      <c r="AF432" s="256"/>
      <c r="AG432" s="256"/>
      <c r="AH432" s="256"/>
      <c r="AI432" s="256"/>
      <c r="AJ432" s="256"/>
      <c r="AK432" s="256"/>
      <c r="AL432" s="256"/>
      <c r="AM432" s="256"/>
      <c r="AN432" s="256"/>
      <c r="CU432" s="446"/>
      <c r="CV432" s="446"/>
      <c r="CW432" s="446"/>
      <c r="DH432" s="446"/>
      <c r="DI432" s="446"/>
      <c r="DJ432" s="446"/>
      <c r="DK432" s="446"/>
      <c r="DL432" s="446"/>
      <c r="DM432" s="446"/>
      <c r="DN432" s="446"/>
      <c r="DO432" s="446"/>
      <c r="DP432" s="446"/>
      <c r="DQ432" s="446"/>
      <c r="DR432" s="446"/>
    </row>
    <row r="433" spans="1:122" s="256" customFormat="1" x14ac:dyDescent="0.2">
      <c r="C433" s="445"/>
      <c r="D433" s="445"/>
      <c r="E433" s="1361"/>
      <c r="F433" s="445"/>
      <c r="G433" s="1361"/>
      <c r="H433" s="445"/>
      <c r="I433" s="1361"/>
      <c r="J433" s="445"/>
      <c r="K433" s="1361"/>
      <c r="L433" s="445"/>
      <c r="M433" s="1361"/>
      <c r="N433" s="445"/>
      <c r="P433" s="485"/>
      <c r="Q433" s="485"/>
      <c r="R433" s="485"/>
      <c r="S433" s="629"/>
      <c r="T433" s="630"/>
      <c r="U433" s="631"/>
      <c r="V433" s="628"/>
      <c r="W433" s="539"/>
      <c r="X433" s="539"/>
      <c r="Y433" s="539"/>
      <c r="Z433" s="539"/>
      <c r="AA433" s="539"/>
      <c r="AB433" s="539"/>
      <c r="AC433" s="539"/>
      <c r="CQ433" s="475"/>
      <c r="CR433" s="475"/>
      <c r="CS433" s="475"/>
      <c r="CT433" s="475"/>
      <c r="CU433" s="446"/>
      <c r="CV433" s="446"/>
      <c r="CW433" s="446"/>
      <c r="CX433" s="475"/>
      <c r="CY433" s="475"/>
      <c r="CZ433" s="475"/>
      <c r="DA433" s="475"/>
      <c r="DB433" s="475"/>
      <c r="DC433" s="475"/>
      <c r="DD433" s="475"/>
      <c r="DE433" s="475"/>
      <c r="DF433" s="475"/>
      <c r="DG433" s="475"/>
      <c r="DH433" s="446"/>
      <c r="DI433" s="446"/>
      <c r="DJ433" s="446"/>
      <c r="DK433" s="446"/>
      <c r="DL433" s="446"/>
      <c r="DM433" s="446"/>
      <c r="DN433" s="446"/>
      <c r="DO433" s="446"/>
      <c r="DP433" s="446"/>
      <c r="DQ433" s="446"/>
      <c r="DR433" s="446"/>
    </row>
    <row r="434" spans="1:122" s="256" customFormat="1" x14ac:dyDescent="0.2">
      <c r="C434" s="445"/>
      <c r="D434" s="445"/>
      <c r="E434" s="1361"/>
      <c r="F434" s="445"/>
      <c r="G434" s="1361"/>
      <c r="H434" s="445"/>
      <c r="I434" s="1361"/>
      <c r="J434" s="445"/>
      <c r="K434" s="1361"/>
      <c r="L434" s="445"/>
      <c r="M434" s="1361"/>
      <c r="N434" s="445"/>
      <c r="S434" s="543"/>
      <c r="T434" s="543"/>
      <c r="U434" s="543"/>
      <c r="V434" s="543"/>
      <c r="W434" s="539"/>
      <c r="X434" s="539"/>
      <c r="Y434" s="539"/>
      <c r="Z434" s="539"/>
      <c r="AA434" s="539"/>
      <c r="AB434" s="539"/>
      <c r="AC434" s="539"/>
      <c r="CQ434" s="475"/>
      <c r="CR434" s="475"/>
      <c r="CS434" s="475"/>
      <c r="CT434" s="475"/>
      <c r="CU434" s="446"/>
      <c r="CV434" s="446"/>
      <c r="CW434" s="446"/>
      <c r="CX434" s="475"/>
      <c r="CY434" s="475"/>
      <c r="CZ434" s="475"/>
      <c r="DA434" s="475"/>
      <c r="DB434" s="475"/>
      <c r="DC434" s="475"/>
      <c r="DD434" s="475"/>
      <c r="DE434" s="475"/>
      <c r="DF434" s="475"/>
      <c r="DG434" s="475"/>
      <c r="DH434" s="446"/>
      <c r="DI434" s="446"/>
      <c r="DJ434" s="446"/>
      <c r="DK434" s="446"/>
      <c r="DL434" s="446"/>
      <c r="DM434" s="446"/>
      <c r="DN434" s="446"/>
      <c r="DO434" s="446"/>
      <c r="DP434" s="446"/>
      <c r="DQ434" s="446"/>
      <c r="DR434" s="446"/>
    </row>
    <row r="435" spans="1:122" s="256" customFormat="1" x14ac:dyDescent="0.2">
      <c r="C435" s="445"/>
      <c r="D435" s="445"/>
      <c r="E435" s="1361"/>
      <c r="F435" s="445"/>
      <c r="G435" s="1361"/>
      <c r="H435" s="445"/>
      <c r="I435" s="1361"/>
      <c r="J435" s="445"/>
      <c r="K435" s="1361"/>
      <c r="L435" s="445"/>
      <c r="M435" s="1361"/>
      <c r="N435" s="445"/>
      <c r="S435" s="543"/>
      <c r="T435" s="543"/>
      <c r="U435" s="543"/>
      <c r="V435" s="543"/>
      <c r="W435" s="539"/>
      <c r="X435" s="539"/>
      <c r="Y435" s="539"/>
      <c r="Z435" s="539"/>
      <c r="AA435" s="539"/>
      <c r="AB435" s="539"/>
      <c r="AC435" s="539"/>
      <c r="CQ435" s="475"/>
      <c r="CR435" s="475"/>
      <c r="CS435" s="475"/>
      <c r="CT435" s="475"/>
      <c r="CU435" s="446"/>
      <c r="CV435" s="446"/>
      <c r="CW435" s="446"/>
      <c r="CX435" s="475"/>
      <c r="CY435" s="475"/>
      <c r="CZ435" s="475"/>
      <c r="DA435" s="475"/>
      <c r="DB435" s="475"/>
      <c r="DC435" s="475"/>
      <c r="DD435" s="475"/>
      <c r="DE435" s="475"/>
      <c r="DF435" s="475"/>
      <c r="DG435" s="475"/>
      <c r="DH435" s="446"/>
      <c r="DI435" s="446"/>
      <c r="DJ435" s="446"/>
      <c r="DK435" s="446"/>
      <c r="DL435" s="446"/>
      <c r="DM435" s="446"/>
      <c r="DN435" s="446"/>
      <c r="DO435" s="446"/>
      <c r="DP435" s="446"/>
      <c r="DQ435" s="446"/>
      <c r="DR435" s="446"/>
    </row>
    <row r="436" spans="1:122" s="256" customFormat="1" x14ac:dyDescent="0.2">
      <c r="C436" s="445"/>
      <c r="D436" s="445"/>
      <c r="E436" s="1361"/>
      <c r="F436" s="445"/>
      <c r="G436" s="1361"/>
      <c r="H436" s="445"/>
      <c r="I436" s="1361"/>
      <c r="J436" s="445"/>
      <c r="K436" s="1361"/>
      <c r="L436" s="445"/>
      <c r="M436" s="1361"/>
      <c r="N436" s="445"/>
      <c r="S436" s="543"/>
      <c r="T436" s="543"/>
      <c r="U436" s="543"/>
      <c r="V436" s="543"/>
      <c r="W436" s="539"/>
      <c r="X436" s="539"/>
      <c r="Y436" s="539"/>
      <c r="Z436" s="539"/>
      <c r="AA436" s="539"/>
      <c r="AB436" s="539"/>
      <c r="AC436" s="539"/>
      <c r="CQ436" s="475"/>
      <c r="CR436" s="475"/>
      <c r="CS436" s="475"/>
      <c r="CT436" s="475"/>
      <c r="CU436" s="446"/>
      <c r="CV436" s="446"/>
      <c r="CW436" s="446"/>
      <c r="CX436" s="475"/>
      <c r="CY436" s="475"/>
      <c r="CZ436" s="475"/>
      <c r="DA436" s="475"/>
      <c r="DB436" s="475"/>
      <c r="DC436" s="475"/>
      <c r="DD436" s="475"/>
      <c r="DE436" s="475"/>
      <c r="DF436" s="475"/>
      <c r="DG436" s="475"/>
      <c r="DH436" s="446"/>
      <c r="DI436" s="446"/>
      <c r="DJ436" s="446"/>
      <c r="DK436" s="446"/>
      <c r="DL436" s="446"/>
      <c r="DM436" s="446"/>
      <c r="DN436" s="446"/>
      <c r="DO436" s="446"/>
      <c r="DP436" s="446"/>
      <c r="DQ436" s="446"/>
      <c r="DR436" s="446"/>
    </row>
    <row r="437" spans="1:122" s="475" customFormat="1" x14ac:dyDescent="0.2">
      <c r="A437" s="256"/>
      <c r="B437" s="256"/>
      <c r="C437" s="256"/>
      <c r="D437" s="256"/>
      <c r="E437" s="543"/>
      <c r="F437" s="256"/>
      <c r="G437" s="543"/>
      <c r="H437" s="256"/>
      <c r="I437" s="543"/>
      <c r="J437" s="256"/>
      <c r="K437" s="543"/>
      <c r="L437" s="256"/>
      <c r="M437" s="543"/>
      <c r="N437" s="256"/>
      <c r="O437" s="256"/>
      <c r="P437" s="256"/>
      <c r="Q437" s="256"/>
      <c r="R437" s="256"/>
      <c r="S437" s="543"/>
      <c r="T437" s="543"/>
      <c r="U437" s="543"/>
      <c r="V437" s="543"/>
      <c r="W437" s="256"/>
      <c r="X437" s="256"/>
      <c r="Y437" s="256"/>
      <c r="Z437" s="256"/>
      <c r="AA437" s="256"/>
      <c r="AB437" s="256"/>
      <c r="AC437" s="256"/>
      <c r="AD437" s="256"/>
      <c r="AE437" s="256"/>
      <c r="AF437" s="256"/>
      <c r="AG437" s="256"/>
      <c r="AH437" s="256"/>
      <c r="AI437" s="256"/>
      <c r="AJ437" s="256"/>
      <c r="AK437" s="256"/>
      <c r="AL437" s="256"/>
      <c r="AM437" s="256"/>
      <c r="AN437" s="256"/>
      <c r="CU437" s="446"/>
      <c r="CV437" s="446"/>
      <c r="CW437" s="446"/>
      <c r="DH437" s="446"/>
      <c r="DI437" s="446"/>
      <c r="DJ437" s="446"/>
      <c r="DK437" s="446"/>
      <c r="DL437" s="446"/>
      <c r="DM437" s="446"/>
      <c r="DN437" s="446"/>
      <c r="DO437" s="446"/>
      <c r="DP437" s="446"/>
      <c r="DQ437" s="446"/>
      <c r="DR437" s="446"/>
    </row>
    <row r="438" spans="1:122" s="475" customFormat="1" x14ac:dyDescent="0.2">
      <c r="A438" s="256"/>
      <c r="B438" s="256"/>
      <c r="C438" s="256"/>
      <c r="D438" s="256"/>
      <c r="E438" s="543"/>
      <c r="F438" s="256"/>
      <c r="G438" s="543"/>
      <c r="H438" s="256"/>
      <c r="I438" s="543"/>
      <c r="J438" s="256"/>
      <c r="K438" s="543"/>
      <c r="L438" s="256"/>
      <c r="M438" s="543"/>
      <c r="N438" s="256"/>
      <c r="O438" s="256"/>
      <c r="P438" s="256"/>
      <c r="Q438" s="256"/>
      <c r="R438" s="256"/>
      <c r="S438" s="543"/>
      <c r="T438" s="543"/>
      <c r="U438" s="543"/>
      <c r="V438" s="543"/>
      <c r="W438" s="256"/>
      <c r="X438" s="256"/>
      <c r="Y438" s="256"/>
      <c r="Z438" s="256"/>
      <c r="AA438" s="256"/>
      <c r="AB438" s="256"/>
      <c r="AC438" s="256"/>
      <c r="AD438" s="256"/>
      <c r="AE438" s="256"/>
      <c r="AF438" s="256"/>
      <c r="AG438" s="256"/>
      <c r="AH438" s="256"/>
      <c r="AI438" s="256"/>
      <c r="AJ438" s="256"/>
      <c r="AK438" s="256"/>
      <c r="AL438" s="256"/>
      <c r="AM438" s="256"/>
      <c r="AN438" s="256"/>
      <c r="CU438" s="446"/>
      <c r="CV438" s="446"/>
      <c r="CW438" s="446"/>
      <c r="DH438" s="446"/>
      <c r="DI438" s="446"/>
      <c r="DJ438" s="446"/>
      <c r="DK438" s="446"/>
      <c r="DL438" s="446"/>
      <c r="DM438" s="446"/>
      <c r="DN438" s="446"/>
      <c r="DO438" s="446"/>
      <c r="DP438" s="446"/>
      <c r="DQ438" s="446"/>
      <c r="DR438" s="446"/>
    </row>
    <row r="439" spans="1:122" s="475" customFormat="1" x14ac:dyDescent="0.2">
      <c r="A439" s="256"/>
      <c r="B439" s="256"/>
      <c r="C439" s="256"/>
      <c r="D439" s="256"/>
      <c r="E439" s="543"/>
      <c r="F439" s="256"/>
      <c r="G439" s="543"/>
      <c r="H439" s="256"/>
      <c r="I439" s="543"/>
      <c r="J439" s="256"/>
      <c r="K439" s="543"/>
      <c r="L439" s="256"/>
      <c r="M439" s="543"/>
      <c r="N439" s="256"/>
      <c r="O439" s="256"/>
      <c r="P439" s="256"/>
      <c r="Q439" s="256"/>
      <c r="R439" s="256"/>
      <c r="S439" s="543"/>
      <c r="T439" s="543"/>
      <c r="U439" s="543"/>
      <c r="V439" s="543"/>
      <c r="W439" s="543"/>
      <c r="X439" s="543"/>
      <c r="Y439" s="543"/>
      <c r="Z439" s="543"/>
      <c r="AA439" s="543"/>
      <c r="AB439" s="543"/>
      <c r="AC439" s="256"/>
      <c r="AD439" s="256"/>
      <c r="AE439" s="256"/>
      <c r="AF439" s="256"/>
      <c r="AG439" s="256"/>
      <c r="AH439" s="256"/>
      <c r="AI439" s="256"/>
      <c r="AJ439" s="256"/>
      <c r="AK439" s="256"/>
      <c r="AL439" s="256"/>
      <c r="AM439" s="256"/>
      <c r="AN439" s="256"/>
      <c r="CU439" s="446"/>
      <c r="CV439" s="446"/>
      <c r="CW439" s="446"/>
      <c r="DH439" s="446"/>
      <c r="DI439" s="446"/>
      <c r="DJ439" s="446"/>
      <c r="DK439" s="446"/>
      <c r="DL439" s="446"/>
      <c r="DM439" s="446"/>
      <c r="DN439" s="446"/>
      <c r="DO439" s="446"/>
      <c r="DP439" s="446"/>
      <c r="DQ439" s="446"/>
      <c r="DR439" s="446"/>
    </row>
    <row r="440" spans="1:122" s="475" customFormat="1" x14ac:dyDescent="0.2">
      <c r="A440" s="256"/>
      <c r="B440" s="256"/>
      <c r="C440" s="256"/>
      <c r="D440" s="256"/>
      <c r="E440" s="543"/>
      <c r="F440" s="256"/>
      <c r="G440" s="543"/>
      <c r="H440" s="256"/>
      <c r="I440" s="543"/>
      <c r="J440" s="256"/>
      <c r="K440" s="543"/>
      <c r="L440" s="256"/>
      <c r="M440" s="543"/>
      <c r="N440" s="256"/>
      <c r="O440" s="256"/>
      <c r="P440" s="256"/>
      <c r="Q440" s="256"/>
      <c r="R440" s="256"/>
      <c r="S440" s="543"/>
      <c r="T440" s="543"/>
      <c r="U440" s="543"/>
      <c r="V440" s="543"/>
      <c r="W440" s="543"/>
      <c r="X440" s="543"/>
      <c r="Y440" s="543"/>
      <c r="Z440" s="543"/>
      <c r="AA440" s="543"/>
      <c r="AB440" s="543"/>
      <c r="AC440" s="256"/>
      <c r="AD440" s="256"/>
      <c r="AE440" s="256"/>
      <c r="AF440" s="256"/>
      <c r="AG440" s="256"/>
      <c r="AH440" s="256"/>
      <c r="AI440" s="256"/>
      <c r="AJ440" s="256"/>
      <c r="AK440" s="256"/>
      <c r="AL440" s="256"/>
      <c r="AM440" s="256"/>
      <c r="AN440" s="256"/>
      <c r="CU440" s="446"/>
      <c r="CV440" s="446"/>
      <c r="CW440" s="446"/>
      <c r="DH440" s="446"/>
      <c r="DI440" s="446"/>
      <c r="DJ440" s="446"/>
      <c r="DK440" s="446"/>
      <c r="DL440" s="446"/>
      <c r="DM440" s="446"/>
      <c r="DN440" s="446"/>
      <c r="DO440" s="446"/>
      <c r="DP440" s="446"/>
      <c r="DQ440" s="446"/>
      <c r="DR440" s="446"/>
    </row>
    <row r="441" spans="1:122" s="475" customFormat="1" x14ac:dyDescent="0.2">
      <c r="A441" s="256"/>
      <c r="B441" s="256"/>
      <c r="C441" s="256"/>
      <c r="D441" s="256"/>
      <c r="E441" s="543"/>
      <c r="F441" s="256"/>
      <c r="G441" s="543"/>
      <c r="H441" s="256"/>
      <c r="I441" s="543"/>
      <c r="J441" s="256"/>
      <c r="K441" s="543"/>
      <c r="L441" s="256"/>
      <c r="M441" s="543"/>
      <c r="N441" s="256"/>
      <c r="O441" s="256"/>
      <c r="P441" s="256"/>
      <c r="Q441" s="256"/>
      <c r="R441" s="256"/>
      <c r="S441" s="543"/>
      <c r="T441" s="543"/>
      <c r="U441" s="543"/>
      <c r="V441" s="543"/>
      <c r="W441" s="543"/>
      <c r="X441" s="543"/>
      <c r="Y441" s="543"/>
      <c r="Z441" s="543"/>
      <c r="AA441" s="543"/>
      <c r="AB441" s="543"/>
      <c r="AC441" s="256"/>
      <c r="AD441" s="256"/>
      <c r="AE441" s="256"/>
      <c r="AF441" s="256"/>
      <c r="AG441" s="256"/>
      <c r="AH441" s="256"/>
      <c r="AI441" s="256"/>
      <c r="AJ441" s="256"/>
      <c r="AK441" s="256"/>
      <c r="AL441" s="256"/>
      <c r="AM441" s="256"/>
      <c r="AN441" s="256"/>
      <c r="CU441" s="446"/>
      <c r="CV441" s="446"/>
      <c r="CW441" s="446"/>
      <c r="DH441" s="446"/>
      <c r="DI441" s="446"/>
      <c r="DJ441" s="446"/>
      <c r="DK441" s="446"/>
      <c r="DL441" s="446"/>
      <c r="DM441" s="446"/>
      <c r="DN441" s="446"/>
      <c r="DO441" s="446"/>
      <c r="DP441" s="446"/>
      <c r="DQ441" s="446"/>
      <c r="DR441" s="446"/>
    </row>
    <row r="442" spans="1:122" s="475" customFormat="1" x14ac:dyDescent="0.2">
      <c r="A442" s="256"/>
      <c r="B442" s="256"/>
      <c r="C442" s="256"/>
      <c r="D442" s="256"/>
      <c r="E442" s="543"/>
      <c r="F442" s="256"/>
      <c r="G442" s="543"/>
      <c r="H442" s="256"/>
      <c r="I442" s="543"/>
      <c r="J442" s="256"/>
      <c r="K442" s="543"/>
      <c r="L442" s="256"/>
      <c r="M442" s="543"/>
      <c r="N442" s="256"/>
      <c r="O442" s="256"/>
      <c r="P442" s="256"/>
      <c r="Q442" s="256"/>
      <c r="R442" s="256"/>
      <c r="S442" s="543"/>
      <c r="T442" s="543"/>
      <c r="U442" s="543"/>
      <c r="V442" s="543"/>
      <c r="W442" s="543"/>
      <c r="X442" s="543"/>
      <c r="Y442" s="543"/>
      <c r="Z442" s="543"/>
      <c r="AA442" s="543"/>
      <c r="AB442" s="543"/>
      <c r="AC442" s="256"/>
      <c r="AD442" s="256"/>
      <c r="AE442" s="256"/>
      <c r="AF442" s="256"/>
      <c r="AG442" s="256"/>
      <c r="AH442" s="256"/>
      <c r="AI442" s="256"/>
      <c r="AJ442" s="256"/>
      <c r="AK442" s="256"/>
      <c r="AL442" s="256"/>
      <c r="AM442" s="256"/>
      <c r="AN442" s="256"/>
      <c r="CU442" s="446"/>
      <c r="CV442" s="446"/>
      <c r="CW442" s="446"/>
      <c r="DH442" s="446"/>
      <c r="DI442" s="446"/>
      <c r="DJ442" s="446"/>
      <c r="DK442" s="446"/>
      <c r="DL442" s="446"/>
      <c r="DM442" s="446"/>
      <c r="DN442" s="446"/>
      <c r="DO442" s="446"/>
      <c r="DP442" s="446"/>
      <c r="DQ442" s="446"/>
      <c r="DR442" s="446"/>
    </row>
    <row r="443" spans="1:122" s="475" customFormat="1" x14ac:dyDescent="0.2">
      <c r="A443" s="256"/>
      <c r="B443" s="256"/>
      <c r="C443" s="256"/>
      <c r="D443" s="256"/>
      <c r="E443" s="543"/>
      <c r="F443" s="256"/>
      <c r="G443" s="543"/>
      <c r="H443" s="256"/>
      <c r="I443" s="543"/>
      <c r="J443" s="256"/>
      <c r="K443" s="543"/>
      <c r="L443" s="256"/>
      <c r="M443" s="543"/>
      <c r="N443" s="256"/>
      <c r="O443" s="256"/>
      <c r="P443" s="256"/>
      <c r="Q443" s="256"/>
      <c r="R443" s="256"/>
      <c r="S443" s="543"/>
      <c r="T443" s="543"/>
      <c r="U443" s="543"/>
      <c r="V443" s="543"/>
      <c r="W443" s="543"/>
      <c r="X443" s="543"/>
      <c r="Y443" s="543"/>
      <c r="Z443" s="543"/>
      <c r="AA443" s="543"/>
      <c r="AB443" s="543"/>
      <c r="AC443" s="256"/>
      <c r="AD443" s="256"/>
      <c r="AE443" s="256"/>
      <c r="AF443" s="256"/>
      <c r="AG443" s="256"/>
      <c r="AH443" s="256"/>
      <c r="AI443" s="256"/>
      <c r="AJ443" s="256"/>
      <c r="AK443" s="256"/>
      <c r="AL443" s="256"/>
      <c r="AM443" s="256"/>
      <c r="AN443" s="256"/>
      <c r="CU443" s="446"/>
      <c r="CV443" s="446"/>
      <c r="CW443" s="446"/>
      <c r="DH443" s="446"/>
      <c r="DI443" s="446"/>
      <c r="DJ443" s="446"/>
      <c r="DK443" s="446"/>
      <c r="DL443" s="446"/>
      <c r="DM443" s="446"/>
      <c r="DN443" s="446"/>
      <c r="DO443" s="446"/>
      <c r="DP443" s="446"/>
      <c r="DQ443" s="446"/>
      <c r="DR443" s="446"/>
    </row>
    <row r="444" spans="1:122" x14ac:dyDescent="0.2">
      <c r="B444" s="219"/>
      <c r="C444" s="219"/>
      <c r="D444" s="219"/>
      <c r="E444" s="456"/>
      <c r="F444" s="219"/>
      <c r="G444" s="456"/>
      <c r="H444" s="219"/>
      <c r="I444" s="456"/>
      <c r="J444" s="219"/>
      <c r="K444" s="456"/>
      <c r="L444" s="219"/>
      <c r="M444" s="456"/>
      <c r="N444" s="219"/>
      <c r="O444" s="219"/>
      <c r="P444" s="219"/>
      <c r="Q444" s="219"/>
      <c r="AS444" s="222"/>
    </row>
    <row r="445" spans="1:122" x14ac:dyDescent="0.2">
      <c r="B445" s="219"/>
      <c r="C445" s="219"/>
      <c r="D445" s="219"/>
      <c r="E445" s="456"/>
      <c r="F445" s="219"/>
      <c r="G445" s="456"/>
      <c r="H445" s="219"/>
      <c r="I445" s="456"/>
      <c r="J445" s="219"/>
      <c r="K445" s="456"/>
      <c r="L445" s="219"/>
      <c r="M445" s="456"/>
      <c r="N445" s="219"/>
      <c r="O445" s="219"/>
      <c r="P445" s="219"/>
      <c r="Q445" s="219"/>
    </row>
    <row r="446" spans="1:122" x14ac:dyDescent="0.2">
      <c r="B446" s="219"/>
      <c r="C446" s="219"/>
      <c r="D446" s="219"/>
      <c r="E446" s="456"/>
      <c r="F446" s="219"/>
      <c r="G446" s="456"/>
      <c r="H446" s="219"/>
      <c r="I446" s="456"/>
      <c r="J446" s="219"/>
      <c r="K446" s="456"/>
      <c r="L446" s="219"/>
      <c r="M446" s="456"/>
      <c r="N446" s="219"/>
      <c r="O446" s="219"/>
      <c r="P446" s="219"/>
      <c r="Q446" s="219"/>
    </row>
    <row r="447" spans="1:122" x14ac:dyDescent="0.2">
      <c r="B447" s="219"/>
      <c r="C447" s="219"/>
      <c r="D447" s="219"/>
      <c r="E447" s="456"/>
      <c r="F447" s="219"/>
      <c r="G447" s="456"/>
      <c r="H447" s="219"/>
      <c r="I447" s="456"/>
      <c r="J447" s="219"/>
      <c r="K447" s="456"/>
      <c r="L447" s="219"/>
      <c r="M447" s="456"/>
      <c r="N447" s="219"/>
      <c r="O447" s="219"/>
      <c r="P447" s="219"/>
      <c r="Q447" s="219"/>
    </row>
    <row r="448" spans="1:122" x14ac:dyDescent="0.2">
      <c r="B448" s="219"/>
      <c r="C448" s="219"/>
      <c r="D448" s="219"/>
      <c r="E448" s="456"/>
      <c r="F448" s="219"/>
      <c r="G448" s="456"/>
      <c r="H448" s="219"/>
      <c r="I448" s="456"/>
      <c r="J448" s="219"/>
      <c r="K448" s="456"/>
      <c r="L448" s="219"/>
      <c r="M448" s="456"/>
      <c r="N448" s="219"/>
      <c r="O448" s="219"/>
      <c r="P448" s="219"/>
      <c r="Q448" s="219"/>
    </row>
    <row r="449" spans="2:17" x14ac:dyDescent="0.2">
      <c r="B449" s="219"/>
      <c r="C449" s="219"/>
      <c r="D449" s="219"/>
      <c r="E449" s="456"/>
      <c r="F449" s="219"/>
      <c r="G449" s="456"/>
      <c r="H449" s="219"/>
      <c r="I449" s="456"/>
      <c r="J449" s="219"/>
      <c r="K449" s="456"/>
      <c r="L449" s="219"/>
      <c r="M449" s="456"/>
      <c r="N449" s="219"/>
      <c r="O449" s="219"/>
      <c r="P449" s="219"/>
      <c r="Q449" s="219"/>
    </row>
    <row r="450" spans="2:17" x14ac:dyDescent="0.2">
      <c r="B450" s="219"/>
      <c r="C450" s="219"/>
      <c r="D450" s="219"/>
      <c r="E450" s="456"/>
      <c r="F450" s="219"/>
      <c r="G450" s="456"/>
      <c r="H450" s="219"/>
      <c r="I450" s="456"/>
      <c r="J450" s="219"/>
      <c r="K450" s="456"/>
      <c r="L450" s="219"/>
      <c r="M450" s="456"/>
      <c r="N450" s="219"/>
      <c r="O450" s="219"/>
      <c r="P450" s="219"/>
      <c r="Q450" s="219"/>
    </row>
    <row r="451" spans="2:17" x14ac:dyDescent="0.2">
      <c r="B451" s="219"/>
      <c r="C451" s="219"/>
      <c r="D451" s="219"/>
      <c r="E451" s="456"/>
      <c r="F451" s="219"/>
      <c r="G451" s="456"/>
      <c r="H451" s="219"/>
      <c r="I451" s="456"/>
      <c r="J451" s="219"/>
      <c r="K451" s="456"/>
      <c r="L451" s="219"/>
      <c r="M451" s="456"/>
      <c r="N451" s="219"/>
      <c r="O451" s="219"/>
      <c r="P451" s="219"/>
      <c r="Q451" s="219"/>
    </row>
    <row r="452" spans="2:17" x14ac:dyDescent="0.2">
      <c r="B452" s="219"/>
      <c r="C452" s="219"/>
      <c r="D452" s="219"/>
      <c r="E452" s="456"/>
      <c r="F452" s="219"/>
      <c r="G452" s="456"/>
      <c r="H452" s="219"/>
      <c r="I452" s="456"/>
      <c r="J452" s="219"/>
      <c r="K452" s="456"/>
      <c r="L452" s="219"/>
      <c r="M452" s="456"/>
      <c r="N452" s="219"/>
      <c r="O452" s="219"/>
      <c r="P452" s="219"/>
      <c r="Q452" s="219"/>
    </row>
    <row r="453" spans="2:17" x14ac:dyDescent="0.2">
      <c r="B453" s="219"/>
      <c r="C453" s="219"/>
      <c r="D453" s="219"/>
      <c r="E453" s="456"/>
      <c r="F453" s="219"/>
      <c r="G453" s="456"/>
      <c r="H453" s="219"/>
      <c r="I453" s="456"/>
      <c r="J453" s="219"/>
      <c r="K453" s="456"/>
      <c r="L453" s="219"/>
      <c r="M453" s="456"/>
      <c r="N453" s="219"/>
      <c r="O453" s="219"/>
      <c r="P453" s="219"/>
      <c r="Q453" s="219"/>
    </row>
    <row r="454" spans="2:17" x14ac:dyDescent="0.2">
      <c r="B454" s="219"/>
      <c r="C454" s="219"/>
      <c r="D454" s="219"/>
      <c r="E454" s="456"/>
      <c r="F454" s="219"/>
      <c r="G454" s="456"/>
      <c r="H454" s="219"/>
      <c r="I454" s="456"/>
      <c r="J454" s="219"/>
      <c r="K454" s="456"/>
      <c r="L454" s="219"/>
      <c r="M454" s="456"/>
      <c r="N454" s="219"/>
      <c r="O454" s="219"/>
      <c r="P454" s="219"/>
      <c r="Q454" s="219"/>
    </row>
    <row r="455" spans="2:17" x14ac:dyDescent="0.2">
      <c r="B455" s="219"/>
      <c r="C455" s="219"/>
      <c r="D455" s="219"/>
      <c r="E455" s="456"/>
      <c r="F455" s="219"/>
      <c r="G455" s="456"/>
      <c r="H455" s="219"/>
      <c r="I455" s="456"/>
      <c r="J455" s="219"/>
      <c r="K455" s="456"/>
      <c r="L455" s="219"/>
      <c r="M455" s="456"/>
      <c r="N455" s="219"/>
      <c r="O455" s="219"/>
      <c r="P455" s="219"/>
      <c r="Q455" s="219"/>
    </row>
    <row r="456" spans="2:17" x14ac:dyDescent="0.2">
      <c r="B456" s="219"/>
      <c r="C456" s="219"/>
      <c r="D456" s="219"/>
      <c r="E456" s="456"/>
      <c r="F456" s="219"/>
      <c r="G456" s="456"/>
      <c r="H456" s="219"/>
      <c r="I456" s="456"/>
      <c r="J456" s="219"/>
      <c r="K456" s="456"/>
      <c r="L456" s="219"/>
      <c r="M456" s="456"/>
      <c r="N456" s="219"/>
      <c r="O456" s="219"/>
      <c r="P456" s="219"/>
      <c r="Q456" s="219"/>
    </row>
    <row r="457" spans="2:17" x14ac:dyDescent="0.2">
      <c r="B457" s="219"/>
      <c r="C457" s="219"/>
      <c r="D457" s="219"/>
      <c r="E457" s="456"/>
      <c r="F457" s="219"/>
      <c r="G457" s="456"/>
      <c r="H457" s="219"/>
      <c r="I457" s="456"/>
      <c r="J457" s="219"/>
      <c r="K457" s="456"/>
      <c r="L457" s="219"/>
      <c r="M457" s="456"/>
      <c r="N457" s="219"/>
      <c r="O457" s="219"/>
      <c r="P457" s="219"/>
      <c r="Q457" s="219"/>
    </row>
    <row r="458" spans="2:17" x14ac:dyDescent="0.2">
      <c r="B458" s="219"/>
      <c r="C458" s="219"/>
      <c r="D458" s="219"/>
      <c r="E458" s="456"/>
      <c r="F458" s="219"/>
      <c r="G458" s="456"/>
      <c r="H458" s="219"/>
      <c r="I458" s="456"/>
      <c r="J458" s="219"/>
      <c r="K458" s="456"/>
      <c r="L458" s="219"/>
      <c r="M458" s="456"/>
      <c r="N458" s="219"/>
      <c r="O458" s="219"/>
      <c r="P458" s="219"/>
      <c r="Q458" s="219"/>
    </row>
    <row r="459" spans="2:17" x14ac:dyDescent="0.2">
      <c r="B459" s="219"/>
      <c r="C459" s="219"/>
      <c r="D459" s="219"/>
      <c r="E459" s="456"/>
      <c r="F459" s="219"/>
      <c r="G459" s="456"/>
      <c r="H459" s="219"/>
      <c r="I459" s="456"/>
      <c r="J459" s="219"/>
      <c r="K459" s="456"/>
      <c r="L459" s="219"/>
      <c r="M459" s="456"/>
      <c r="N459" s="219"/>
      <c r="O459" s="219"/>
      <c r="P459" s="219"/>
      <c r="Q459" s="219"/>
    </row>
    <row r="460" spans="2:17" x14ac:dyDescent="0.2">
      <c r="B460" s="219"/>
      <c r="C460" s="219"/>
      <c r="D460" s="219"/>
      <c r="E460" s="456"/>
      <c r="F460" s="219"/>
      <c r="G460" s="456"/>
      <c r="H460" s="219"/>
      <c r="I460" s="456"/>
      <c r="J460" s="219"/>
      <c r="K460" s="456"/>
      <c r="L460" s="219"/>
      <c r="M460" s="456"/>
      <c r="N460" s="219"/>
      <c r="O460" s="219"/>
      <c r="P460" s="219"/>
      <c r="Q460" s="219"/>
    </row>
    <row r="461" spans="2:17" x14ac:dyDescent="0.2">
      <c r="B461" s="219"/>
      <c r="C461" s="219"/>
      <c r="D461" s="219"/>
      <c r="E461" s="456"/>
      <c r="F461" s="219"/>
      <c r="G461" s="456"/>
      <c r="H461" s="219"/>
      <c r="I461" s="456"/>
      <c r="J461" s="219"/>
      <c r="K461" s="456"/>
      <c r="L461" s="219"/>
      <c r="M461" s="456"/>
      <c r="N461" s="219"/>
      <c r="O461" s="219"/>
      <c r="P461" s="219"/>
      <c r="Q461" s="219"/>
    </row>
    <row r="462" spans="2:17" x14ac:dyDescent="0.2">
      <c r="B462" s="219"/>
      <c r="C462" s="219"/>
      <c r="D462" s="219"/>
      <c r="E462" s="456"/>
      <c r="F462" s="219"/>
      <c r="G462" s="456"/>
      <c r="H462" s="219"/>
      <c r="I462" s="456"/>
      <c r="J462" s="219"/>
      <c r="K462" s="456"/>
      <c r="L462" s="219"/>
      <c r="M462" s="456"/>
      <c r="N462" s="219"/>
      <c r="O462" s="219"/>
      <c r="P462" s="219"/>
      <c r="Q462" s="219"/>
    </row>
    <row r="463" spans="2:17" x14ac:dyDescent="0.2">
      <c r="B463" s="219"/>
      <c r="C463" s="219"/>
      <c r="D463" s="219"/>
      <c r="E463" s="456"/>
      <c r="F463" s="219"/>
      <c r="G463" s="456"/>
      <c r="H463" s="219"/>
      <c r="I463" s="456"/>
      <c r="J463" s="219"/>
      <c r="K463" s="456"/>
      <c r="L463" s="219"/>
      <c r="M463" s="456"/>
      <c r="N463" s="219"/>
      <c r="O463" s="219"/>
      <c r="P463" s="219"/>
      <c r="Q463" s="219"/>
    </row>
    <row r="464" spans="2:17" x14ac:dyDescent="0.2">
      <c r="B464" s="219"/>
      <c r="C464" s="219"/>
      <c r="D464" s="219"/>
      <c r="E464" s="456"/>
      <c r="F464" s="219"/>
      <c r="G464" s="456"/>
      <c r="H464" s="219"/>
      <c r="I464" s="456"/>
      <c r="J464" s="219"/>
      <c r="K464" s="456"/>
      <c r="L464" s="219"/>
      <c r="M464" s="456"/>
      <c r="N464" s="219"/>
      <c r="O464" s="219"/>
      <c r="P464" s="219"/>
      <c r="Q464" s="219"/>
    </row>
    <row r="465" spans="2:17" x14ac:dyDescent="0.2">
      <c r="B465" s="219"/>
      <c r="C465" s="219"/>
      <c r="D465" s="219"/>
      <c r="E465" s="456"/>
      <c r="F465" s="219"/>
      <c r="G465" s="456"/>
      <c r="H465" s="219"/>
      <c r="I465" s="456"/>
      <c r="J465" s="219"/>
      <c r="K465" s="456"/>
      <c r="L465" s="219"/>
      <c r="M465" s="456"/>
      <c r="N465" s="219"/>
      <c r="O465" s="219"/>
      <c r="P465" s="219"/>
      <c r="Q465" s="219"/>
    </row>
    <row r="466" spans="2:17" x14ac:dyDescent="0.2">
      <c r="B466" s="219"/>
      <c r="C466" s="219"/>
      <c r="D466" s="219"/>
      <c r="E466" s="456"/>
      <c r="F466" s="219"/>
      <c r="G466" s="456"/>
      <c r="H466" s="219"/>
      <c r="I466" s="456"/>
      <c r="J466" s="219"/>
      <c r="K466" s="456"/>
      <c r="L466" s="219"/>
      <c r="M466" s="456"/>
      <c r="N466" s="219"/>
      <c r="O466" s="219"/>
      <c r="P466" s="219"/>
      <c r="Q466" s="219"/>
    </row>
    <row r="467" spans="2:17" x14ac:dyDescent="0.2">
      <c r="B467" s="219"/>
      <c r="C467" s="219"/>
      <c r="D467" s="219"/>
      <c r="E467" s="456"/>
      <c r="F467" s="219"/>
      <c r="G467" s="456"/>
      <c r="H467" s="219"/>
      <c r="I467" s="456"/>
      <c r="J467" s="219"/>
      <c r="K467" s="456"/>
      <c r="L467" s="219"/>
      <c r="M467" s="456"/>
      <c r="N467" s="219"/>
      <c r="O467" s="219"/>
      <c r="P467" s="219"/>
      <c r="Q467" s="219"/>
    </row>
    <row r="468" spans="2:17" x14ac:dyDescent="0.2">
      <c r="B468" s="219"/>
      <c r="C468" s="219"/>
      <c r="D468" s="219"/>
      <c r="E468" s="456"/>
      <c r="F468" s="219"/>
      <c r="G468" s="456"/>
      <c r="H468" s="219"/>
      <c r="I468" s="456"/>
      <c r="J468" s="219"/>
      <c r="K468" s="456"/>
      <c r="L468" s="219"/>
      <c r="M468" s="456"/>
      <c r="N468" s="219"/>
      <c r="O468" s="219"/>
      <c r="P468" s="219"/>
      <c r="Q468" s="219"/>
    </row>
    <row r="469" spans="2:17" x14ac:dyDescent="0.2">
      <c r="B469" s="219"/>
      <c r="C469" s="219"/>
      <c r="D469" s="219"/>
      <c r="E469" s="456"/>
      <c r="F469" s="219"/>
      <c r="G469" s="456"/>
      <c r="H469" s="219"/>
      <c r="I469" s="456"/>
      <c r="J469" s="219"/>
      <c r="K469" s="456"/>
      <c r="L469" s="219"/>
      <c r="M469" s="456"/>
      <c r="N469" s="219"/>
      <c r="O469" s="219"/>
      <c r="P469" s="219"/>
      <c r="Q469" s="219"/>
    </row>
    <row r="470" spans="2:17" x14ac:dyDescent="0.2">
      <c r="B470" s="219"/>
      <c r="C470" s="219"/>
      <c r="D470" s="219"/>
      <c r="E470" s="456"/>
      <c r="F470" s="219"/>
      <c r="G470" s="456"/>
      <c r="H470" s="219"/>
      <c r="I470" s="456"/>
      <c r="J470" s="219"/>
      <c r="K470" s="456"/>
      <c r="L470" s="219"/>
      <c r="M470" s="456"/>
      <c r="N470" s="219"/>
      <c r="O470" s="219"/>
      <c r="P470" s="219"/>
      <c r="Q470" s="219"/>
    </row>
    <row r="471" spans="2:17" x14ac:dyDescent="0.2">
      <c r="B471" s="219"/>
      <c r="C471" s="219"/>
      <c r="D471" s="219"/>
      <c r="E471" s="456"/>
      <c r="F471" s="219"/>
      <c r="G471" s="456"/>
      <c r="H471" s="219"/>
      <c r="I471" s="456"/>
      <c r="J471" s="219"/>
      <c r="K471" s="456"/>
      <c r="L471" s="219"/>
      <c r="M471" s="456"/>
      <c r="N471" s="219"/>
      <c r="O471" s="219"/>
      <c r="P471" s="219"/>
      <c r="Q471" s="219"/>
    </row>
    <row r="472" spans="2:17" x14ac:dyDescent="0.2">
      <c r="B472" s="219"/>
      <c r="C472" s="219"/>
      <c r="D472" s="219"/>
      <c r="E472" s="456"/>
      <c r="F472" s="219"/>
      <c r="G472" s="456"/>
      <c r="H472" s="219"/>
      <c r="I472" s="456"/>
      <c r="J472" s="219"/>
      <c r="K472" s="456"/>
      <c r="L472" s="219"/>
      <c r="M472" s="456"/>
      <c r="N472" s="219"/>
      <c r="O472" s="219"/>
      <c r="P472" s="219"/>
      <c r="Q472" s="219"/>
    </row>
    <row r="473" spans="2:17" x14ac:dyDescent="0.2">
      <c r="B473" s="219"/>
      <c r="C473" s="219"/>
      <c r="D473" s="219"/>
      <c r="E473" s="456"/>
      <c r="F473" s="219"/>
      <c r="G473" s="456"/>
      <c r="H473" s="219"/>
      <c r="I473" s="456"/>
      <c r="J473" s="219"/>
      <c r="K473" s="456"/>
      <c r="L473" s="219"/>
      <c r="M473" s="456"/>
      <c r="N473" s="219"/>
      <c r="O473" s="219"/>
      <c r="P473" s="219"/>
      <c r="Q473" s="219"/>
    </row>
    <row r="474" spans="2:17" x14ac:dyDescent="0.2">
      <c r="B474" s="219"/>
      <c r="C474" s="219"/>
      <c r="D474" s="219"/>
      <c r="E474" s="456"/>
      <c r="F474" s="219"/>
      <c r="G474" s="456"/>
      <c r="H474" s="219"/>
      <c r="I474" s="456"/>
      <c r="J474" s="219"/>
      <c r="K474" s="456"/>
      <c r="L474" s="219"/>
      <c r="M474" s="456"/>
      <c r="N474" s="219"/>
      <c r="O474" s="219"/>
      <c r="P474" s="219"/>
      <c r="Q474" s="219"/>
    </row>
    <row r="475" spans="2:17" x14ac:dyDescent="0.2">
      <c r="B475" s="219"/>
      <c r="C475" s="219"/>
      <c r="D475" s="219"/>
      <c r="E475" s="456"/>
      <c r="F475" s="219"/>
      <c r="G475" s="456"/>
      <c r="H475" s="219"/>
      <c r="I475" s="456"/>
      <c r="J475" s="219"/>
      <c r="K475" s="456"/>
      <c r="L475" s="219"/>
      <c r="M475" s="456"/>
      <c r="N475" s="219"/>
      <c r="O475" s="219"/>
      <c r="P475" s="219"/>
      <c r="Q475" s="219"/>
    </row>
    <row r="476" spans="2:17" x14ac:dyDescent="0.2">
      <c r="B476" s="219"/>
      <c r="C476" s="219"/>
      <c r="D476" s="219"/>
      <c r="E476" s="456"/>
      <c r="F476" s="219"/>
      <c r="G476" s="456"/>
      <c r="H476" s="219"/>
      <c r="I476" s="456"/>
      <c r="J476" s="219"/>
      <c r="K476" s="456"/>
      <c r="L476" s="219"/>
      <c r="M476" s="456"/>
      <c r="N476" s="219"/>
      <c r="O476" s="219"/>
      <c r="P476" s="219"/>
      <c r="Q476" s="219"/>
    </row>
    <row r="477" spans="2:17" x14ac:dyDescent="0.2">
      <c r="B477" s="219"/>
      <c r="C477" s="219"/>
      <c r="D477" s="219"/>
      <c r="E477" s="456"/>
      <c r="F477" s="219"/>
      <c r="G477" s="456"/>
      <c r="H477" s="219"/>
      <c r="I477" s="456"/>
      <c r="J477" s="219"/>
      <c r="K477" s="456"/>
      <c r="L477" s="219"/>
      <c r="M477" s="456"/>
      <c r="N477" s="219"/>
      <c r="O477" s="219"/>
      <c r="P477" s="219"/>
      <c r="Q477" s="219"/>
    </row>
    <row r="478" spans="2:17" x14ac:dyDescent="0.2">
      <c r="B478" s="219"/>
      <c r="C478" s="219"/>
      <c r="D478" s="219"/>
      <c r="E478" s="456"/>
      <c r="F478" s="219"/>
      <c r="G478" s="456"/>
      <c r="H478" s="219"/>
      <c r="I478" s="456"/>
      <c r="J478" s="219"/>
      <c r="K478" s="456"/>
      <c r="L478" s="219"/>
      <c r="M478" s="456"/>
      <c r="N478" s="219"/>
      <c r="O478" s="219"/>
      <c r="P478" s="219"/>
      <c r="Q478" s="219"/>
    </row>
    <row r="479" spans="2:17" x14ac:dyDescent="0.2">
      <c r="B479" s="219"/>
      <c r="C479" s="219"/>
      <c r="D479" s="219"/>
      <c r="E479" s="456"/>
      <c r="F479" s="219"/>
      <c r="G479" s="456"/>
      <c r="H479" s="219"/>
      <c r="I479" s="456"/>
      <c r="J479" s="219"/>
      <c r="K479" s="456"/>
      <c r="L479" s="219"/>
      <c r="M479" s="456"/>
      <c r="N479" s="219"/>
      <c r="O479" s="219"/>
      <c r="P479" s="219"/>
      <c r="Q479" s="219"/>
    </row>
    <row r="480" spans="2:17" x14ac:dyDescent="0.2">
      <c r="B480" s="219"/>
      <c r="C480" s="219"/>
      <c r="D480" s="219"/>
      <c r="E480" s="456"/>
      <c r="F480" s="219"/>
      <c r="G480" s="456"/>
      <c r="H480" s="219"/>
      <c r="I480" s="456"/>
      <c r="J480" s="219"/>
      <c r="K480" s="456"/>
      <c r="L480" s="219"/>
      <c r="M480" s="456"/>
      <c r="N480" s="219"/>
      <c r="O480" s="219"/>
      <c r="P480" s="219"/>
      <c r="Q480" s="219"/>
    </row>
    <row r="481" spans="2:17" x14ac:dyDescent="0.2">
      <c r="B481" s="219"/>
      <c r="C481" s="219"/>
      <c r="D481" s="219"/>
      <c r="E481" s="456"/>
      <c r="F481" s="219"/>
      <c r="G481" s="456"/>
      <c r="H481" s="219"/>
      <c r="I481" s="456"/>
      <c r="J481" s="219"/>
      <c r="K481" s="456"/>
      <c r="L481" s="219"/>
      <c r="M481" s="456"/>
      <c r="N481" s="219"/>
      <c r="O481" s="219"/>
      <c r="P481" s="219"/>
      <c r="Q481" s="219"/>
    </row>
    <row r="482" spans="2:17" x14ac:dyDescent="0.2">
      <c r="B482" s="219"/>
      <c r="C482" s="219"/>
      <c r="D482" s="219"/>
      <c r="E482" s="456"/>
      <c r="F482" s="219"/>
      <c r="G482" s="456"/>
      <c r="H482" s="219"/>
      <c r="I482" s="456"/>
      <c r="J482" s="219"/>
      <c r="K482" s="456"/>
      <c r="L482" s="219"/>
      <c r="M482" s="456"/>
      <c r="N482" s="219"/>
      <c r="O482" s="219"/>
      <c r="P482" s="219"/>
      <c r="Q482" s="219"/>
    </row>
    <row r="483" spans="2:17" x14ac:dyDescent="0.2">
      <c r="B483" s="219"/>
      <c r="C483" s="219"/>
      <c r="D483" s="219"/>
      <c r="E483" s="456"/>
      <c r="F483" s="219"/>
      <c r="G483" s="456"/>
      <c r="H483" s="219"/>
      <c r="I483" s="456"/>
      <c r="J483" s="219"/>
      <c r="K483" s="456"/>
      <c r="L483" s="219"/>
      <c r="M483" s="456"/>
      <c r="N483" s="219"/>
      <c r="O483" s="219"/>
      <c r="P483" s="219"/>
      <c r="Q483" s="219"/>
    </row>
    <row r="484" spans="2:17" x14ac:dyDescent="0.2">
      <c r="B484" s="219"/>
      <c r="C484" s="219"/>
      <c r="D484" s="219"/>
      <c r="E484" s="456"/>
      <c r="F484" s="219"/>
      <c r="G484" s="456"/>
      <c r="H484" s="219"/>
      <c r="I484" s="456"/>
      <c r="J484" s="219"/>
      <c r="K484" s="456"/>
      <c r="L484" s="219"/>
      <c r="M484" s="456"/>
      <c r="N484" s="219"/>
      <c r="O484" s="219"/>
      <c r="P484" s="219"/>
      <c r="Q484" s="219"/>
    </row>
    <row r="485" spans="2:17" x14ac:dyDescent="0.2">
      <c r="B485" s="219"/>
      <c r="C485" s="219"/>
      <c r="D485" s="219"/>
      <c r="E485" s="456"/>
      <c r="F485" s="219"/>
      <c r="G485" s="456"/>
      <c r="H485" s="219"/>
      <c r="I485" s="456"/>
      <c r="J485" s="219"/>
      <c r="K485" s="456"/>
      <c r="L485" s="219"/>
      <c r="M485" s="456"/>
      <c r="N485" s="219"/>
      <c r="O485" s="219"/>
      <c r="P485" s="219"/>
      <c r="Q485" s="219"/>
    </row>
    <row r="486" spans="2:17" x14ac:dyDescent="0.2">
      <c r="B486" s="219"/>
      <c r="C486" s="219"/>
      <c r="D486" s="219"/>
      <c r="E486" s="456"/>
      <c r="F486" s="219"/>
      <c r="G486" s="456"/>
      <c r="H486" s="219"/>
      <c r="I486" s="456"/>
      <c r="J486" s="219"/>
      <c r="K486" s="456"/>
      <c r="L486" s="219"/>
      <c r="M486" s="456"/>
      <c r="N486" s="219"/>
      <c r="O486" s="219"/>
      <c r="P486" s="219"/>
      <c r="Q486" s="219"/>
    </row>
    <row r="487" spans="2:17" x14ac:dyDescent="0.2">
      <c r="B487" s="219"/>
      <c r="C487" s="219"/>
      <c r="D487" s="219"/>
      <c r="E487" s="456"/>
      <c r="F487" s="219"/>
      <c r="G487" s="456"/>
      <c r="H487" s="219"/>
      <c r="I487" s="456"/>
      <c r="J487" s="219"/>
      <c r="K487" s="456"/>
      <c r="L487" s="219"/>
      <c r="M487" s="456"/>
      <c r="N487" s="219"/>
      <c r="O487" s="219"/>
      <c r="P487" s="219"/>
      <c r="Q487" s="219"/>
    </row>
    <row r="488" spans="2:17" x14ac:dyDescent="0.2">
      <c r="B488" s="219"/>
      <c r="C488" s="219"/>
      <c r="D488" s="219"/>
      <c r="E488" s="456"/>
      <c r="F488" s="219"/>
      <c r="G488" s="456"/>
      <c r="H488" s="219"/>
      <c r="I488" s="456"/>
      <c r="J488" s="219"/>
      <c r="K488" s="456"/>
      <c r="L488" s="219"/>
      <c r="M488" s="456"/>
      <c r="N488" s="219"/>
      <c r="O488" s="219"/>
      <c r="P488" s="219"/>
      <c r="Q488" s="219"/>
    </row>
    <row r="489" spans="2:17" x14ac:dyDescent="0.2">
      <c r="B489" s="219"/>
      <c r="C489" s="219"/>
      <c r="D489" s="219"/>
      <c r="E489" s="456"/>
      <c r="F489" s="219"/>
      <c r="G489" s="456"/>
      <c r="H489" s="219"/>
      <c r="I489" s="456"/>
      <c r="J489" s="219"/>
      <c r="K489" s="456"/>
      <c r="L489" s="219"/>
      <c r="M489" s="456"/>
      <c r="N489" s="219"/>
      <c r="O489" s="219"/>
      <c r="P489" s="219"/>
      <c r="Q489" s="219"/>
    </row>
    <row r="490" spans="2:17" x14ac:dyDescent="0.2">
      <c r="B490" s="219"/>
      <c r="C490" s="219"/>
      <c r="D490" s="219"/>
      <c r="E490" s="456"/>
      <c r="F490" s="219"/>
      <c r="G490" s="456"/>
      <c r="H490" s="219"/>
      <c r="I490" s="456"/>
      <c r="J490" s="219"/>
      <c r="K490" s="456"/>
      <c r="L490" s="219"/>
      <c r="M490" s="456"/>
      <c r="N490" s="219"/>
      <c r="O490" s="219"/>
      <c r="P490" s="219"/>
      <c r="Q490" s="219"/>
    </row>
    <row r="491" spans="2:17" x14ac:dyDescent="0.2">
      <c r="B491" s="219"/>
      <c r="C491" s="219"/>
      <c r="D491" s="219"/>
      <c r="E491" s="456"/>
      <c r="F491" s="219"/>
      <c r="G491" s="456"/>
      <c r="H491" s="219"/>
      <c r="I491" s="456"/>
      <c r="J491" s="219"/>
      <c r="K491" s="456"/>
      <c r="L491" s="219"/>
      <c r="M491" s="456"/>
      <c r="N491" s="219"/>
      <c r="O491" s="219"/>
      <c r="P491" s="219"/>
      <c r="Q491" s="219"/>
    </row>
    <row r="492" spans="2:17" x14ac:dyDescent="0.2">
      <c r="B492" s="219"/>
      <c r="C492" s="219"/>
      <c r="D492" s="219"/>
      <c r="E492" s="456"/>
      <c r="F492" s="219"/>
      <c r="G492" s="456"/>
      <c r="H492" s="219"/>
      <c r="I492" s="456"/>
      <c r="J492" s="219"/>
      <c r="K492" s="456"/>
      <c r="L492" s="219"/>
      <c r="M492" s="456"/>
      <c r="N492" s="219"/>
      <c r="O492" s="219"/>
      <c r="P492" s="219"/>
      <c r="Q492" s="219"/>
    </row>
    <row r="493" spans="2:17" x14ac:dyDescent="0.2">
      <c r="B493" s="219"/>
      <c r="C493" s="219"/>
      <c r="D493" s="219"/>
      <c r="E493" s="456"/>
      <c r="F493" s="219"/>
      <c r="G493" s="456"/>
      <c r="H493" s="219"/>
      <c r="I493" s="456"/>
      <c r="J493" s="219"/>
      <c r="K493" s="456"/>
      <c r="L493" s="219"/>
      <c r="M493" s="456"/>
      <c r="N493" s="219"/>
      <c r="O493" s="219"/>
      <c r="P493" s="219"/>
      <c r="Q493" s="219"/>
    </row>
    <row r="494" spans="2:17" x14ac:dyDescent="0.2">
      <c r="B494" s="219"/>
      <c r="C494" s="219"/>
      <c r="D494" s="219"/>
      <c r="E494" s="456"/>
      <c r="F494" s="219"/>
      <c r="G494" s="456"/>
      <c r="H494" s="219"/>
      <c r="I494" s="456"/>
      <c r="J494" s="219"/>
      <c r="K494" s="456"/>
      <c r="L494" s="219"/>
      <c r="M494" s="456"/>
      <c r="N494" s="219"/>
      <c r="O494" s="219"/>
      <c r="P494" s="219"/>
      <c r="Q494" s="219"/>
    </row>
    <row r="495" spans="2:17" x14ac:dyDescent="0.2">
      <c r="B495" s="219"/>
      <c r="C495" s="219"/>
      <c r="D495" s="219"/>
      <c r="E495" s="456"/>
      <c r="F495" s="219"/>
      <c r="G495" s="456"/>
      <c r="H495" s="219"/>
      <c r="I495" s="456"/>
      <c r="J495" s="219"/>
      <c r="K495" s="456"/>
      <c r="L495" s="219"/>
      <c r="M495" s="456"/>
      <c r="N495" s="219"/>
      <c r="O495" s="219"/>
      <c r="P495" s="219"/>
      <c r="Q495" s="219"/>
    </row>
    <row r="496" spans="2:17" x14ac:dyDescent="0.2">
      <c r="B496" s="219"/>
      <c r="C496" s="219"/>
      <c r="D496" s="219"/>
      <c r="E496" s="456"/>
      <c r="F496" s="219"/>
      <c r="G496" s="456"/>
      <c r="H496" s="219"/>
      <c r="I496" s="456"/>
      <c r="J496" s="219"/>
      <c r="K496" s="456"/>
      <c r="L496" s="219"/>
      <c r="M496" s="456"/>
      <c r="N496" s="219"/>
      <c r="O496" s="219"/>
      <c r="P496" s="219"/>
      <c r="Q496" s="219"/>
    </row>
    <row r="497" spans="2:17" x14ac:dyDescent="0.2">
      <c r="B497" s="219"/>
      <c r="C497" s="219"/>
      <c r="D497" s="219"/>
      <c r="E497" s="456"/>
      <c r="F497" s="219"/>
      <c r="G497" s="456"/>
      <c r="H497" s="219"/>
      <c r="I497" s="456"/>
      <c r="J497" s="219"/>
      <c r="K497" s="456"/>
      <c r="L497" s="219"/>
      <c r="M497" s="456"/>
      <c r="N497" s="219"/>
      <c r="O497" s="219"/>
      <c r="P497" s="219"/>
      <c r="Q497" s="219"/>
    </row>
    <row r="498" spans="2:17" x14ac:dyDescent="0.2">
      <c r="B498" s="219"/>
      <c r="C498" s="219"/>
      <c r="D498" s="219"/>
      <c r="E498" s="456"/>
      <c r="F498" s="219"/>
      <c r="G498" s="456"/>
      <c r="H498" s="219"/>
      <c r="I498" s="456"/>
      <c r="J498" s="219"/>
      <c r="K498" s="456"/>
      <c r="L498" s="219"/>
      <c r="M498" s="456"/>
      <c r="N498" s="219"/>
      <c r="O498" s="219"/>
      <c r="P498" s="219"/>
      <c r="Q498" s="219"/>
    </row>
    <row r="499" spans="2:17" x14ac:dyDescent="0.2">
      <c r="B499" s="219"/>
      <c r="C499" s="219"/>
      <c r="D499" s="219"/>
      <c r="E499" s="456"/>
      <c r="F499" s="219"/>
      <c r="G499" s="456"/>
      <c r="H499" s="219"/>
      <c r="I499" s="456"/>
      <c r="J499" s="219"/>
      <c r="K499" s="456"/>
      <c r="L499" s="219"/>
      <c r="M499" s="456"/>
      <c r="N499" s="219"/>
      <c r="O499" s="219"/>
      <c r="P499" s="219"/>
      <c r="Q499" s="219"/>
    </row>
    <row r="500" spans="2:17" x14ac:dyDescent="0.2">
      <c r="B500" s="219"/>
      <c r="C500" s="219"/>
      <c r="D500" s="219"/>
      <c r="E500" s="456"/>
      <c r="F500" s="219"/>
      <c r="G500" s="456"/>
      <c r="H500" s="219"/>
      <c r="I500" s="456"/>
      <c r="J500" s="219"/>
      <c r="K500" s="456"/>
      <c r="L500" s="219"/>
      <c r="M500" s="456"/>
      <c r="N500" s="219"/>
      <c r="O500" s="219"/>
      <c r="P500" s="219"/>
      <c r="Q500" s="219"/>
    </row>
    <row r="501" spans="2:17" x14ac:dyDescent="0.2">
      <c r="B501" s="219"/>
      <c r="C501" s="219"/>
      <c r="D501" s="219"/>
      <c r="E501" s="456"/>
      <c r="F501" s="219"/>
      <c r="G501" s="456"/>
      <c r="H501" s="219"/>
      <c r="I501" s="456"/>
      <c r="J501" s="219"/>
      <c r="K501" s="456"/>
      <c r="L501" s="219"/>
      <c r="M501" s="456"/>
      <c r="N501" s="219"/>
      <c r="O501" s="219"/>
      <c r="P501" s="219"/>
      <c r="Q501" s="219"/>
    </row>
    <row r="502" spans="2:17" x14ac:dyDescent="0.2">
      <c r="B502" s="219"/>
      <c r="C502" s="219"/>
      <c r="D502" s="219"/>
      <c r="E502" s="456"/>
      <c r="F502" s="219"/>
      <c r="G502" s="456"/>
      <c r="H502" s="219"/>
      <c r="I502" s="456"/>
      <c r="J502" s="219"/>
      <c r="K502" s="456"/>
      <c r="L502" s="219"/>
      <c r="M502" s="456"/>
      <c r="N502" s="219"/>
      <c r="O502" s="219"/>
      <c r="P502" s="219"/>
      <c r="Q502" s="219"/>
    </row>
    <row r="503" spans="2:17" x14ac:dyDescent="0.2">
      <c r="B503" s="219"/>
      <c r="C503" s="219"/>
      <c r="D503" s="219"/>
      <c r="E503" s="456"/>
      <c r="F503" s="219"/>
      <c r="G503" s="456"/>
      <c r="H503" s="219"/>
      <c r="I503" s="456"/>
      <c r="J503" s="219"/>
      <c r="K503" s="456"/>
      <c r="L503" s="219"/>
      <c r="M503" s="456"/>
      <c r="N503" s="219"/>
      <c r="O503" s="219"/>
      <c r="P503" s="219"/>
      <c r="Q503" s="219"/>
    </row>
    <row r="504" spans="2:17" x14ac:dyDescent="0.2">
      <c r="B504" s="219"/>
      <c r="C504" s="219"/>
      <c r="D504" s="219"/>
      <c r="E504" s="456"/>
      <c r="F504" s="219"/>
      <c r="G504" s="456"/>
      <c r="H504" s="219"/>
      <c r="I504" s="456"/>
      <c r="J504" s="219"/>
      <c r="K504" s="456"/>
      <c r="L504" s="219"/>
      <c r="M504" s="456"/>
      <c r="N504" s="219"/>
      <c r="O504" s="219"/>
      <c r="P504" s="219"/>
      <c r="Q504" s="219"/>
    </row>
    <row r="505" spans="2:17" x14ac:dyDescent="0.2">
      <c r="B505" s="219"/>
      <c r="C505" s="219"/>
      <c r="D505" s="219"/>
      <c r="E505" s="456"/>
      <c r="F505" s="219"/>
      <c r="G505" s="456"/>
      <c r="H505" s="219"/>
      <c r="I505" s="456"/>
      <c r="J505" s="219"/>
      <c r="K505" s="456"/>
      <c r="L505" s="219"/>
      <c r="M505" s="456"/>
      <c r="N505" s="219"/>
      <c r="O505" s="219"/>
      <c r="P505" s="219"/>
      <c r="Q505" s="219"/>
    </row>
    <row r="506" spans="2:17" x14ac:dyDescent="0.2">
      <c r="B506" s="219"/>
      <c r="C506" s="219"/>
      <c r="D506" s="219"/>
      <c r="E506" s="456"/>
      <c r="F506" s="219"/>
      <c r="G506" s="456"/>
      <c r="H506" s="219"/>
      <c r="I506" s="456"/>
      <c r="J506" s="219"/>
      <c r="K506" s="456"/>
      <c r="L506" s="219"/>
      <c r="M506" s="456"/>
      <c r="N506" s="219"/>
      <c r="O506" s="219"/>
      <c r="P506" s="219"/>
      <c r="Q506" s="219"/>
    </row>
    <row r="507" spans="2:17" x14ac:dyDescent="0.2">
      <c r="B507" s="219"/>
      <c r="C507" s="219"/>
      <c r="D507" s="219"/>
      <c r="E507" s="456"/>
      <c r="F507" s="219"/>
      <c r="G507" s="456"/>
      <c r="H507" s="219"/>
      <c r="I507" s="456"/>
      <c r="J507" s="219"/>
      <c r="K507" s="456"/>
      <c r="L507" s="219"/>
      <c r="M507" s="456"/>
      <c r="N507" s="219"/>
      <c r="O507" s="219"/>
      <c r="P507" s="219"/>
      <c r="Q507" s="219"/>
    </row>
    <row r="508" spans="2:17" x14ac:dyDescent="0.2">
      <c r="B508" s="219"/>
      <c r="C508" s="219"/>
      <c r="D508" s="219"/>
      <c r="E508" s="456"/>
      <c r="F508" s="219"/>
      <c r="G508" s="456"/>
      <c r="H508" s="219"/>
      <c r="I508" s="456"/>
      <c r="J508" s="219"/>
      <c r="K508" s="456"/>
      <c r="L508" s="219"/>
      <c r="M508" s="456"/>
      <c r="N508" s="219"/>
      <c r="O508" s="219"/>
      <c r="P508" s="219"/>
      <c r="Q508" s="219"/>
    </row>
    <row r="509" spans="2:17" x14ac:dyDescent="0.2">
      <c r="B509" s="219"/>
      <c r="C509" s="219"/>
      <c r="D509" s="219"/>
      <c r="E509" s="456"/>
      <c r="F509" s="219"/>
      <c r="G509" s="456"/>
      <c r="H509" s="219"/>
      <c r="I509" s="456"/>
      <c r="J509" s="219"/>
      <c r="K509" s="456"/>
      <c r="L509" s="219"/>
      <c r="M509" s="456"/>
      <c r="N509" s="219"/>
      <c r="O509" s="219"/>
      <c r="P509" s="219"/>
      <c r="Q509" s="219"/>
    </row>
    <row r="510" spans="2:17" x14ac:dyDescent="0.2">
      <c r="B510" s="219"/>
      <c r="C510" s="219"/>
      <c r="D510" s="219"/>
      <c r="E510" s="456"/>
      <c r="F510" s="219"/>
      <c r="G510" s="456"/>
      <c r="H510" s="219"/>
      <c r="I510" s="456"/>
      <c r="J510" s="219"/>
      <c r="K510" s="456"/>
      <c r="L510" s="219"/>
      <c r="M510" s="456"/>
      <c r="N510" s="219"/>
      <c r="O510" s="219"/>
      <c r="P510" s="219"/>
      <c r="Q510" s="219"/>
    </row>
    <row r="511" spans="2:17" x14ac:dyDescent="0.2">
      <c r="B511" s="219"/>
      <c r="C511" s="219"/>
      <c r="D511" s="219"/>
      <c r="E511" s="456"/>
      <c r="F511" s="219"/>
      <c r="G511" s="456"/>
      <c r="H511" s="219"/>
      <c r="I511" s="456"/>
      <c r="J511" s="219"/>
      <c r="K511" s="456"/>
      <c r="L511" s="219"/>
      <c r="M511" s="456"/>
      <c r="N511" s="219"/>
      <c r="O511" s="219"/>
      <c r="P511" s="219"/>
      <c r="Q511" s="219"/>
    </row>
    <row r="512" spans="2:17" x14ac:dyDescent="0.2">
      <c r="B512" s="219"/>
      <c r="C512" s="219"/>
      <c r="D512" s="219"/>
      <c r="E512" s="456"/>
      <c r="F512" s="219"/>
      <c r="G512" s="456"/>
      <c r="H512" s="219"/>
      <c r="I512" s="456"/>
      <c r="J512" s="219"/>
      <c r="K512" s="456"/>
      <c r="L512" s="219"/>
      <c r="M512" s="456"/>
      <c r="N512" s="219"/>
      <c r="O512" s="219"/>
      <c r="P512" s="219"/>
      <c r="Q512" s="219"/>
    </row>
    <row r="513" spans="2:17" x14ac:dyDescent="0.2">
      <c r="B513" s="219"/>
      <c r="C513" s="219"/>
      <c r="D513" s="219"/>
      <c r="E513" s="456"/>
      <c r="F513" s="219"/>
      <c r="G513" s="456"/>
      <c r="H513" s="219"/>
      <c r="I513" s="456"/>
      <c r="J513" s="219"/>
      <c r="K513" s="456"/>
      <c r="L513" s="219"/>
      <c r="M513" s="456"/>
      <c r="N513" s="219"/>
      <c r="O513" s="219"/>
      <c r="P513" s="219"/>
      <c r="Q513" s="219"/>
    </row>
    <row r="514" spans="2:17" x14ac:dyDescent="0.2">
      <c r="B514" s="219"/>
      <c r="C514" s="219"/>
      <c r="D514" s="219"/>
      <c r="E514" s="456"/>
      <c r="F514" s="219"/>
      <c r="G514" s="456"/>
      <c r="H514" s="219"/>
      <c r="I514" s="456"/>
      <c r="J514" s="219"/>
      <c r="K514" s="456"/>
      <c r="L514" s="219"/>
      <c r="M514" s="456"/>
      <c r="N514" s="219"/>
      <c r="O514" s="219"/>
      <c r="P514" s="219"/>
      <c r="Q514" s="219"/>
    </row>
    <row r="515" spans="2:17" x14ac:dyDescent="0.2">
      <c r="B515" s="219"/>
      <c r="C515" s="219"/>
      <c r="D515" s="219"/>
      <c r="E515" s="456"/>
      <c r="F515" s="219"/>
      <c r="G515" s="456"/>
      <c r="H515" s="219"/>
      <c r="I515" s="456"/>
      <c r="J515" s="219"/>
      <c r="K515" s="456"/>
      <c r="L515" s="219"/>
      <c r="M515" s="456"/>
      <c r="N515" s="219"/>
      <c r="O515" s="219"/>
      <c r="P515" s="219"/>
      <c r="Q515" s="219"/>
    </row>
    <row r="516" spans="2:17" x14ac:dyDescent="0.2">
      <c r="B516" s="219"/>
      <c r="C516" s="219"/>
      <c r="D516" s="219"/>
      <c r="E516" s="456"/>
      <c r="F516" s="219"/>
      <c r="G516" s="456"/>
      <c r="H516" s="219"/>
      <c r="I516" s="456"/>
      <c r="J516" s="219"/>
      <c r="K516" s="456"/>
      <c r="L516" s="219"/>
      <c r="M516" s="456"/>
      <c r="N516" s="219"/>
      <c r="O516" s="219"/>
      <c r="P516" s="219"/>
      <c r="Q516" s="219"/>
    </row>
    <row r="517" spans="2:17" x14ac:dyDescent="0.2">
      <c r="B517" s="219"/>
      <c r="C517" s="219"/>
      <c r="D517" s="219"/>
      <c r="E517" s="456"/>
      <c r="F517" s="219"/>
      <c r="G517" s="456"/>
      <c r="H517" s="219"/>
      <c r="I517" s="456"/>
      <c r="J517" s="219"/>
      <c r="K517" s="456"/>
      <c r="L517" s="219"/>
      <c r="M517" s="456"/>
      <c r="N517" s="219"/>
      <c r="O517" s="219"/>
      <c r="P517" s="219"/>
      <c r="Q517" s="219"/>
    </row>
    <row r="518" spans="2:17" x14ac:dyDescent="0.2">
      <c r="B518" s="219"/>
      <c r="C518" s="219"/>
      <c r="D518" s="219"/>
      <c r="E518" s="456"/>
      <c r="F518" s="219"/>
      <c r="G518" s="456"/>
      <c r="H518" s="219"/>
      <c r="I518" s="456"/>
      <c r="J518" s="219"/>
      <c r="K518" s="456"/>
      <c r="L518" s="219"/>
      <c r="M518" s="456"/>
      <c r="N518" s="219"/>
      <c r="O518" s="219"/>
      <c r="P518" s="219"/>
      <c r="Q518" s="219"/>
    </row>
    <row r="519" spans="2:17" x14ac:dyDescent="0.2">
      <c r="B519" s="219"/>
      <c r="C519" s="219"/>
      <c r="D519" s="219"/>
      <c r="E519" s="456"/>
      <c r="F519" s="219"/>
      <c r="G519" s="456"/>
      <c r="H519" s="219"/>
      <c r="I519" s="456"/>
      <c r="J519" s="219"/>
      <c r="K519" s="456"/>
      <c r="L519" s="219"/>
      <c r="M519" s="456"/>
      <c r="N519" s="219"/>
      <c r="O519" s="219"/>
      <c r="P519" s="219"/>
      <c r="Q519" s="219"/>
    </row>
    <row r="520" spans="2:17" x14ac:dyDescent="0.2">
      <c r="B520" s="219"/>
      <c r="C520" s="219"/>
      <c r="D520" s="219"/>
      <c r="E520" s="456"/>
      <c r="F520" s="219"/>
      <c r="G520" s="456"/>
      <c r="H520" s="219"/>
      <c r="I520" s="456"/>
      <c r="J520" s="219"/>
      <c r="K520" s="456"/>
      <c r="L520" s="219"/>
      <c r="M520" s="456"/>
      <c r="N520" s="219"/>
      <c r="O520" s="219"/>
      <c r="P520" s="219"/>
      <c r="Q520" s="219"/>
    </row>
    <row r="521" spans="2:17" x14ac:dyDescent="0.2">
      <c r="B521" s="219"/>
      <c r="C521" s="219"/>
      <c r="D521" s="219"/>
      <c r="E521" s="456"/>
      <c r="F521" s="219"/>
      <c r="G521" s="456"/>
      <c r="H521" s="219"/>
      <c r="I521" s="456"/>
      <c r="J521" s="219"/>
      <c r="K521" s="456"/>
      <c r="L521" s="219"/>
      <c r="M521" s="456"/>
      <c r="N521" s="219"/>
      <c r="O521" s="219"/>
      <c r="P521" s="219"/>
      <c r="Q521" s="219"/>
    </row>
    <row r="522" spans="2:17" x14ac:dyDescent="0.2">
      <c r="B522" s="219"/>
      <c r="C522" s="219"/>
      <c r="D522" s="219"/>
      <c r="E522" s="456"/>
      <c r="F522" s="219"/>
      <c r="G522" s="456"/>
      <c r="H522" s="219"/>
      <c r="I522" s="456"/>
      <c r="J522" s="219"/>
      <c r="K522" s="456"/>
      <c r="L522" s="219"/>
      <c r="M522" s="456"/>
      <c r="N522" s="219"/>
      <c r="O522" s="219"/>
      <c r="P522" s="219"/>
      <c r="Q522" s="219"/>
    </row>
    <row r="523" spans="2:17" x14ac:dyDescent="0.2">
      <c r="B523" s="219"/>
      <c r="C523" s="219"/>
      <c r="D523" s="219"/>
      <c r="E523" s="456"/>
      <c r="F523" s="219"/>
      <c r="G523" s="456"/>
      <c r="H523" s="219"/>
      <c r="I523" s="456"/>
      <c r="J523" s="219"/>
      <c r="K523" s="456"/>
      <c r="L523" s="219"/>
      <c r="M523" s="456"/>
      <c r="N523" s="219"/>
      <c r="O523" s="219"/>
      <c r="P523" s="219"/>
      <c r="Q523" s="219"/>
    </row>
    <row r="524" spans="2:17" x14ac:dyDescent="0.2">
      <c r="B524" s="219"/>
      <c r="C524" s="219"/>
      <c r="D524" s="219"/>
      <c r="E524" s="456"/>
      <c r="F524" s="219"/>
      <c r="G524" s="456"/>
      <c r="H524" s="219"/>
      <c r="I524" s="456"/>
      <c r="J524" s="219"/>
      <c r="K524" s="456"/>
      <c r="L524" s="219"/>
      <c r="M524" s="456"/>
      <c r="N524" s="219"/>
      <c r="O524" s="219"/>
      <c r="P524" s="219"/>
      <c r="Q524" s="219"/>
    </row>
    <row r="525" spans="2:17" x14ac:dyDescent="0.2">
      <c r="B525" s="219"/>
      <c r="C525" s="219"/>
      <c r="D525" s="219"/>
      <c r="E525" s="456"/>
      <c r="F525" s="219"/>
      <c r="G525" s="456"/>
      <c r="H525" s="219"/>
      <c r="I525" s="456"/>
      <c r="J525" s="219"/>
      <c r="K525" s="456"/>
      <c r="L525" s="219"/>
      <c r="M525" s="456"/>
      <c r="N525" s="219"/>
      <c r="O525" s="219"/>
      <c r="P525" s="219"/>
      <c r="Q525" s="219"/>
    </row>
    <row r="526" spans="2:17" x14ac:dyDescent="0.2">
      <c r="B526" s="219"/>
      <c r="C526" s="219"/>
      <c r="D526" s="219"/>
      <c r="E526" s="456"/>
      <c r="F526" s="219"/>
      <c r="G526" s="456"/>
      <c r="H526" s="219"/>
      <c r="I526" s="456"/>
      <c r="J526" s="219"/>
      <c r="K526" s="456"/>
      <c r="L526" s="219"/>
      <c r="M526" s="456"/>
      <c r="N526" s="219"/>
      <c r="O526" s="219"/>
      <c r="P526" s="219"/>
      <c r="Q526" s="219"/>
    </row>
    <row r="527" spans="2:17" x14ac:dyDescent="0.2">
      <c r="B527" s="219"/>
      <c r="C527" s="219"/>
      <c r="D527" s="219"/>
      <c r="E527" s="456"/>
      <c r="F527" s="219"/>
      <c r="G527" s="456"/>
      <c r="H527" s="219"/>
      <c r="I527" s="456"/>
      <c r="J527" s="219"/>
      <c r="K527" s="456"/>
      <c r="L527" s="219"/>
      <c r="M527" s="456"/>
      <c r="N527" s="219"/>
      <c r="O527" s="219"/>
      <c r="P527" s="219"/>
      <c r="Q527" s="219"/>
    </row>
    <row r="528" spans="2:17" x14ac:dyDescent="0.2">
      <c r="B528" s="219"/>
      <c r="C528" s="219"/>
      <c r="D528" s="219"/>
      <c r="E528" s="456"/>
      <c r="F528" s="219"/>
      <c r="G528" s="456"/>
      <c r="H528" s="219"/>
      <c r="I528" s="456"/>
      <c r="J528" s="219"/>
      <c r="K528" s="456"/>
      <c r="L528" s="219"/>
      <c r="M528" s="456"/>
      <c r="N528" s="219"/>
      <c r="O528" s="219"/>
      <c r="P528" s="219"/>
      <c r="Q528" s="219"/>
    </row>
    <row r="529" spans="2:17" x14ac:dyDescent="0.2">
      <c r="B529" s="219"/>
      <c r="C529" s="219"/>
      <c r="D529" s="219"/>
      <c r="E529" s="456"/>
      <c r="F529" s="219"/>
      <c r="G529" s="456"/>
      <c r="H529" s="219"/>
      <c r="I529" s="456"/>
      <c r="J529" s="219"/>
      <c r="K529" s="456"/>
      <c r="L529" s="219"/>
      <c r="M529" s="456"/>
      <c r="N529" s="219"/>
      <c r="O529" s="219"/>
      <c r="P529" s="219"/>
      <c r="Q529" s="219"/>
    </row>
    <row r="530" spans="2:17" x14ac:dyDescent="0.2">
      <c r="B530" s="219"/>
      <c r="C530" s="219"/>
      <c r="D530" s="219"/>
      <c r="E530" s="456"/>
      <c r="F530" s="219"/>
      <c r="G530" s="456"/>
      <c r="H530" s="219"/>
      <c r="I530" s="456"/>
      <c r="J530" s="219"/>
      <c r="K530" s="456"/>
      <c r="L530" s="219"/>
      <c r="M530" s="456"/>
      <c r="N530" s="219"/>
      <c r="O530" s="219"/>
      <c r="P530" s="219"/>
      <c r="Q530" s="219"/>
    </row>
    <row r="531" spans="2:17" x14ac:dyDescent="0.2">
      <c r="B531" s="219"/>
      <c r="C531" s="219"/>
      <c r="D531" s="219"/>
      <c r="E531" s="456"/>
      <c r="F531" s="219"/>
      <c r="G531" s="456"/>
      <c r="H531" s="219"/>
      <c r="I531" s="456"/>
      <c r="J531" s="219"/>
      <c r="K531" s="456"/>
      <c r="L531" s="219"/>
      <c r="M531" s="456"/>
      <c r="N531" s="219"/>
      <c r="O531" s="219"/>
      <c r="P531" s="219"/>
      <c r="Q531" s="219"/>
    </row>
    <row r="532" spans="2:17" x14ac:dyDescent="0.2">
      <c r="B532" s="219"/>
      <c r="C532" s="219"/>
      <c r="D532" s="219"/>
      <c r="E532" s="456"/>
      <c r="F532" s="219"/>
      <c r="G532" s="456"/>
      <c r="H532" s="219"/>
      <c r="I532" s="456"/>
      <c r="J532" s="219"/>
      <c r="K532" s="456"/>
      <c r="L532" s="219"/>
      <c r="M532" s="456"/>
      <c r="N532" s="219"/>
      <c r="O532" s="219"/>
      <c r="P532" s="219"/>
      <c r="Q532" s="219"/>
    </row>
    <row r="533" spans="2:17" x14ac:dyDescent="0.2">
      <c r="B533" s="219"/>
      <c r="C533" s="219"/>
      <c r="D533" s="219"/>
      <c r="E533" s="456"/>
      <c r="F533" s="219"/>
      <c r="G533" s="456"/>
      <c r="H533" s="219"/>
      <c r="I533" s="456"/>
      <c r="J533" s="219"/>
      <c r="K533" s="456"/>
      <c r="L533" s="219"/>
      <c r="M533" s="456"/>
      <c r="N533" s="219"/>
      <c r="O533" s="219"/>
      <c r="P533" s="219"/>
      <c r="Q533" s="219"/>
    </row>
    <row r="534" spans="2:17" x14ac:dyDescent="0.2">
      <c r="B534" s="219"/>
      <c r="C534" s="219"/>
      <c r="D534" s="219"/>
      <c r="E534" s="456"/>
      <c r="F534" s="219"/>
      <c r="G534" s="456"/>
      <c r="H534" s="219"/>
      <c r="I534" s="456"/>
      <c r="J534" s="219"/>
      <c r="K534" s="456"/>
      <c r="L534" s="219"/>
      <c r="M534" s="456"/>
      <c r="N534" s="219"/>
      <c r="O534" s="219"/>
      <c r="P534" s="219"/>
      <c r="Q534" s="219"/>
    </row>
    <row r="535" spans="2:17" x14ac:dyDescent="0.2">
      <c r="B535" s="219"/>
      <c r="C535" s="219"/>
      <c r="D535" s="219"/>
      <c r="E535" s="456"/>
      <c r="F535" s="219"/>
      <c r="G535" s="456"/>
      <c r="H535" s="219"/>
      <c r="I535" s="456"/>
      <c r="J535" s="219"/>
      <c r="K535" s="456"/>
      <c r="L535" s="219"/>
      <c r="M535" s="456"/>
      <c r="N535" s="219"/>
      <c r="O535" s="219"/>
      <c r="P535" s="219"/>
      <c r="Q535" s="219"/>
    </row>
    <row r="536" spans="2:17" x14ac:dyDescent="0.2">
      <c r="B536" s="219"/>
      <c r="C536" s="219"/>
      <c r="D536" s="219"/>
      <c r="E536" s="456"/>
      <c r="F536" s="219"/>
      <c r="G536" s="456"/>
      <c r="H536" s="219"/>
      <c r="I536" s="456"/>
      <c r="J536" s="219"/>
      <c r="K536" s="456"/>
      <c r="L536" s="219"/>
      <c r="M536" s="456"/>
      <c r="N536" s="219"/>
      <c r="O536" s="219"/>
      <c r="P536" s="219"/>
      <c r="Q536" s="219"/>
    </row>
    <row r="537" spans="2:17" x14ac:dyDescent="0.2">
      <c r="B537" s="219"/>
      <c r="C537" s="219"/>
      <c r="D537" s="219"/>
      <c r="E537" s="456"/>
      <c r="F537" s="219"/>
      <c r="G537" s="456"/>
      <c r="H537" s="219"/>
      <c r="I537" s="456"/>
      <c r="J537" s="219"/>
      <c r="K537" s="456"/>
      <c r="L537" s="219"/>
      <c r="M537" s="456"/>
      <c r="N537" s="219"/>
      <c r="O537" s="219"/>
      <c r="P537" s="219"/>
      <c r="Q537" s="219"/>
    </row>
    <row r="538" spans="2:17" x14ac:dyDescent="0.2">
      <c r="B538" s="219"/>
      <c r="C538" s="219"/>
      <c r="D538" s="219"/>
      <c r="E538" s="456"/>
      <c r="F538" s="219"/>
      <c r="G538" s="456"/>
      <c r="H538" s="219"/>
      <c r="I538" s="456"/>
      <c r="J538" s="219"/>
      <c r="K538" s="456"/>
      <c r="L538" s="219"/>
      <c r="M538" s="456"/>
      <c r="N538" s="219"/>
      <c r="O538" s="219"/>
      <c r="P538" s="219"/>
      <c r="Q538" s="219"/>
    </row>
    <row r="539" spans="2:17" x14ac:dyDescent="0.2">
      <c r="B539" s="219"/>
      <c r="C539" s="219"/>
      <c r="D539" s="219"/>
      <c r="E539" s="456"/>
      <c r="F539" s="219"/>
      <c r="G539" s="456"/>
      <c r="H539" s="219"/>
      <c r="I539" s="456"/>
      <c r="J539" s="219"/>
      <c r="K539" s="456"/>
      <c r="L539" s="219"/>
      <c r="M539" s="456"/>
      <c r="N539" s="219"/>
      <c r="O539" s="219"/>
      <c r="P539" s="219"/>
      <c r="Q539" s="219"/>
    </row>
    <row r="540" spans="2:17" x14ac:dyDescent="0.2">
      <c r="B540" s="219"/>
      <c r="C540" s="219"/>
      <c r="D540" s="219"/>
      <c r="E540" s="456"/>
      <c r="F540" s="219"/>
      <c r="G540" s="456"/>
      <c r="H540" s="219"/>
      <c r="I540" s="456"/>
      <c r="J540" s="219"/>
      <c r="K540" s="456"/>
      <c r="L540" s="219"/>
      <c r="M540" s="456"/>
      <c r="N540" s="219"/>
      <c r="O540" s="219"/>
      <c r="P540" s="219"/>
      <c r="Q540" s="219"/>
    </row>
    <row r="541" spans="2:17" x14ac:dyDescent="0.2">
      <c r="B541" s="219"/>
      <c r="C541" s="219"/>
      <c r="D541" s="219"/>
      <c r="E541" s="456"/>
      <c r="F541" s="219"/>
      <c r="G541" s="456"/>
      <c r="H541" s="219"/>
      <c r="I541" s="456"/>
      <c r="J541" s="219"/>
      <c r="K541" s="456"/>
      <c r="L541" s="219"/>
      <c r="M541" s="456"/>
      <c r="N541" s="219"/>
      <c r="O541" s="219"/>
      <c r="P541" s="219"/>
      <c r="Q541" s="219"/>
    </row>
    <row r="542" spans="2:17" x14ac:dyDescent="0.2">
      <c r="B542" s="219"/>
      <c r="C542" s="219"/>
      <c r="D542" s="219"/>
      <c r="E542" s="456"/>
      <c r="F542" s="219"/>
      <c r="G542" s="456"/>
      <c r="H542" s="219"/>
      <c r="I542" s="456"/>
      <c r="J542" s="219"/>
      <c r="K542" s="456"/>
      <c r="L542" s="219"/>
      <c r="M542" s="456"/>
      <c r="N542" s="219"/>
      <c r="O542" s="219"/>
      <c r="P542" s="219"/>
      <c r="Q542" s="219"/>
    </row>
    <row r="543" spans="2:17" x14ac:dyDescent="0.2">
      <c r="B543" s="219"/>
      <c r="C543" s="219"/>
      <c r="D543" s="219"/>
      <c r="E543" s="456"/>
      <c r="F543" s="219"/>
      <c r="G543" s="456"/>
      <c r="H543" s="219"/>
      <c r="I543" s="456"/>
      <c r="J543" s="219"/>
      <c r="K543" s="456"/>
      <c r="L543" s="219"/>
      <c r="M543" s="456"/>
      <c r="N543" s="219"/>
      <c r="O543" s="219"/>
      <c r="P543" s="219"/>
      <c r="Q543" s="219"/>
    </row>
    <row r="544" spans="2:17" x14ac:dyDescent="0.2">
      <c r="B544" s="219"/>
      <c r="C544" s="219"/>
      <c r="D544" s="219"/>
      <c r="E544" s="456"/>
      <c r="F544" s="219"/>
      <c r="G544" s="456"/>
      <c r="H544" s="219"/>
      <c r="I544" s="456"/>
      <c r="J544" s="219"/>
      <c r="K544" s="456"/>
      <c r="L544" s="219"/>
      <c r="M544" s="456"/>
      <c r="N544" s="219"/>
      <c r="O544" s="219"/>
      <c r="P544" s="219"/>
      <c r="Q544" s="219"/>
    </row>
    <row r="545" spans="2:17" x14ac:dyDescent="0.2">
      <c r="B545" s="219"/>
      <c r="C545" s="219"/>
      <c r="D545" s="219"/>
      <c r="E545" s="456"/>
      <c r="F545" s="219"/>
      <c r="G545" s="456"/>
      <c r="H545" s="219"/>
      <c r="I545" s="456"/>
      <c r="J545" s="219"/>
      <c r="K545" s="456"/>
      <c r="L545" s="219"/>
      <c r="M545" s="456"/>
      <c r="N545" s="219"/>
      <c r="O545" s="219"/>
      <c r="P545" s="219"/>
      <c r="Q545" s="219"/>
    </row>
    <row r="546" spans="2:17" x14ac:dyDescent="0.2">
      <c r="B546" s="219"/>
      <c r="C546" s="219"/>
      <c r="D546" s="219"/>
      <c r="E546" s="456"/>
      <c r="F546" s="219"/>
      <c r="G546" s="456"/>
      <c r="H546" s="219"/>
      <c r="I546" s="456"/>
      <c r="J546" s="219"/>
      <c r="K546" s="456"/>
      <c r="L546" s="219"/>
      <c r="M546" s="456"/>
      <c r="N546" s="219"/>
      <c r="O546" s="219"/>
      <c r="P546" s="219"/>
      <c r="Q546" s="219"/>
    </row>
    <row r="547" spans="2:17" x14ac:dyDescent="0.2">
      <c r="B547" s="219"/>
      <c r="C547" s="219"/>
      <c r="D547" s="219"/>
      <c r="E547" s="456"/>
      <c r="F547" s="219"/>
      <c r="G547" s="456"/>
      <c r="H547" s="219"/>
      <c r="I547" s="456"/>
      <c r="J547" s="219"/>
      <c r="K547" s="456"/>
      <c r="L547" s="219"/>
      <c r="M547" s="456"/>
      <c r="N547" s="219"/>
      <c r="O547" s="219"/>
      <c r="P547" s="219"/>
      <c r="Q547" s="219"/>
    </row>
    <row r="548" spans="2:17" x14ac:dyDescent="0.2">
      <c r="B548" s="219"/>
      <c r="C548" s="219"/>
      <c r="D548" s="219"/>
      <c r="E548" s="456"/>
      <c r="F548" s="219"/>
      <c r="G548" s="456"/>
      <c r="H548" s="219"/>
      <c r="I548" s="456"/>
      <c r="J548" s="219"/>
      <c r="K548" s="456"/>
      <c r="L548" s="219"/>
      <c r="M548" s="456"/>
      <c r="N548" s="219"/>
      <c r="O548" s="219"/>
      <c r="P548" s="219"/>
      <c r="Q548" s="219"/>
    </row>
    <row r="549" spans="2:17" x14ac:dyDescent="0.2">
      <c r="B549" s="219"/>
      <c r="C549" s="219"/>
      <c r="D549" s="219"/>
      <c r="E549" s="456"/>
      <c r="F549" s="219"/>
      <c r="G549" s="456"/>
      <c r="H549" s="219"/>
      <c r="I549" s="456"/>
      <c r="J549" s="219"/>
      <c r="K549" s="456"/>
      <c r="L549" s="219"/>
      <c r="M549" s="456"/>
      <c r="N549" s="219"/>
      <c r="O549" s="219"/>
      <c r="P549" s="219"/>
      <c r="Q549" s="219"/>
    </row>
    <row r="550" spans="2:17" x14ac:dyDescent="0.2">
      <c r="B550" s="219"/>
      <c r="C550" s="219"/>
      <c r="D550" s="219"/>
      <c r="E550" s="456"/>
      <c r="F550" s="219"/>
      <c r="G550" s="456"/>
      <c r="H550" s="219"/>
      <c r="I550" s="456"/>
      <c r="J550" s="219"/>
      <c r="K550" s="456"/>
      <c r="L550" s="219"/>
      <c r="M550" s="456"/>
      <c r="N550" s="219"/>
      <c r="O550" s="219"/>
      <c r="P550" s="219"/>
      <c r="Q550" s="219"/>
    </row>
    <row r="551" spans="2:17" x14ac:dyDescent="0.2">
      <c r="B551" s="219"/>
      <c r="C551" s="219"/>
      <c r="D551" s="219"/>
      <c r="E551" s="456"/>
      <c r="F551" s="219"/>
      <c r="G551" s="456"/>
      <c r="H551" s="219"/>
      <c r="I551" s="456"/>
      <c r="J551" s="219"/>
      <c r="K551" s="456"/>
      <c r="L551" s="219"/>
      <c r="M551" s="456"/>
      <c r="N551" s="219"/>
      <c r="O551" s="219"/>
      <c r="P551" s="219"/>
      <c r="Q551" s="219"/>
    </row>
    <row r="552" spans="2:17" x14ac:dyDescent="0.2">
      <c r="B552" s="219"/>
      <c r="C552" s="219"/>
      <c r="D552" s="219"/>
      <c r="E552" s="456"/>
      <c r="F552" s="219"/>
      <c r="G552" s="456"/>
      <c r="H552" s="219"/>
      <c r="I552" s="456"/>
      <c r="J552" s="219"/>
      <c r="K552" s="456"/>
      <c r="L552" s="219"/>
      <c r="M552" s="456"/>
      <c r="N552" s="219"/>
      <c r="O552" s="219"/>
      <c r="P552" s="219"/>
      <c r="Q552" s="219"/>
    </row>
    <row r="553" spans="2:17" x14ac:dyDescent="0.2">
      <c r="B553" s="219"/>
      <c r="C553" s="219"/>
      <c r="D553" s="219"/>
      <c r="E553" s="456"/>
      <c r="F553" s="219"/>
      <c r="G553" s="456"/>
      <c r="H553" s="219"/>
      <c r="I553" s="456"/>
      <c r="J553" s="219"/>
      <c r="K553" s="456"/>
      <c r="L553" s="219"/>
      <c r="M553" s="456"/>
      <c r="N553" s="219"/>
      <c r="O553" s="219"/>
      <c r="P553" s="219"/>
      <c r="Q553" s="219"/>
    </row>
    <row r="554" spans="2:17" x14ac:dyDescent="0.2">
      <c r="B554" s="219"/>
      <c r="C554" s="219"/>
      <c r="D554" s="219"/>
      <c r="E554" s="456"/>
      <c r="F554" s="219"/>
      <c r="G554" s="456"/>
      <c r="H554" s="219"/>
      <c r="I554" s="456"/>
      <c r="J554" s="219"/>
      <c r="K554" s="456"/>
      <c r="L554" s="219"/>
      <c r="M554" s="456"/>
      <c r="N554" s="219"/>
      <c r="O554" s="219"/>
      <c r="P554" s="219"/>
      <c r="Q554" s="219"/>
    </row>
    <row r="555" spans="2:17" x14ac:dyDescent="0.2">
      <c r="B555" s="219"/>
      <c r="C555" s="219"/>
      <c r="D555" s="219"/>
      <c r="E555" s="456"/>
      <c r="F555" s="219"/>
      <c r="G555" s="456"/>
      <c r="H555" s="219"/>
      <c r="I555" s="456"/>
      <c r="J555" s="219"/>
      <c r="K555" s="456"/>
      <c r="L555" s="219"/>
      <c r="M555" s="456"/>
      <c r="N555" s="219"/>
      <c r="O555" s="219"/>
      <c r="P555" s="219"/>
      <c r="Q555" s="219"/>
    </row>
    <row r="556" spans="2:17" x14ac:dyDescent="0.2">
      <c r="B556" s="219"/>
      <c r="C556" s="219"/>
      <c r="D556" s="219"/>
      <c r="E556" s="456"/>
      <c r="F556" s="219"/>
      <c r="G556" s="456"/>
      <c r="H556" s="219"/>
      <c r="I556" s="456"/>
      <c r="J556" s="219"/>
      <c r="K556" s="456"/>
      <c r="L556" s="219"/>
      <c r="M556" s="456"/>
      <c r="N556" s="219"/>
      <c r="O556" s="219"/>
      <c r="P556" s="219"/>
      <c r="Q556" s="219"/>
    </row>
    <row r="557" spans="2:17" x14ac:dyDescent="0.2">
      <c r="B557" s="219"/>
      <c r="C557" s="219"/>
      <c r="D557" s="219"/>
      <c r="E557" s="456"/>
      <c r="F557" s="219"/>
      <c r="G557" s="456"/>
      <c r="H557" s="219"/>
      <c r="I557" s="456"/>
      <c r="J557" s="219"/>
      <c r="K557" s="456"/>
      <c r="L557" s="219"/>
      <c r="M557" s="456"/>
      <c r="N557" s="219"/>
      <c r="O557" s="219"/>
      <c r="P557" s="219"/>
      <c r="Q557" s="219"/>
    </row>
    <row r="558" spans="2:17" x14ac:dyDescent="0.2">
      <c r="B558" s="219"/>
      <c r="C558" s="219"/>
      <c r="D558" s="219"/>
      <c r="E558" s="456"/>
      <c r="F558" s="219"/>
      <c r="G558" s="456"/>
      <c r="H558" s="219"/>
      <c r="I558" s="456"/>
      <c r="J558" s="219"/>
      <c r="K558" s="456"/>
      <c r="L558" s="219"/>
      <c r="M558" s="456"/>
      <c r="N558" s="219"/>
      <c r="O558" s="219"/>
      <c r="P558" s="219"/>
      <c r="Q558" s="219"/>
    </row>
    <row r="559" spans="2:17" x14ac:dyDescent="0.2">
      <c r="B559" s="219"/>
      <c r="C559" s="219"/>
      <c r="D559" s="219"/>
      <c r="E559" s="456"/>
      <c r="F559" s="219"/>
      <c r="G559" s="456"/>
      <c r="H559" s="219"/>
      <c r="I559" s="456"/>
      <c r="J559" s="219"/>
      <c r="K559" s="456"/>
      <c r="L559" s="219"/>
      <c r="M559" s="456"/>
      <c r="N559" s="219"/>
      <c r="O559" s="219"/>
      <c r="P559" s="219"/>
      <c r="Q559" s="219"/>
    </row>
    <row r="560" spans="2:17" x14ac:dyDescent="0.2">
      <c r="B560" s="219"/>
      <c r="C560" s="219"/>
      <c r="D560" s="219"/>
      <c r="E560" s="456"/>
      <c r="F560" s="219"/>
      <c r="G560" s="456"/>
      <c r="H560" s="219"/>
      <c r="I560" s="456"/>
      <c r="J560" s="219"/>
      <c r="K560" s="456"/>
      <c r="L560" s="219"/>
      <c r="M560" s="456"/>
      <c r="N560" s="219"/>
      <c r="O560" s="219"/>
      <c r="P560" s="219"/>
      <c r="Q560" s="219"/>
    </row>
    <row r="561" spans="2:17" x14ac:dyDescent="0.2">
      <c r="B561" s="219"/>
      <c r="C561" s="219"/>
      <c r="D561" s="219"/>
      <c r="E561" s="456"/>
      <c r="F561" s="219"/>
      <c r="G561" s="456"/>
      <c r="H561" s="219"/>
      <c r="I561" s="456"/>
      <c r="J561" s="219"/>
      <c r="K561" s="456"/>
      <c r="L561" s="219"/>
      <c r="M561" s="456"/>
      <c r="N561" s="219"/>
      <c r="O561" s="219"/>
      <c r="P561" s="219"/>
      <c r="Q561" s="219"/>
    </row>
    <row r="562" spans="2:17" x14ac:dyDescent="0.2">
      <c r="B562" s="219"/>
      <c r="C562" s="219"/>
      <c r="D562" s="219"/>
      <c r="E562" s="456"/>
      <c r="F562" s="219"/>
      <c r="G562" s="456"/>
      <c r="H562" s="219"/>
      <c r="I562" s="456"/>
      <c r="J562" s="219"/>
      <c r="K562" s="456"/>
      <c r="L562" s="219"/>
      <c r="M562" s="456"/>
      <c r="N562" s="219"/>
      <c r="O562" s="219"/>
      <c r="P562" s="219"/>
      <c r="Q562" s="219"/>
    </row>
    <row r="563" spans="2:17" x14ac:dyDescent="0.2">
      <c r="B563" s="219"/>
      <c r="C563" s="219"/>
      <c r="D563" s="219"/>
      <c r="E563" s="456"/>
      <c r="F563" s="219"/>
      <c r="G563" s="456"/>
      <c r="H563" s="219"/>
      <c r="I563" s="456"/>
      <c r="J563" s="219"/>
      <c r="K563" s="456"/>
      <c r="L563" s="219"/>
      <c r="M563" s="456"/>
      <c r="N563" s="219"/>
      <c r="O563" s="219"/>
      <c r="P563" s="219"/>
      <c r="Q563" s="219"/>
    </row>
    <row r="564" spans="2:17" x14ac:dyDescent="0.2">
      <c r="B564" s="219"/>
      <c r="C564" s="219"/>
      <c r="D564" s="219"/>
      <c r="E564" s="456"/>
      <c r="F564" s="219"/>
      <c r="G564" s="456"/>
      <c r="H564" s="219"/>
      <c r="I564" s="456"/>
      <c r="J564" s="219"/>
      <c r="K564" s="456"/>
      <c r="L564" s="219"/>
      <c r="M564" s="456"/>
      <c r="N564" s="219"/>
      <c r="O564" s="219"/>
      <c r="P564" s="219"/>
      <c r="Q564" s="219"/>
    </row>
    <row r="565" spans="2:17" x14ac:dyDescent="0.2">
      <c r="B565" s="219"/>
      <c r="C565" s="219"/>
      <c r="D565" s="219"/>
      <c r="E565" s="456"/>
      <c r="F565" s="219"/>
      <c r="G565" s="456"/>
      <c r="H565" s="219"/>
      <c r="I565" s="456"/>
      <c r="J565" s="219"/>
      <c r="K565" s="456"/>
      <c r="L565" s="219"/>
      <c r="M565" s="456"/>
      <c r="N565" s="219"/>
      <c r="O565" s="219"/>
      <c r="P565" s="219"/>
      <c r="Q565" s="219"/>
    </row>
    <row r="566" spans="2:17" x14ac:dyDescent="0.2">
      <c r="B566" s="219"/>
      <c r="C566" s="219"/>
      <c r="D566" s="219"/>
      <c r="E566" s="456"/>
      <c r="F566" s="219"/>
      <c r="G566" s="456"/>
      <c r="H566" s="219"/>
      <c r="I566" s="456"/>
      <c r="J566" s="219"/>
      <c r="K566" s="456"/>
      <c r="L566" s="219"/>
      <c r="M566" s="456"/>
      <c r="N566" s="219"/>
      <c r="O566" s="219"/>
      <c r="P566" s="219"/>
      <c r="Q566" s="219"/>
    </row>
    <row r="567" spans="2:17" x14ac:dyDescent="0.2">
      <c r="B567" s="219"/>
      <c r="C567" s="219"/>
      <c r="D567" s="219"/>
      <c r="E567" s="456"/>
      <c r="F567" s="219"/>
      <c r="G567" s="456"/>
      <c r="H567" s="219"/>
      <c r="I567" s="456"/>
      <c r="J567" s="219"/>
      <c r="K567" s="456"/>
      <c r="L567" s="219"/>
      <c r="M567" s="456"/>
      <c r="N567" s="219"/>
      <c r="O567" s="219"/>
      <c r="P567" s="219"/>
      <c r="Q567" s="219"/>
    </row>
    <row r="568" spans="2:17" x14ac:dyDescent="0.2">
      <c r="B568" s="219"/>
      <c r="C568" s="219"/>
      <c r="D568" s="219"/>
      <c r="E568" s="456"/>
      <c r="F568" s="219"/>
      <c r="G568" s="456"/>
      <c r="H568" s="219"/>
      <c r="I568" s="456"/>
      <c r="J568" s="219"/>
      <c r="K568" s="456"/>
      <c r="L568" s="219"/>
      <c r="M568" s="456"/>
      <c r="N568" s="219"/>
      <c r="O568" s="219"/>
      <c r="P568" s="219"/>
      <c r="Q568" s="219"/>
    </row>
    <row r="569" spans="2:17" x14ac:dyDescent="0.2">
      <c r="B569" s="219"/>
      <c r="C569" s="219"/>
      <c r="D569" s="219"/>
      <c r="E569" s="456"/>
      <c r="F569" s="219"/>
      <c r="G569" s="456"/>
      <c r="H569" s="219"/>
      <c r="I569" s="456"/>
      <c r="J569" s="219"/>
      <c r="K569" s="456"/>
      <c r="L569" s="219"/>
      <c r="M569" s="456"/>
      <c r="N569" s="219"/>
      <c r="O569" s="219"/>
      <c r="P569" s="219"/>
      <c r="Q569" s="219"/>
    </row>
    <row r="570" spans="2:17" x14ac:dyDescent="0.2">
      <c r="B570" s="219"/>
      <c r="C570" s="219"/>
      <c r="D570" s="219"/>
      <c r="E570" s="456"/>
      <c r="F570" s="219"/>
      <c r="G570" s="456"/>
      <c r="H570" s="219"/>
      <c r="I570" s="456"/>
      <c r="J570" s="219"/>
      <c r="K570" s="456"/>
      <c r="L570" s="219"/>
      <c r="M570" s="456"/>
      <c r="N570" s="219"/>
      <c r="O570" s="219"/>
      <c r="P570" s="219"/>
      <c r="Q570" s="219"/>
    </row>
    <row r="571" spans="2:17" x14ac:dyDescent="0.2">
      <c r="B571" s="219"/>
      <c r="C571" s="219"/>
      <c r="D571" s="219"/>
      <c r="E571" s="456"/>
      <c r="F571" s="219"/>
      <c r="G571" s="456"/>
      <c r="H571" s="219"/>
      <c r="I571" s="456"/>
      <c r="J571" s="219"/>
      <c r="K571" s="456"/>
      <c r="L571" s="219"/>
      <c r="M571" s="456"/>
      <c r="N571" s="219"/>
      <c r="O571" s="219"/>
      <c r="P571" s="219"/>
      <c r="Q571" s="219"/>
    </row>
    <row r="572" spans="2:17" x14ac:dyDescent="0.2">
      <c r="B572" s="219"/>
      <c r="C572" s="219"/>
      <c r="D572" s="219"/>
      <c r="E572" s="456"/>
      <c r="F572" s="219"/>
      <c r="G572" s="456"/>
      <c r="H572" s="219"/>
      <c r="I572" s="456"/>
      <c r="J572" s="219"/>
      <c r="K572" s="456"/>
      <c r="L572" s="219"/>
      <c r="M572" s="456"/>
      <c r="N572" s="219"/>
      <c r="O572" s="219"/>
      <c r="P572" s="219"/>
      <c r="Q572" s="219"/>
    </row>
    <row r="573" spans="2:17" x14ac:dyDescent="0.2">
      <c r="B573" s="219"/>
      <c r="C573" s="219"/>
      <c r="D573" s="219"/>
      <c r="E573" s="456"/>
      <c r="F573" s="219"/>
      <c r="G573" s="456"/>
      <c r="H573" s="219"/>
      <c r="I573" s="456"/>
      <c r="J573" s="219"/>
      <c r="K573" s="456"/>
      <c r="L573" s="219"/>
      <c r="M573" s="456"/>
      <c r="N573" s="219"/>
      <c r="O573" s="219"/>
      <c r="P573" s="219"/>
      <c r="Q573" s="219"/>
    </row>
    <row r="574" spans="2:17" x14ac:dyDescent="0.2">
      <c r="B574" s="219"/>
      <c r="C574" s="219"/>
      <c r="D574" s="219"/>
      <c r="E574" s="456"/>
      <c r="F574" s="219"/>
      <c r="G574" s="456"/>
      <c r="H574" s="219"/>
      <c r="I574" s="456"/>
      <c r="J574" s="219"/>
      <c r="K574" s="456"/>
      <c r="L574" s="219"/>
      <c r="M574" s="456"/>
      <c r="N574" s="219"/>
      <c r="O574" s="219"/>
      <c r="P574" s="219"/>
      <c r="Q574" s="219"/>
    </row>
    <row r="575" spans="2:17" x14ac:dyDescent="0.2">
      <c r="B575" s="219"/>
      <c r="C575" s="219"/>
      <c r="D575" s="219"/>
      <c r="E575" s="456"/>
      <c r="F575" s="219"/>
      <c r="G575" s="456"/>
      <c r="H575" s="219"/>
      <c r="I575" s="456"/>
      <c r="J575" s="219"/>
      <c r="K575" s="456"/>
      <c r="L575" s="219"/>
      <c r="M575" s="456"/>
      <c r="N575" s="219"/>
      <c r="O575" s="219"/>
      <c r="P575" s="219"/>
      <c r="Q575" s="219"/>
    </row>
  </sheetData>
  <sheetProtection algorithmName="SHA-512" hashValue="vd2N48eJPb1BHMWMdWO60GEZNwD/qua49l976h+QyTdCZBLmWE5H22Wztkl24zaJtQe1kXtHzsKj75tSo6YUKg==" saltValue="QBmfmFebk3uHTqaD04YZlw==" spinCount="100000" sheet="1" objects="1" scenarios="1"/>
  <mergeCells count="209">
    <mergeCell ref="B196:C196"/>
    <mergeCell ref="B185:C185"/>
    <mergeCell ref="B159:C159"/>
    <mergeCell ref="B133:C133"/>
    <mergeCell ref="B107:C107"/>
    <mergeCell ref="B81:C81"/>
    <mergeCell ref="B92:C92"/>
    <mergeCell ref="B181:C181"/>
    <mergeCell ref="B182:C182"/>
    <mergeCell ref="B155:C155"/>
    <mergeCell ref="B156:C156"/>
    <mergeCell ref="B174:C174"/>
    <mergeCell ref="B175:C175"/>
    <mergeCell ref="B176:C176"/>
    <mergeCell ref="B177:C177"/>
    <mergeCell ref="B178:C178"/>
    <mergeCell ref="B179:C179"/>
    <mergeCell ref="B180:C180"/>
    <mergeCell ref="B160:C160"/>
    <mergeCell ref="B161:C161"/>
    <mergeCell ref="B162:C162"/>
    <mergeCell ref="B163:C163"/>
    <mergeCell ref="B164:C164"/>
    <mergeCell ref="B165:C165"/>
    <mergeCell ref="B166:C166"/>
    <mergeCell ref="B167:C167"/>
    <mergeCell ref="B168:C168"/>
    <mergeCell ref="B170:C170"/>
    <mergeCell ref="B148:C148"/>
    <mergeCell ref="B149:C149"/>
    <mergeCell ref="B150:C150"/>
    <mergeCell ref="B151:C151"/>
    <mergeCell ref="B152:C152"/>
    <mergeCell ref="B153:C153"/>
    <mergeCell ref="B154:C154"/>
    <mergeCell ref="B141:C141"/>
    <mergeCell ref="B142:C142"/>
    <mergeCell ref="B144:C144"/>
    <mergeCell ref="B104:C104"/>
    <mergeCell ref="B122:C122"/>
    <mergeCell ref="B123:C123"/>
    <mergeCell ref="B124:C124"/>
    <mergeCell ref="B125:C125"/>
    <mergeCell ref="B126:C126"/>
    <mergeCell ref="B127:C127"/>
    <mergeCell ref="B128:C128"/>
    <mergeCell ref="B108:C108"/>
    <mergeCell ref="B109:C109"/>
    <mergeCell ref="B110:C110"/>
    <mergeCell ref="B111:C111"/>
    <mergeCell ref="B112:C112"/>
    <mergeCell ref="B113:C113"/>
    <mergeCell ref="B114:C114"/>
    <mergeCell ref="B115:C115"/>
    <mergeCell ref="B116:C116"/>
    <mergeCell ref="B134:C134"/>
    <mergeCell ref="B135:C135"/>
    <mergeCell ref="B136:C136"/>
    <mergeCell ref="B137:C137"/>
    <mergeCell ref="B78:C78"/>
    <mergeCell ref="B96:C96"/>
    <mergeCell ref="B97:C97"/>
    <mergeCell ref="B98:C98"/>
    <mergeCell ref="B99:C99"/>
    <mergeCell ref="B100:C100"/>
    <mergeCell ref="B101:C101"/>
    <mergeCell ref="B102:C102"/>
    <mergeCell ref="B103:C103"/>
    <mergeCell ref="C394:D394"/>
    <mergeCell ref="C382:D382"/>
    <mergeCell ref="C383:D383"/>
    <mergeCell ref="C384:D384"/>
    <mergeCell ref="C43:D43"/>
    <mergeCell ref="C44:D44"/>
    <mergeCell ref="C45:D45"/>
    <mergeCell ref="C46:D46"/>
    <mergeCell ref="C47:D47"/>
    <mergeCell ref="C48:D48"/>
    <mergeCell ref="C49:D49"/>
    <mergeCell ref="C381:D381"/>
    <mergeCell ref="C380:D380"/>
    <mergeCell ref="B65:J65"/>
    <mergeCell ref="H347:J347"/>
    <mergeCell ref="C53:D53"/>
    <mergeCell ref="B70:C70"/>
    <mergeCell ref="B71:C71"/>
    <mergeCell ref="B72:C72"/>
    <mergeCell ref="B73:C73"/>
    <mergeCell ref="B74:C74"/>
    <mergeCell ref="B75:C75"/>
    <mergeCell ref="B76:C76"/>
    <mergeCell ref="B77:C77"/>
    <mergeCell ref="C408:D408"/>
    <mergeCell ref="C396:D396"/>
    <mergeCell ref="C397:D397"/>
    <mergeCell ref="C395:D395"/>
    <mergeCell ref="O347:T347"/>
    <mergeCell ref="K347:N347"/>
    <mergeCell ref="F26:G26"/>
    <mergeCell ref="C403:D403"/>
    <mergeCell ref="C366:D366"/>
    <mergeCell ref="C398:D398"/>
    <mergeCell ref="B42:D42"/>
    <mergeCell ref="B55:D55"/>
    <mergeCell ref="E366:F366"/>
    <mergeCell ref="I26:J26"/>
    <mergeCell ref="F347:G347"/>
    <mergeCell ref="C402:D402"/>
    <mergeCell ref="C391:D391"/>
    <mergeCell ref="C392:D392"/>
    <mergeCell ref="C385:D385"/>
    <mergeCell ref="C386:D386"/>
    <mergeCell ref="C50:D50"/>
    <mergeCell ref="C51:D51"/>
    <mergeCell ref="C52:D52"/>
    <mergeCell ref="C393:D393"/>
    <mergeCell ref="L18:M18"/>
    <mergeCell ref="I18:J18"/>
    <mergeCell ref="C431:D431"/>
    <mergeCell ref="C419:D419"/>
    <mergeCell ref="C420:D420"/>
    <mergeCell ref="C425:D425"/>
    <mergeCell ref="C427:D427"/>
    <mergeCell ref="C428:D428"/>
    <mergeCell ref="C429:D429"/>
    <mergeCell ref="C426:D426"/>
    <mergeCell ref="C430:D430"/>
    <mergeCell ref="C413:D413"/>
    <mergeCell ref="C414:D414"/>
    <mergeCell ref="C415:D415"/>
    <mergeCell ref="C387:D387"/>
    <mergeCell ref="C424:D424"/>
    <mergeCell ref="C409:D409"/>
    <mergeCell ref="C416:D416"/>
    <mergeCell ref="C417:D417"/>
    <mergeCell ref="C418:D418"/>
    <mergeCell ref="C404:D404"/>
    <mergeCell ref="C405:D405"/>
    <mergeCell ref="C406:D406"/>
    <mergeCell ref="C407:D407"/>
    <mergeCell ref="C5:D5"/>
    <mergeCell ref="C6:D6"/>
    <mergeCell ref="C8:D8"/>
    <mergeCell ref="C9:D9"/>
    <mergeCell ref="C10:D10"/>
    <mergeCell ref="C7:D7"/>
    <mergeCell ref="C11:D11"/>
    <mergeCell ref="C12:D12"/>
    <mergeCell ref="F19:G19"/>
    <mergeCell ref="C18:D18"/>
    <mergeCell ref="C13:D13"/>
    <mergeCell ref="B36:D36"/>
    <mergeCell ref="B37:D37"/>
    <mergeCell ref="F18:G18"/>
    <mergeCell ref="I19:J19"/>
    <mergeCell ref="I20:J20"/>
    <mergeCell ref="F20:G20"/>
    <mergeCell ref="I22:J22"/>
    <mergeCell ref="I21:J21"/>
    <mergeCell ref="I23:J23"/>
    <mergeCell ref="I24:J24"/>
    <mergeCell ref="B31:D31"/>
    <mergeCell ref="B32:D32"/>
    <mergeCell ref="L25:M25"/>
    <mergeCell ref="L26:M26"/>
    <mergeCell ref="C19:D19"/>
    <mergeCell ref="C20:D20"/>
    <mergeCell ref="C21:D21"/>
    <mergeCell ref="C22:D22"/>
    <mergeCell ref="C23:D23"/>
    <mergeCell ref="C24:D24"/>
    <mergeCell ref="C25:D25"/>
    <mergeCell ref="C26:D26"/>
    <mergeCell ref="I25:J25"/>
    <mergeCell ref="F24:G24"/>
    <mergeCell ref="F25:G25"/>
    <mergeCell ref="L19:M19"/>
    <mergeCell ref="L20:M20"/>
    <mergeCell ref="L21:M21"/>
    <mergeCell ref="F21:G21"/>
    <mergeCell ref="F22:G22"/>
    <mergeCell ref="F23:G23"/>
    <mergeCell ref="L22:M22"/>
    <mergeCell ref="L23:M23"/>
    <mergeCell ref="L24:M24"/>
    <mergeCell ref="B189:C189"/>
    <mergeCell ref="B190:C190"/>
    <mergeCell ref="B191:C191"/>
    <mergeCell ref="B192:C192"/>
    <mergeCell ref="B193:C193"/>
    <mergeCell ref="B194:C194"/>
    <mergeCell ref="B82:C82"/>
    <mergeCell ref="B83:C83"/>
    <mergeCell ref="B84:C84"/>
    <mergeCell ref="B85:C85"/>
    <mergeCell ref="B86:C86"/>
    <mergeCell ref="B87:C87"/>
    <mergeCell ref="B88:C88"/>
    <mergeCell ref="B89:C89"/>
    <mergeCell ref="B90:C90"/>
    <mergeCell ref="B138:C138"/>
    <mergeCell ref="B139:C139"/>
    <mergeCell ref="B140:C140"/>
    <mergeCell ref="B129:C129"/>
    <mergeCell ref="B130:C130"/>
    <mergeCell ref="B118:C118"/>
    <mergeCell ref="B186:C186"/>
    <mergeCell ref="B187:C187"/>
    <mergeCell ref="B188:C188"/>
  </mergeCells>
  <phoneticPr fontId="0" type="noConversion"/>
  <conditionalFormatting sqref="S19:S26 S6:S12">
    <cfRule type="notContainsBlanks" dxfId="490" priority="601" stopIfTrue="1">
      <formula>LEN(TRIM(S6))&gt;0</formula>
    </cfRule>
  </conditionalFormatting>
  <conditionalFormatting sqref="E19:E26">
    <cfRule type="notContainsBlanks" dxfId="489" priority="600" stopIfTrue="1">
      <formula>LEN(TRIM(E19))&gt;0</formula>
    </cfRule>
  </conditionalFormatting>
  <conditionalFormatting sqref="CV6:CV12">
    <cfRule type="expression" dxfId="488" priority="580" stopIfTrue="1">
      <formula>IF(OR(LEFT(CV6,15)="Investitionsgut",CV6=""),0,1)=1</formula>
    </cfRule>
  </conditionalFormatting>
  <conditionalFormatting sqref="CV19:CV26">
    <cfRule type="expression" dxfId="487" priority="579" stopIfTrue="1">
      <formula>IF(OR(LEFT(CV19,12)="Sammelposten",CV19=""),0,1)=1</formula>
    </cfRule>
  </conditionalFormatting>
  <conditionalFormatting sqref="CW43:CW49">
    <cfRule type="expression" dxfId="486" priority="578" stopIfTrue="1">
      <formula>IF(OR(LEFT(CW43,15)="Investitionsgut",CW43=""),0,1)=1</formula>
    </cfRule>
  </conditionalFormatting>
  <conditionalFormatting sqref="CW6:CW12">
    <cfRule type="expression" dxfId="485" priority="577" stopIfTrue="1">
      <formula>IF(OR(LEFT(CW6,15)="Investitionsgut",CW6=""),0,1)=1</formula>
    </cfRule>
  </conditionalFormatting>
  <conditionalFormatting sqref="F19:F26">
    <cfRule type="expression" dxfId="484" priority="541" stopIfTrue="1">
      <formula>IF(OR(LEFT(F19,2="Sa"),LEFT(F19,2="Co"),F19=""),0,1)=1</formula>
    </cfRule>
  </conditionalFormatting>
  <conditionalFormatting sqref="I19:I26">
    <cfRule type="expression" dxfId="483" priority="539" stopIfTrue="1">
      <formula>IF(OR(LEFT(I19,2="Sa"),LEFT(I19,2="Co"),I19=""),0,1)=1</formula>
    </cfRule>
  </conditionalFormatting>
  <conditionalFormatting sqref="G54:I54">
    <cfRule type="cellIs" dxfId="482" priority="352" stopIfTrue="1" operator="greaterThan">
      <formula>0</formula>
    </cfRule>
  </conditionalFormatting>
  <conditionalFormatting sqref="E6:E12">
    <cfRule type="cellIs" dxfId="481" priority="344" stopIfTrue="1" operator="greaterThan">
      <formula>0</formula>
    </cfRule>
  </conditionalFormatting>
  <conditionalFormatting sqref="H19:H26">
    <cfRule type="cellIs" dxfId="480" priority="136" stopIfTrue="1" operator="greaterThan">
      <formula>0</formula>
    </cfRule>
  </conditionalFormatting>
  <conditionalFormatting sqref="K19:K26">
    <cfRule type="cellIs" dxfId="479" priority="133" stopIfTrue="1" operator="greaterThan">
      <formula>0</formula>
    </cfRule>
  </conditionalFormatting>
  <conditionalFormatting sqref="N19:N26">
    <cfRule type="cellIs" dxfId="478" priority="130" stopIfTrue="1" operator="greaterThan">
      <formula>0</formula>
    </cfRule>
  </conditionalFormatting>
  <conditionalFormatting sqref="F6:F12">
    <cfRule type="expression" dxfId="477" priority="76" stopIfTrue="1">
      <formula>IF(AND(E6&gt;0,F6=0),1,0)</formula>
    </cfRule>
    <cfRule type="expression" dxfId="476" priority="80" stopIfTrue="1">
      <formula>IF(AND(E6=0,F6&gt;0),1,0)=1</formula>
    </cfRule>
    <cfRule type="cellIs" dxfId="475" priority="82" stopIfTrue="1" operator="greaterThan">
      <formula>0</formula>
    </cfRule>
  </conditionalFormatting>
  <conditionalFormatting sqref="G6:G12">
    <cfRule type="expression" dxfId="474" priority="275" stopIfTrue="1">
      <formula>IF(AND(E6&gt;0,G6&gt;0),1,0)=1</formula>
    </cfRule>
    <cfRule type="expression" dxfId="473" priority="276" stopIfTrue="1">
      <formula>IF(AND(E6=0,G6&gt;0),1,0)=1</formula>
    </cfRule>
  </conditionalFormatting>
  <conditionalFormatting sqref="I6:I12">
    <cfRule type="expression" dxfId="472" priority="269" stopIfTrue="1">
      <formula>IF(AND(AND(E6=0,G6=0),I6&gt;0),1,0)=1</formula>
    </cfRule>
    <cfRule type="expression" dxfId="471" priority="270" stopIfTrue="1">
      <formula>IF(AND(OR(E6&gt;0,G6&gt;0),I6&gt;0),1,0)=1</formula>
    </cfRule>
  </conditionalFormatting>
  <conditionalFormatting sqref="K6:K12">
    <cfRule type="expression" dxfId="470" priority="264" stopIfTrue="1">
      <formula>IF(AND(AND(E6=0,G6=0,I6=0),K6&gt;0),1,0)=1</formula>
    </cfRule>
    <cfRule type="expression" dxfId="469" priority="265" stopIfTrue="1">
      <formula>IF(AND(OR(E6&gt;0,G6&gt;0,I6&gt;0),K6&gt;0),1,0)=1</formula>
    </cfRule>
  </conditionalFormatting>
  <conditionalFormatting sqref="M6:M12">
    <cfRule type="expression" dxfId="468" priority="262" stopIfTrue="1">
      <formula>IF(AND(E6=0,G6=0,I6=0,K6=0,M6&gt;0),1,0)=1</formula>
    </cfRule>
    <cfRule type="expression" dxfId="467" priority="263" stopIfTrue="1">
      <formula>IF(AND(OR(E6&gt;0,G6&gt;0,I6&gt;0,K6&gt;0),M6&gt;0),1,0)=1</formula>
    </cfRule>
  </conditionalFormatting>
  <conditionalFormatting sqref="P6:P12">
    <cfRule type="expression" dxfId="466" priority="153" stopIfTrue="1">
      <formula>IF(AND(P6=0,OR(E6&gt;0,G6&gt;0,I6&gt;0,K6&gt;0,M6&gt;0)),1,0)=1</formula>
    </cfRule>
    <cfRule type="expression" dxfId="465" priority="154" stopIfTrue="1">
      <formula>IF(AND(OR(P6&gt;0,P6="x"),E6=0,G6=0,I6=0,K6=0,M6=0),1,0)=1</formula>
    </cfRule>
    <cfRule type="expression" dxfId="464" priority="155" stopIfTrue="1">
      <formula>IF(AND(OR(P6&gt;1,P6="x"),OR(E6&gt;0,G6&gt;0,I6&gt;0,K6&gt;0,M6&gt;0)),1,0)=1</formula>
    </cfRule>
  </conditionalFormatting>
  <conditionalFormatting sqref="N6:N12">
    <cfRule type="expression" dxfId="463" priority="258" stopIfTrue="1">
      <formula>IF(AND(E6=0,G6=0,I6=0,K6=0,M6&gt;0,N6&gt;0),1,0)=1</formula>
    </cfRule>
    <cfRule type="expression" dxfId="462" priority="259" stopIfTrue="1">
      <formula>IF(AND(OR(E6&gt;0,G6&gt;0,I6&gt;0,K6&gt;0),M6&gt;0),1,0)=1</formula>
    </cfRule>
    <cfRule type="expression" dxfId="461" priority="260" stopIfTrue="1">
      <formula>IF(AND(AND(E6=0,G6=0,I6=0,K6=0),M6&gt;0,N6=0),1,0)=1</formula>
    </cfRule>
  </conditionalFormatting>
  <conditionalFormatting sqref="L19:L26">
    <cfRule type="expression" dxfId="460" priority="73" stopIfTrue="1">
      <formula>IF(OR(LEFT(L19,2="Sa"),LEFT(L19,2="Co"),L19=""),0,1)=1</formula>
    </cfRule>
  </conditionalFormatting>
  <conditionalFormatting sqref="C6:C7">
    <cfRule type="expression" dxfId="459" priority="70" stopIfTrue="1">
      <formula>IF(OR(LEFT(C6,2="Sa"),LEFT(C6,2="Co"),C6=""),0,1)=1</formula>
    </cfRule>
  </conditionalFormatting>
  <conditionalFormatting sqref="C8">
    <cfRule type="expression" dxfId="458" priority="69" stopIfTrue="1">
      <formula>IF(OR(LEFT(C8,2="Sa"),LEFT(C8,2="Co"),C8=""),0,1)=1</formula>
    </cfRule>
  </conditionalFormatting>
  <conditionalFormatting sqref="C9">
    <cfRule type="expression" dxfId="457" priority="68" stopIfTrue="1">
      <formula>IF(OR(LEFT(C9,2="Sa"),LEFT(C9,2="Co"),C9=""),0,1)=1</formula>
    </cfRule>
  </conditionalFormatting>
  <conditionalFormatting sqref="C10">
    <cfRule type="expression" dxfId="456" priority="67" stopIfTrue="1">
      <formula>IF(OR(LEFT(C10,2="Sa"),LEFT(C10,2="Co"),C10=""),0,1)=1</formula>
    </cfRule>
  </conditionalFormatting>
  <conditionalFormatting sqref="C11">
    <cfRule type="expression" dxfId="455" priority="66" stopIfTrue="1">
      <formula>IF(OR(LEFT(C11,2="Sa"),LEFT(C11,2="Co"),C11=""),0,1)=1</formula>
    </cfRule>
  </conditionalFormatting>
  <conditionalFormatting sqref="C12">
    <cfRule type="expression" dxfId="454" priority="65" stopIfTrue="1">
      <formula>IF(OR(LEFT(C12,2="Sa"),LEFT(C12,2="Co"),C12=""),0,1)=1</formula>
    </cfRule>
  </conditionalFormatting>
  <conditionalFormatting sqref="B71:B77">
    <cfRule type="expression" dxfId="453" priority="60" stopIfTrue="1">
      <formula>IF(OR(LEFT(B71,2="Sa"),LEFT(B71,2="Co"),B71=""),0,1)=1</formula>
    </cfRule>
  </conditionalFormatting>
  <conditionalFormatting sqref="B187:B193">
    <cfRule type="expression" dxfId="452" priority="25" stopIfTrue="1">
      <formula>IF(OR(LEFT(B187,2="Sa"),LEFT(B187,2="Co"),B187=""),0,1)=1</formula>
    </cfRule>
  </conditionalFormatting>
  <conditionalFormatting sqref="H6:H12">
    <cfRule type="expression" dxfId="451" priority="22" stopIfTrue="1">
      <formula>IF(AND(G6&gt;0,H6=0),1,0)</formula>
    </cfRule>
    <cfRule type="expression" dxfId="450" priority="23" stopIfTrue="1">
      <formula>IF(AND(G6=0,H6&gt;0),1,0)=1</formula>
    </cfRule>
    <cfRule type="cellIs" dxfId="449" priority="24" stopIfTrue="1" operator="greaterThan">
      <formula>0</formula>
    </cfRule>
  </conditionalFormatting>
  <conditionalFormatting sqref="L6:L12">
    <cfRule type="expression" dxfId="448" priority="19" stopIfTrue="1">
      <formula>IF(AND(K6&gt;0,L6=0),1,0)</formula>
    </cfRule>
    <cfRule type="expression" dxfId="447" priority="20" stopIfTrue="1">
      <formula>IF(AND(K6=0,L6&gt;0),1,0)=1</formula>
    </cfRule>
    <cfRule type="cellIs" dxfId="446" priority="21" stopIfTrue="1" operator="greaterThan">
      <formula>0</formula>
    </cfRule>
  </conditionalFormatting>
  <conditionalFormatting sqref="B161:B167">
    <cfRule type="expression" dxfId="445" priority="14" stopIfTrue="1">
      <formula>IF(OR(LEFT(B161,2="Sa"),LEFT(B161,2="Co"),B161=""),0,1)=1</formula>
    </cfRule>
  </conditionalFormatting>
  <conditionalFormatting sqref="B135:B141">
    <cfRule type="expression" dxfId="444" priority="13" stopIfTrue="1">
      <formula>IF(OR(LEFT(B135,2="Sa"),LEFT(B135,2="Co"),B135=""),0,1)=1</formula>
    </cfRule>
  </conditionalFormatting>
  <conditionalFormatting sqref="B109:B115">
    <cfRule type="expression" dxfId="443" priority="12" stopIfTrue="1">
      <formula>IF(OR(LEFT(B109,2="Sa"),LEFT(B109,2="Co"),B109=""),0,1)=1</formula>
    </cfRule>
  </conditionalFormatting>
  <conditionalFormatting sqref="B83:B89">
    <cfRule type="expression" dxfId="442" priority="11" stopIfTrue="1">
      <formula>IF(OR(LEFT(B83,2="Sa"),LEFT(B83,2="Co"),B83=""),0,1)=1</formula>
    </cfRule>
  </conditionalFormatting>
  <conditionalFormatting sqref="B97:B103">
    <cfRule type="expression" dxfId="441" priority="10" stopIfTrue="1">
      <formula>IF(OR(LEFT(B97,2="Sa"),LEFT(B97,2="Co"),B97=""),0,1)=1</formula>
    </cfRule>
  </conditionalFormatting>
  <conditionalFormatting sqref="B123:B129">
    <cfRule type="expression" dxfId="440" priority="9" stopIfTrue="1">
      <formula>IF(OR(LEFT(B123,2="Sa"),LEFT(B123,2="Co"),B123=""),0,1)=1</formula>
    </cfRule>
  </conditionalFormatting>
  <conditionalFormatting sqref="B149:B155">
    <cfRule type="expression" dxfId="439" priority="8" stopIfTrue="1">
      <formula>IF(OR(LEFT(B149,2="Sa"),LEFT(B149,2="Co"),B149=""),0,1)=1</formula>
    </cfRule>
  </conditionalFormatting>
  <conditionalFormatting sqref="B175:B181">
    <cfRule type="expression" dxfId="438" priority="7" stopIfTrue="1">
      <formula>IF(OR(LEFT(B175,2="Sa"),LEFT(B175,2="Co"),B175=""),0,1)=1</formula>
    </cfRule>
  </conditionalFormatting>
  <conditionalFormatting sqref="C19:C26">
    <cfRule type="expression" dxfId="437" priority="4" stopIfTrue="1">
      <formula>IF(OR(LEFT(C19,2="Sa"),LEFT(C19,2="Co"),C19=""),0,1)=1</formula>
    </cfRule>
  </conditionalFormatting>
  <conditionalFormatting sqref="J6:J12">
    <cfRule type="expression" dxfId="436" priority="1" stopIfTrue="1">
      <formula>IF(AND(I6&gt;0,J6=0),1,0)</formula>
    </cfRule>
    <cfRule type="expression" dxfId="435" priority="2" stopIfTrue="1">
      <formula>IF(AND(I6=0,J6&gt;0),1,0)=1</formula>
    </cfRule>
    <cfRule type="cellIs" dxfId="434" priority="3" stopIfTrue="1" operator="greaterThan">
      <formula>0</formula>
    </cfRule>
  </conditionalFormatting>
  <dataValidations xWindow="411" yWindow="523" count="12">
    <dataValidation allowBlank="1" showInputMessage="1" showErrorMessage="1" promptTitle="Beispiele" prompt="Grundstücke, Gebäude, Maschinen, Büroeinrichtungen, PC-anlagen_x000a_Software, Kraftfahrzeuge, ... und sonstiges &gt;450 EUR" sqref="C413:C420 C391:C398 C380:C387 C424:C431 CV402:CV409 C402:C409 CV413:CV420 CV391:CV398 CV380:CV387 CV424:CV431 CV6:CV13 B78 C13:C14 C27"/>
    <dataValidation type="list" allowBlank="1" showErrorMessage="1" promptTitle="Mit Mauszeiger auf Pfeil klicken" prompt="In Menü-Liste den Monat anklicken, in dem investiert werden soll._x000a_Keine Eingabe = Januar" sqref="N6:N12 L6:L12 J6:J12 F6:F12 H6:H12">
      <formula1>$U$350:$AF$350</formula1>
    </dataValidation>
    <dataValidation type="decimal" allowBlank="1" showInputMessage="1" showErrorMessage="1" errorTitle="Wertebeschränkung" error="Im Sammelposten können nur Wirtschaftsgüter von 150 EUR bis einschließlich 1000 EUR aufgenommen werden" sqref="N19:N26 H19:H26 K19:K26 E19:E26">
      <formula1>150</formula1>
      <formula2>1000</formula2>
    </dataValidation>
    <dataValidation operator="equal" allowBlank="1" showInputMessage="1" showErrorMessage="1" sqref="F13 H13 J13 L13 N13"/>
    <dataValidation showDropDown="1" showInputMessage="1" showErrorMessage="1" prompt="_x000a__x000a_" sqref="P13"/>
    <dataValidation type="whole" operator="greaterThan" allowBlank="1" showInputMessage="1" showErrorMessage="1" error="Werte unter410 EUR als Betriebsausgaben im Jahr abschreiben oder in den Sammelposten eingeben" sqref="K6:K12 I6:I12 G6:G12 E6:E12 M6:M12">
      <formula1>409</formula1>
    </dataValidation>
    <dataValidation allowBlank="1" showInputMessage="1" showErrorMessage="1" promptTitle="Beispiele" prompt="Kleinere Anschaffungen zwischen 150 EUR bis 1000 EUR können als Sammelposten gemeinsam über 5 Jahre abgeschreiben werden!_x000a_Siehe auch Kommentar 1 b)_x000a_" sqref="CV19:CV26 F19:F26 I19:I26 L19:L26 C19:C26"/>
    <dataValidation type="list" showErrorMessage="1" prompt="_x000a_" sqref="P6:P12">
      <formula1>$R$1:$R$14</formula1>
    </dataValidation>
    <dataValidation operator="greaterThan" allowBlank="1" showInputMessage="1" showErrorMessage="1" error="Werte unter410 EUR als Betriebsausgaben im Jahr abschreiben oder in den Sammelposten eingeben" sqref="D71:D77 D97:D104 D123:D130 D149:D156 D175:D182"/>
    <dataValidation allowBlank="1" showErrorMessage="1" promptTitle="Mit Mauszeiger auf Pfeil klicken" prompt="In Menü-Liste den Monat anklicken, in dem investiert werden soll._x000a_Keine Eingabe = Januar" sqref="F71:F78 F97:F104 F175:F182 F149:F156 F123:F130"/>
    <dataValidation allowBlank="1" showErrorMessage="1" promptTitle="Beispiele" prompt="Grundstücke, Gebäude, Maschinen, Büroeinrichtungen, PC-anlagen_x000a_Software, Kraftfahrzeuge, ... und sonstiges &gt;450 EUR" sqref="B131 B157 B183 B105 B79"/>
    <dataValidation type="list" allowBlank="1" showErrorMessage="1" promptTitle="Mit Mauszeiger auf Pfeil klicken" prompt="In Menü-Liste den Monat anklicken, in dem investiert werden soll._x000a_Keine Eingabe = Januar" sqref="O6:O12">
      <formula1>$O$3</formula1>
    </dataValidation>
  </dataValidations>
  <hyperlinks>
    <hyperlink ref="B65:D65" r:id="rId1" display="Abschreibungen von geringwertigen_Wirtschaftsgütern / Sammelposten"/>
    <hyperlink ref="B65" r:id="rId2" display="Erläuterungen zu Abschreibungen von geringwertigen Wirtschaftsgütern / Sammelposten"/>
    <hyperlink ref="B57" r:id="rId3"/>
    <hyperlink ref="CW57" r:id="rId4"/>
    <hyperlink ref="B65:J65" r:id="rId5" display="Erläuterungen zu geringwertige Wirtschaftsgüter/Sammelposten |  Annotation low-value Assets/Compound Item"/>
  </hyperlinks>
  <printOptions horizontalCentered="1"/>
  <pageMargins left="0.59055118110236227" right="0.59055118110236227" top="0.51181102362204722" bottom="0.51181102362204722" header="0.31496062992125984" footer="0.31496062992125984"/>
  <pageSetup paperSize="9" scale="52" orientation="landscape" r:id="rId6"/>
  <headerFooter>
    <oddFooter>&amp;L&amp;"Verdana,Standard"&amp;9&amp;A&amp;C&amp;"Verdana,Standard"&amp;9&amp;F&amp;R&amp;"Verdana,Standard"&amp;9© 2017 www.Kindermanns.de
Jürgen Erlewein</oddFooter>
  </headerFooter>
  <rowBreaks count="1" manualBreakCount="1">
    <brk id="28" min="1" max="15" man="1"/>
  </rowBreaks>
  <drawing r:id="rId7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>
    <pageSetUpPr fitToPage="1"/>
  </sheetPr>
  <dimension ref="A1:EZ467"/>
  <sheetViews>
    <sheetView showGridLines="0" topLeftCell="A2" zoomScale="73" zoomScaleNormal="73" zoomScalePageLayoutView="50" workbookViewId="0">
      <selection activeCell="E141" sqref="E141:H141"/>
    </sheetView>
  </sheetViews>
  <sheetFormatPr baseColWidth="10" defaultColWidth="11.42578125" defaultRowHeight="14.25" x14ac:dyDescent="0.2"/>
  <cols>
    <col min="1" max="1" width="5.85546875" style="886" customWidth="1"/>
    <col min="2" max="2" width="5.7109375" style="32" customWidth="1"/>
    <col min="3" max="3" width="69.140625" style="38" customWidth="1"/>
    <col min="4" max="15" width="14.7109375" style="38" customWidth="1"/>
    <col min="16" max="16" width="14.7109375" style="205" customWidth="1"/>
    <col min="17" max="17" width="4.7109375" style="205" customWidth="1"/>
    <col min="18" max="18" width="4.7109375" style="55" customWidth="1"/>
    <col min="19" max="19" width="44.140625" style="169" customWidth="1"/>
    <col min="20" max="20" width="13.42578125" style="34" customWidth="1"/>
    <col min="21" max="21" width="30.7109375" style="38" customWidth="1"/>
    <col min="22" max="34" width="15" style="206" customWidth="1"/>
    <col min="35" max="36" width="11.42578125" style="34" customWidth="1"/>
    <col min="37" max="52" width="11.42578125" style="34" hidden="1" customWidth="1"/>
    <col min="53" max="53" width="11.42578125" style="67" hidden="1" customWidth="1"/>
    <col min="54" max="54" width="62.85546875" style="67" hidden="1" customWidth="1"/>
    <col min="55" max="66" width="11.42578125" style="67" hidden="1" customWidth="1"/>
    <col min="67" max="67" width="14.7109375" style="205" hidden="1" customWidth="1"/>
    <col min="68" max="70" width="11.42578125" style="67" hidden="1" customWidth="1"/>
    <col min="71" max="71" width="62.85546875" style="67" hidden="1" customWidth="1"/>
    <col min="72" max="85" width="11.42578125" style="34" hidden="1" customWidth="1"/>
    <col min="86" max="98" width="11.42578125" style="38" hidden="1" customWidth="1"/>
    <col min="99" max="99" width="47.5703125" style="38" hidden="1" customWidth="1"/>
    <col min="100" max="100" width="44.5703125" style="38" hidden="1" customWidth="1"/>
    <col min="101" max="101" width="11.28515625" style="909" hidden="1" customWidth="1"/>
    <col min="102" max="102" width="21" style="989" hidden="1" customWidth="1"/>
    <col min="103" max="103" width="91" style="922" hidden="1" customWidth="1"/>
    <col min="104" max="104" width="61.5703125" style="905" hidden="1" customWidth="1"/>
    <col min="105" max="105" width="13.28515625" style="988" hidden="1" customWidth="1"/>
    <col min="106" max="106" width="12.85546875" style="205" hidden="1" customWidth="1"/>
    <col min="107" max="108" width="61.5703125" style="139" hidden="1" customWidth="1"/>
    <col min="109" max="122" width="11.42578125" style="139" hidden="1" customWidth="1"/>
    <col min="123" max="156" width="11.42578125" style="38" hidden="1" customWidth="1"/>
    <col min="157" max="16384" width="11.42578125" style="38"/>
  </cols>
  <sheetData>
    <row r="1" spans="1:133" ht="66" customHeight="1" x14ac:dyDescent="0.2">
      <c r="CW1" s="987"/>
    </row>
    <row r="2" spans="1:133" s="34" customFormat="1" ht="33" customHeight="1" x14ac:dyDescent="0.2">
      <c r="A2" s="1639" t="str">
        <f>IF($C$2="English","Choose VAT","Auswahl MwSt")</f>
        <v>Auswahl MwSt</v>
      </c>
      <c r="B2" s="32"/>
      <c r="C2" s="33" t="str">
        <f>'Deckblatt Gruender|Data Founder'!$D$8</f>
        <v>Deutsch</v>
      </c>
      <c r="P2" s="35"/>
      <c r="Q2" s="655">
        <v>0.19</v>
      </c>
      <c r="R2" s="655"/>
      <c r="T2" s="36" t="s">
        <v>229</v>
      </c>
      <c r="V2" s="37"/>
      <c r="W2" s="37"/>
      <c r="X2" s="37"/>
      <c r="Y2" s="37"/>
      <c r="Z2" s="37"/>
      <c r="AA2" s="37"/>
      <c r="AB2" s="37"/>
      <c r="AC2" s="37"/>
      <c r="AD2" s="37"/>
      <c r="AE2" s="37"/>
      <c r="AF2" s="37"/>
      <c r="AG2" s="37"/>
      <c r="AH2" s="37"/>
      <c r="BA2" s="67"/>
      <c r="BB2" s="67"/>
      <c r="BC2" s="67"/>
      <c r="BD2" s="67"/>
      <c r="BE2" s="67"/>
      <c r="BF2" s="67"/>
      <c r="BG2" s="67"/>
      <c r="BH2" s="67"/>
      <c r="BI2" s="67"/>
      <c r="BJ2" s="67"/>
      <c r="BK2" s="67"/>
      <c r="BL2" s="67"/>
      <c r="BM2" s="67"/>
      <c r="BN2" s="67"/>
      <c r="BO2" s="35"/>
      <c r="BP2" s="67"/>
      <c r="BQ2" s="67"/>
      <c r="BR2" s="67"/>
      <c r="BS2" s="67"/>
      <c r="CU2" s="39"/>
      <c r="CV2" s="39"/>
      <c r="CW2" s="1259" t="s">
        <v>498</v>
      </c>
      <c r="CX2" s="995" t="s">
        <v>501</v>
      </c>
      <c r="CY2" s="922"/>
      <c r="CZ2" s="922"/>
      <c r="DA2" s="988" t="s">
        <v>498</v>
      </c>
      <c r="DB2" s="205" t="s">
        <v>501</v>
      </c>
      <c r="DG2" s="39" t="s">
        <v>1</v>
      </c>
      <c r="DH2" s="39" t="s">
        <v>2</v>
      </c>
      <c r="DI2" s="39" t="s">
        <v>3</v>
      </c>
      <c r="DJ2" s="39" t="s">
        <v>4</v>
      </c>
      <c r="DK2" s="39" t="s">
        <v>5</v>
      </c>
      <c r="DL2" s="39" t="s">
        <v>6</v>
      </c>
      <c r="DM2" s="39" t="s">
        <v>7</v>
      </c>
      <c r="DN2" s="39" t="s">
        <v>8</v>
      </c>
      <c r="DO2" s="39" t="s">
        <v>9</v>
      </c>
      <c r="DP2" s="39" t="s">
        <v>10</v>
      </c>
      <c r="DQ2" s="39" t="s">
        <v>11</v>
      </c>
      <c r="DR2" s="39" t="s">
        <v>12</v>
      </c>
      <c r="DS2" s="39" t="str">
        <f ca="1">"Jahr "&amp;'1 Pers.Ausgaben|Pers Expenses'!C4</f>
        <v>Jahr 2017</v>
      </c>
      <c r="DT2" s="38"/>
    </row>
    <row r="3" spans="1:133" s="41" customFormat="1" ht="24.75" x14ac:dyDescent="0.2">
      <c r="A3" s="1639"/>
      <c r="B3" s="40" t="str">
        <f ca="1">IF($C$2="English",CZ3,CY3)</f>
        <v xml:space="preserve">4a Betriebskosten für das Jahr 2017 in EUR (ohne MwSt) </v>
      </c>
      <c r="D3" s="34"/>
      <c r="E3" s="34"/>
      <c r="F3" s="34"/>
      <c r="G3" s="34"/>
      <c r="H3" s="34"/>
      <c r="I3" s="34"/>
      <c r="J3" s="34"/>
      <c r="K3" s="34"/>
      <c r="L3" s="34"/>
      <c r="M3" s="34"/>
      <c r="N3" s="34"/>
      <c r="O3" s="34"/>
      <c r="Q3" s="655">
        <v>7.0000000000000007E-2</v>
      </c>
      <c r="R3" s="655"/>
      <c r="T3" s="36" t="s">
        <v>310</v>
      </c>
      <c r="U3" s="42" t="str">
        <f>IF($C$2="English",CV5,CU5)</f>
        <v>Nebenrechung Personalkosten</v>
      </c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BA3" s="152"/>
      <c r="BB3" s="152"/>
      <c r="BC3" s="152"/>
      <c r="BD3" s="152"/>
      <c r="BE3" s="152"/>
      <c r="BF3" s="152"/>
      <c r="BG3" s="152"/>
      <c r="BH3" s="152"/>
      <c r="BI3" s="152"/>
      <c r="BJ3" s="152"/>
      <c r="BK3" s="152"/>
      <c r="BL3" s="152"/>
      <c r="BM3" s="152"/>
      <c r="BN3" s="152"/>
      <c r="BP3" s="152"/>
      <c r="BQ3" s="152"/>
      <c r="BR3" s="152"/>
      <c r="BS3" s="152"/>
      <c r="CU3" s="39"/>
      <c r="CV3" s="39"/>
      <c r="CW3" s="987" t="s">
        <v>499</v>
      </c>
      <c r="CX3" s="989"/>
      <c r="CY3" s="954" t="str">
        <f ca="1">"4a Betriebskosten für das Jahr " &amp;'1 Pers.Ausgaben|Pers Expenses'!$C$4&amp;" in EUR" &amp; " (" &amp; IF(OR($D$4=1,$D$4=2),"mit MwSt","ohne MwSt")&amp; ") "</f>
        <v xml:space="preserve">4a Betriebskosten für das Jahr 2017 in EUR (ohne MwSt) </v>
      </c>
      <c r="CZ3" s="955" t="str">
        <f ca="1">"4a-1 Operating Cost for Year " &amp;'1 Pers.Ausgaben|Pers Expenses'!$C$4&amp;" in EUR" &amp; " (" &amp;IF(OR($D$4=1,$D$4=2),"incl. VAT","w/o VAT")&amp; ") "</f>
        <v xml:space="preserve">4a-1 Operating Cost for Year 2017 in EUR (w/o VAT) </v>
      </c>
      <c r="DA3" s="1293" t="s">
        <v>500</v>
      </c>
      <c r="DB3" s="988"/>
      <c r="DG3" s="39" t="s">
        <v>73</v>
      </c>
      <c r="DH3" s="39" t="s">
        <v>74</v>
      </c>
      <c r="DI3" s="39" t="s">
        <v>306</v>
      </c>
      <c r="DJ3" s="39" t="s">
        <v>76</v>
      </c>
      <c r="DK3" s="39" t="s">
        <v>303</v>
      </c>
      <c r="DL3" s="39" t="s">
        <v>304</v>
      </c>
      <c r="DM3" s="39" t="s">
        <v>305</v>
      </c>
      <c r="DN3" s="39" t="s">
        <v>79</v>
      </c>
      <c r="DO3" s="39" t="s">
        <v>307</v>
      </c>
      <c r="DP3" s="39" t="s">
        <v>308</v>
      </c>
      <c r="DQ3" s="39" t="s">
        <v>82</v>
      </c>
      <c r="DR3" s="39" t="s">
        <v>309</v>
      </c>
      <c r="DS3" s="39" t="str">
        <f ca="1">"Year "&amp;'1 Pers.Ausgaben|Pers Expenses'!C4</f>
        <v>Year 2017</v>
      </c>
      <c r="DT3" s="38"/>
      <c r="DU3" s="34"/>
      <c r="DV3" s="34"/>
      <c r="DW3" s="34"/>
      <c r="DX3" s="34"/>
      <c r="DY3" s="34"/>
      <c r="DZ3" s="34"/>
      <c r="EA3" s="34"/>
      <c r="EB3" s="34"/>
      <c r="EC3" s="34"/>
    </row>
    <row r="4" spans="1:133" s="45" customFormat="1" ht="15.75" thickBot="1" x14ac:dyDescent="0.25">
      <c r="A4" s="1639"/>
      <c r="B4" s="44" t="str">
        <f>IF($C$2="English",CZ4,CY4)</f>
        <v xml:space="preserve">   ┌   MwSt-Satz der jeweiligen Kostenart</v>
      </c>
      <c r="C4" s="207"/>
      <c r="D4" s="45">
        <f>'Deckblatt Gruender|Data Founder'!M1</f>
        <v>0</v>
      </c>
      <c r="Q4" s="931">
        <v>0</v>
      </c>
      <c r="T4" s="46"/>
      <c r="U4" s="33"/>
      <c r="V4" s="47"/>
      <c r="W4" s="47"/>
      <c r="X4" s="47"/>
      <c r="Y4" s="47"/>
      <c r="Z4" s="47"/>
      <c r="AA4" s="47"/>
      <c r="AB4" s="47"/>
      <c r="AC4" s="47"/>
      <c r="AD4" s="47"/>
      <c r="AE4" s="47"/>
      <c r="AF4" s="47"/>
      <c r="AG4" s="47"/>
      <c r="AH4" s="43"/>
      <c r="BA4" s="201"/>
      <c r="BB4" s="201"/>
      <c r="BC4" s="201"/>
      <c r="BD4" s="201"/>
      <c r="BE4" s="201"/>
      <c r="BF4" s="201"/>
      <c r="BG4" s="201"/>
      <c r="BH4" s="201"/>
      <c r="BI4" s="201"/>
      <c r="BJ4" s="201"/>
      <c r="BK4" s="201"/>
      <c r="BL4" s="201"/>
      <c r="BM4" s="201"/>
      <c r="BN4" s="201"/>
      <c r="BP4" s="201"/>
      <c r="BQ4" s="201"/>
      <c r="BR4" s="201"/>
      <c r="BS4" s="201"/>
      <c r="CU4" s="988"/>
      <c r="CV4" s="988"/>
      <c r="CW4" s="909"/>
      <c r="CX4" s="989"/>
      <c r="CY4" s="956" t="str">
        <f>IF($D$4=-1,"","   ┌   MwSt-Satz der jeweiligen Kostenart")</f>
        <v xml:space="preserve">   ┌   MwSt-Satz der jeweiligen Kostenart</v>
      </c>
      <c r="CZ4" s="922" t="str">
        <f>IF($D$4=-1,"","   ┌   VAT for Cost Type")</f>
        <v xml:space="preserve">   ┌   VAT for Cost Type</v>
      </c>
      <c r="DA4" s="988"/>
      <c r="DB4" s="988"/>
      <c r="DC4" s="988"/>
      <c r="DD4" s="988"/>
      <c r="DE4" s="205"/>
      <c r="DF4" s="205"/>
      <c r="DG4" s="205"/>
      <c r="DH4" s="205"/>
      <c r="DI4" s="205"/>
      <c r="DJ4" s="205"/>
      <c r="DK4" s="205"/>
      <c r="DL4" s="205"/>
      <c r="DM4" s="205"/>
      <c r="DN4" s="205"/>
      <c r="DO4" s="205"/>
      <c r="DP4" s="48"/>
    </row>
    <row r="5" spans="1:133" s="58" customFormat="1" ht="15" thickBot="1" x14ac:dyDescent="0.25">
      <c r="A5" s="1639"/>
      <c r="B5" s="49" t="s">
        <v>302</v>
      </c>
      <c r="C5" s="50" t="str">
        <f t="shared" ref="C5:C36" si="0">IF($C$2="Deutsch",CY5,IF($C$2="English",CZ5,DB5))</f>
        <v>Kostenart</v>
      </c>
      <c r="D5" s="51" t="str">
        <f t="shared" ref="D5:P5" si="1">IF($C$2="English",DG3,DG2)</f>
        <v>Jan.</v>
      </c>
      <c r="E5" s="51" t="str">
        <f t="shared" si="1"/>
        <v>Febr.</v>
      </c>
      <c r="F5" s="51" t="str">
        <f t="shared" si="1"/>
        <v>März</v>
      </c>
      <c r="G5" s="51" t="str">
        <f t="shared" si="1"/>
        <v>April</v>
      </c>
      <c r="H5" s="51" t="str">
        <f t="shared" si="1"/>
        <v>Mai</v>
      </c>
      <c r="I5" s="51" t="str">
        <f t="shared" si="1"/>
        <v>Juni</v>
      </c>
      <c r="J5" s="51" t="str">
        <f t="shared" si="1"/>
        <v>Juli</v>
      </c>
      <c r="K5" s="51" t="str">
        <f t="shared" si="1"/>
        <v>Aug.</v>
      </c>
      <c r="L5" s="51" t="str">
        <f t="shared" si="1"/>
        <v>Sept.</v>
      </c>
      <c r="M5" s="51" t="str">
        <f t="shared" si="1"/>
        <v>Okt.</v>
      </c>
      <c r="N5" s="51" t="str">
        <f t="shared" si="1"/>
        <v>Nov.</v>
      </c>
      <c r="O5" s="51" t="str">
        <f t="shared" si="1"/>
        <v>Dez.</v>
      </c>
      <c r="P5" s="52" t="str">
        <f t="shared" ca="1" si="1"/>
        <v>Jahr 2017</v>
      </c>
      <c r="Q5" s="35"/>
      <c r="R5" s="53"/>
      <c r="S5" s="54" t="str">
        <f>IF(C2="English",T3,T2)</f>
        <v>Aufgaben und/oder Kommentar</v>
      </c>
      <c r="T5" s="55"/>
      <c r="U5" s="760">
        <f ca="1">D81</f>
        <v>2017</v>
      </c>
      <c r="V5" s="57" t="str">
        <f t="shared" ref="V5:AG5" si="2">D5</f>
        <v>Jan.</v>
      </c>
      <c r="W5" s="57" t="str">
        <f t="shared" si="2"/>
        <v>Febr.</v>
      </c>
      <c r="X5" s="57" t="str">
        <f t="shared" si="2"/>
        <v>März</v>
      </c>
      <c r="Y5" s="57" t="str">
        <f t="shared" si="2"/>
        <v>April</v>
      </c>
      <c r="Z5" s="57" t="str">
        <f t="shared" si="2"/>
        <v>Mai</v>
      </c>
      <c r="AA5" s="57" t="str">
        <f t="shared" si="2"/>
        <v>Juni</v>
      </c>
      <c r="AB5" s="57" t="str">
        <f t="shared" si="2"/>
        <v>Juli</v>
      </c>
      <c r="AC5" s="57" t="str">
        <f t="shared" si="2"/>
        <v>Aug.</v>
      </c>
      <c r="AD5" s="57" t="str">
        <f t="shared" si="2"/>
        <v>Sept.</v>
      </c>
      <c r="AE5" s="57" t="str">
        <f t="shared" si="2"/>
        <v>Okt.</v>
      </c>
      <c r="AF5" s="57" t="str">
        <f t="shared" si="2"/>
        <v>Nov.</v>
      </c>
      <c r="AG5" s="212" t="str">
        <f t="shared" si="2"/>
        <v>Dez.</v>
      </c>
      <c r="AH5" s="43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49" t="s">
        <v>302</v>
      </c>
      <c r="BB5" s="50" t="str">
        <f>"MwSt "&amp;$Q$2*100&amp;"%"</f>
        <v>MwSt 19%</v>
      </c>
      <c r="BC5" s="51" t="s">
        <v>1</v>
      </c>
      <c r="BD5" s="51" t="s">
        <v>2</v>
      </c>
      <c r="BE5" s="51" t="s">
        <v>3</v>
      </c>
      <c r="BF5" s="51" t="s">
        <v>4</v>
      </c>
      <c r="BG5" s="51" t="s">
        <v>5</v>
      </c>
      <c r="BH5" s="51" t="s">
        <v>6</v>
      </c>
      <c r="BI5" s="51" t="s">
        <v>7</v>
      </c>
      <c r="BJ5" s="51" t="s">
        <v>8</v>
      </c>
      <c r="BK5" s="51" t="s">
        <v>9</v>
      </c>
      <c r="BL5" s="51" t="s">
        <v>10</v>
      </c>
      <c r="BM5" s="51" t="s">
        <v>11</v>
      </c>
      <c r="BN5" s="51" t="s">
        <v>12</v>
      </c>
      <c r="BO5" s="52">
        <f>IF($C$2="English",FN3,FN2)</f>
        <v>0</v>
      </c>
      <c r="BP5" s="155"/>
      <c r="BQ5" s="155"/>
      <c r="BR5" s="49" t="s">
        <v>302</v>
      </c>
      <c r="BS5" s="50" t="str">
        <f>"MwSt "&amp;$Q$3*100&amp;"%"</f>
        <v>MwSt 7%</v>
      </c>
      <c r="BT5" s="51" t="s">
        <v>1</v>
      </c>
      <c r="BU5" s="51" t="s">
        <v>2</v>
      </c>
      <c r="BV5" s="51" t="s">
        <v>3</v>
      </c>
      <c r="BW5" s="51" t="s">
        <v>4</v>
      </c>
      <c r="BX5" s="51" t="s">
        <v>5</v>
      </c>
      <c r="BY5" s="51" t="s">
        <v>6</v>
      </c>
      <c r="BZ5" s="51" t="s">
        <v>7</v>
      </c>
      <c r="CA5" s="51" t="s">
        <v>8</v>
      </c>
      <c r="CB5" s="51" t="s">
        <v>9</v>
      </c>
      <c r="CC5" s="51" t="s">
        <v>10</v>
      </c>
      <c r="CD5" s="51" t="s">
        <v>11</v>
      </c>
      <c r="CE5" s="51" t="s">
        <v>12</v>
      </c>
      <c r="CF5" s="52">
        <f>IF($C$2="English",GE3,GE2)</f>
        <v>0</v>
      </c>
      <c r="CG5" s="55"/>
      <c r="CU5" s="39" t="s">
        <v>317</v>
      </c>
      <c r="CV5" s="39" t="s">
        <v>652</v>
      </c>
      <c r="CW5" s="985"/>
      <c r="CX5" s="990"/>
      <c r="CY5" s="60" t="s">
        <v>0</v>
      </c>
      <c r="CZ5" s="39" t="s">
        <v>297</v>
      </c>
      <c r="DA5" s="174"/>
      <c r="DB5" s="174"/>
      <c r="DC5" s="39" t="s">
        <v>317</v>
      </c>
      <c r="DD5" s="39" t="s">
        <v>318</v>
      </c>
      <c r="DP5" s="345"/>
      <c r="DQ5" s="345"/>
      <c r="DR5" s="345"/>
    </row>
    <row r="6" spans="1:133" x14ac:dyDescent="0.2">
      <c r="A6" s="1639"/>
      <c r="B6" s="185">
        <v>1</v>
      </c>
      <c r="C6" s="62" t="str">
        <f t="shared" si="0"/>
        <v>Bürokosten</v>
      </c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4"/>
      <c r="Q6" s="35"/>
      <c r="R6" s="65"/>
      <c r="S6" s="66"/>
      <c r="T6" s="67"/>
      <c r="U6" s="1111" t="str">
        <f t="shared" ref="U6:U13" si="3">IF($C$2="English",CV6,CU6)</f>
        <v xml:space="preserve"> Anzahl Mitarbeiter</v>
      </c>
      <c r="V6" s="68"/>
      <c r="W6" s="68"/>
      <c r="X6" s="68"/>
      <c r="Y6" s="68"/>
      <c r="Z6" s="68"/>
      <c r="AA6" s="68"/>
      <c r="AB6" s="68"/>
      <c r="AC6" s="68"/>
      <c r="AD6" s="68"/>
      <c r="AE6" s="68"/>
      <c r="AF6" s="68"/>
      <c r="AG6" s="1008"/>
      <c r="AH6" s="43"/>
      <c r="BA6" s="185">
        <v>1</v>
      </c>
      <c r="BB6" s="62" t="s">
        <v>46</v>
      </c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4"/>
      <c r="BR6" s="185">
        <v>1</v>
      </c>
      <c r="BS6" s="62" t="s">
        <v>46</v>
      </c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4"/>
      <c r="CU6" s="1004" t="s">
        <v>177</v>
      </c>
      <c r="CV6" s="1004" t="s">
        <v>655</v>
      </c>
      <c r="CW6" s="987">
        <v>1</v>
      </c>
      <c r="CY6" s="923" t="s">
        <v>46</v>
      </c>
      <c r="CZ6" s="921" t="s">
        <v>263</v>
      </c>
      <c r="DA6" s="987">
        <v>1</v>
      </c>
      <c r="DB6" s="998">
        <f>VLOOKUP(DA6,$CW$6:$CZ$66,2,FALSE)</f>
        <v>0</v>
      </c>
      <c r="DC6" s="994" t="str">
        <f>VLOOKUP(DA6,$CW$6:$CZ$66,3,FALSE)</f>
        <v>Bürokosten</v>
      </c>
      <c r="DD6" s="994" t="str">
        <f>VLOOKUP(DA6,$CW$6:$CZ$66,4,FALSE)</f>
        <v>Office expences</v>
      </c>
    </row>
    <row r="7" spans="1:133" x14ac:dyDescent="0.2">
      <c r="A7" s="70">
        <f>$Q$2</f>
        <v>0.19</v>
      </c>
      <c r="B7" s="71">
        <f>IF($D$4&lt;&gt;1, A7,"")</f>
        <v>0.19</v>
      </c>
      <c r="C7" s="1413" t="str">
        <f t="shared" si="0"/>
        <v>Raummiete</v>
      </c>
      <c r="D7" s="1414"/>
      <c r="E7" s="1414"/>
      <c r="F7" s="1414"/>
      <c r="G7" s="1414"/>
      <c r="H7" s="1414"/>
      <c r="I7" s="1414"/>
      <c r="J7" s="1414"/>
      <c r="K7" s="1414"/>
      <c r="L7" s="1414"/>
      <c r="M7" s="1414"/>
      <c r="N7" s="1414"/>
      <c r="O7" s="1414"/>
      <c r="P7" s="1415">
        <f t="shared" ref="P7:P12" si="4">SUM(D7:O7)</f>
        <v>0</v>
      </c>
      <c r="Q7" s="75"/>
      <c r="R7" s="76"/>
      <c r="S7" s="1546" t="s">
        <v>761</v>
      </c>
      <c r="T7" s="67"/>
      <c r="U7" s="1112" t="str">
        <f t="shared" si="3"/>
        <v>Gehalt1</v>
      </c>
      <c r="V7" s="77"/>
      <c r="W7" s="77"/>
      <c r="X7" s="77"/>
      <c r="Y7" s="77"/>
      <c r="Z7" s="77"/>
      <c r="AA7" s="77"/>
      <c r="AB7" s="77"/>
      <c r="AC7" s="77"/>
      <c r="AD7" s="77"/>
      <c r="AE7" s="77"/>
      <c r="AF7" s="77"/>
      <c r="AG7" s="1009"/>
      <c r="AH7" s="43"/>
      <c r="BA7" s="71">
        <v>0.19</v>
      </c>
      <c r="BB7" s="72" t="s">
        <v>453</v>
      </c>
      <c r="BC7" s="1254">
        <f t="shared" ref="BC7:BN12" si="5">IF($A7=$Q$2,D7*IF(OR($D$4=0,$D$4=3),$A7,$A7/(1+$A7)),0)</f>
        <v>0</v>
      </c>
      <c r="BD7" s="1254">
        <f t="shared" si="5"/>
        <v>0</v>
      </c>
      <c r="BE7" s="1254">
        <f t="shared" si="5"/>
        <v>0</v>
      </c>
      <c r="BF7" s="1254">
        <f t="shared" si="5"/>
        <v>0</v>
      </c>
      <c r="BG7" s="1254">
        <f t="shared" si="5"/>
        <v>0</v>
      </c>
      <c r="BH7" s="1254">
        <f t="shared" si="5"/>
        <v>0</v>
      </c>
      <c r="BI7" s="1254">
        <f t="shared" si="5"/>
        <v>0</v>
      </c>
      <c r="BJ7" s="1254">
        <f t="shared" si="5"/>
        <v>0</v>
      </c>
      <c r="BK7" s="1254">
        <f t="shared" si="5"/>
        <v>0</v>
      </c>
      <c r="BL7" s="1254">
        <f t="shared" si="5"/>
        <v>0</v>
      </c>
      <c r="BM7" s="1254">
        <f t="shared" si="5"/>
        <v>0</v>
      </c>
      <c r="BN7" s="1254">
        <f t="shared" si="5"/>
        <v>0</v>
      </c>
      <c r="BO7" s="1216">
        <f t="shared" ref="BO7:BO12" si="6">SUM(BC7:BN7)</f>
        <v>0</v>
      </c>
      <c r="BR7" s="71">
        <v>0.19</v>
      </c>
      <c r="BS7" s="72" t="s">
        <v>453</v>
      </c>
      <c r="BT7" s="1254">
        <f t="shared" ref="BT7:CE12" si="7">IF($A7=$Q$3,D7*IF(OR($D$4=0,$D$4=3),$A7,$A7/(1+$A7)),0)</f>
        <v>0</v>
      </c>
      <c r="BU7" s="1254">
        <f t="shared" si="7"/>
        <v>0</v>
      </c>
      <c r="BV7" s="1254">
        <f t="shared" si="7"/>
        <v>0</v>
      </c>
      <c r="BW7" s="1254">
        <f t="shared" si="7"/>
        <v>0</v>
      </c>
      <c r="BX7" s="1254">
        <f t="shared" si="7"/>
        <v>0</v>
      </c>
      <c r="BY7" s="1254">
        <f t="shared" si="7"/>
        <v>0</v>
      </c>
      <c r="BZ7" s="1254">
        <f t="shared" si="7"/>
        <v>0</v>
      </c>
      <c r="CA7" s="1254">
        <f t="shared" si="7"/>
        <v>0</v>
      </c>
      <c r="CB7" s="1254">
        <f t="shared" si="7"/>
        <v>0</v>
      </c>
      <c r="CC7" s="1254">
        <f t="shared" si="7"/>
        <v>0</v>
      </c>
      <c r="CD7" s="1254">
        <f t="shared" si="7"/>
        <v>0</v>
      </c>
      <c r="CE7" s="1254">
        <f t="shared" si="7"/>
        <v>0</v>
      </c>
      <c r="CF7" s="1216">
        <f t="shared" ref="CF7:CF12" si="8">SUM(BT7:CE7)</f>
        <v>0</v>
      </c>
      <c r="CU7" s="1004" t="s">
        <v>178</v>
      </c>
      <c r="CV7" s="1004" t="s">
        <v>312</v>
      </c>
      <c r="CW7" s="987">
        <v>2</v>
      </c>
      <c r="CX7" s="991">
        <f t="shared" ref="CX7:CX12" si="9">$Q$2</f>
        <v>0.19</v>
      </c>
      <c r="CY7" s="919" t="s">
        <v>453</v>
      </c>
      <c r="CZ7" s="922" t="s">
        <v>620</v>
      </c>
      <c r="DA7" s="987">
        <v>2</v>
      </c>
      <c r="DB7" s="998">
        <f t="shared" ref="DB7:DB66" si="10">VLOOKUP(DA7,$CW$6:$CZ$66,2,FALSE)</f>
        <v>0.19</v>
      </c>
      <c r="DC7" s="994" t="str">
        <f t="shared" ref="DC7:DC66" si="11">VLOOKUP(DA7,$CW$6:$CZ$66,3,FALSE)</f>
        <v>Raummiete</v>
      </c>
      <c r="DD7" s="994" t="str">
        <f t="shared" ref="DD7:DD66" si="12">VLOOKUP(DA7,$CW$6:$CZ$66,4,FALSE)</f>
        <v>Room rental</v>
      </c>
    </row>
    <row r="8" spans="1:133" x14ac:dyDescent="0.2">
      <c r="A8" s="70">
        <f>$Q$2</f>
        <v>0.19</v>
      </c>
      <c r="B8" s="71">
        <f>IF($D$4&lt;&gt;1, A8,"")</f>
        <v>0.19</v>
      </c>
      <c r="C8" s="1413" t="str">
        <f t="shared" si="0"/>
        <v>Strom, Wasser, Heizung, sonst. Nebenkosten</v>
      </c>
      <c r="D8" s="1414"/>
      <c r="E8" s="1414"/>
      <c r="F8" s="1414"/>
      <c r="G8" s="1414"/>
      <c r="H8" s="1414"/>
      <c r="I8" s="1414"/>
      <c r="J8" s="1414"/>
      <c r="K8" s="1414"/>
      <c r="L8" s="1414"/>
      <c r="M8" s="1414"/>
      <c r="N8" s="1414"/>
      <c r="O8" s="1414"/>
      <c r="P8" s="1415">
        <f t="shared" si="4"/>
        <v>0</v>
      </c>
      <c r="Q8" s="75"/>
      <c r="R8" s="76"/>
      <c r="S8" s="1546"/>
      <c r="T8" s="67"/>
      <c r="U8" s="1112" t="str">
        <f>IF($C$2="English",CV8,CU8)</f>
        <v xml:space="preserve"> Anzahl Mitarbeiter</v>
      </c>
      <c r="V8" s="77"/>
      <c r="W8" s="77"/>
      <c r="X8" s="77"/>
      <c r="Y8" s="77"/>
      <c r="Z8" s="77"/>
      <c r="AA8" s="77"/>
      <c r="AB8" s="77"/>
      <c r="AC8" s="77"/>
      <c r="AD8" s="77"/>
      <c r="AE8" s="77"/>
      <c r="AF8" s="77"/>
      <c r="AG8" s="1009"/>
      <c r="AH8" s="43"/>
      <c r="BA8" s="71">
        <v>0.19</v>
      </c>
      <c r="BB8" s="72" t="s">
        <v>454</v>
      </c>
      <c r="BC8" s="1254">
        <f t="shared" si="5"/>
        <v>0</v>
      </c>
      <c r="BD8" s="1254">
        <f t="shared" si="5"/>
        <v>0</v>
      </c>
      <c r="BE8" s="1254">
        <f t="shared" si="5"/>
        <v>0</v>
      </c>
      <c r="BF8" s="1254">
        <f t="shared" si="5"/>
        <v>0</v>
      </c>
      <c r="BG8" s="1254">
        <f t="shared" si="5"/>
        <v>0</v>
      </c>
      <c r="BH8" s="1254">
        <f t="shared" si="5"/>
        <v>0</v>
      </c>
      <c r="BI8" s="1254">
        <f t="shared" si="5"/>
        <v>0</v>
      </c>
      <c r="BJ8" s="1254">
        <f t="shared" si="5"/>
        <v>0</v>
      </c>
      <c r="BK8" s="1254">
        <f t="shared" si="5"/>
        <v>0</v>
      </c>
      <c r="BL8" s="1254">
        <f t="shared" si="5"/>
        <v>0</v>
      </c>
      <c r="BM8" s="1254">
        <f t="shared" si="5"/>
        <v>0</v>
      </c>
      <c r="BN8" s="1254">
        <f t="shared" si="5"/>
        <v>0</v>
      </c>
      <c r="BO8" s="1216">
        <f t="shared" si="6"/>
        <v>0</v>
      </c>
      <c r="BR8" s="71">
        <v>0.19</v>
      </c>
      <c r="BS8" s="72" t="s">
        <v>454</v>
      </c>
      <c r="BT8" s="1254">
        <f t="shared" si="7"/>
        <v>0</v>
      </c>
      <c r="BU8" s="1254">
        <f t="shared" si="7"/>
        <v>0</v>
      </c>
      <c r="BV8" s="1254">
        <f t="shared" si="7"/>
        <v>0</v>
      </c>
      <c r="BW8" s="1254">
        <f t="shared" si="7"/>
        <v>0</v>
      </c>
      <c r="BX8" s="1254">
        <f t="shared" si="7"/>
        <v>0</v>
      </c>
      <c r="BY8" s="1254">
        <f t="shared" si="7"/>
        <v>0</v>
      </c>
      <c r="BZ8" s="1254">
        <f t="shared" si="7"/>
        <v>0</v>
      </c>
      <c r="CA8" s="1254">
        <f t="shared" si="7"/>
        <v>0</v>
      </c>
      <c r="CB8" s="1254">
        <f t="shared" si="7"/>
        <v>0</v>
      </c>
      <c r="CC8" s="1254">
        <f t="shared" si="7"/>
        <v>0</v>
      </c>
      <c r="CD8" s="1254">
        <f t="shared" si="7"/>
        <v>0</v>
      </c>
      <c r="CE8" s="1254">
        <f t="shared" si="7"/>
        <v>0</v>
      </c>
      <c r="CF8" s="1216">
        <f t="shared" si="8"/>
        <v>0</v>
      </c>
      <c r="CU8" s="1004" t="s">
        <v>177</v>
      </c>
      <c r="CV8" s="1004" t="s">
        <v>655</v>
      </c>
      <c r="CW8" s="987">
        <v>3</v>
      </c>
      <c r="CX8" s="991">
        <f t="shared" si="9"/>
        <v>0.19</v>
      </c>
      <c r="CY8" s="919" t="s">
        <v>454</v>
      </c>
      <c r="CZ8" s="921" t="s">
        <v>461</v>
      </c>
      <c r="DA8" s="987">
        <v>3</v>
      </c>
      <c r="DB8" s="998">
        <f t="shared" si="10"/>
        <v>0.19</v>
      </c>
      <c r="DC8" s="994" t="str">
        <f t="shared" si="11"/>
        <v>Strom, Wasser, Heizung, sonst. Nebenkosten</v>
      </c>
      <c r="DD8" s="994" t="str">
        <f t="shared" si="12"/>
        <v>Electricity, water, heating, other costs</v>
      </c>
    </row>
    <row r="9" spans="1:133" ht="14.25" customHeight="1" x14ac:dyDescent="0.2">
      <c r="A9" s="70">
        <f>$Q$2</f>
        <v>0.19</v>
      </c>
      <c r="B9" s="71">
        <f>IF($D$4&lt;&gt;1, A9,"")</f>
        <v>0.19</v>
      </c>
      <c r="C9" s="1413" t="str">
        <f t="shared" si="0"/>
        <v>Telefon, Fax, Internet, Porto</v>
      </c>
      <c r="D9" s="1414"/>
      <c r="E9" s="1414"/>
      <c r="F9" s="1414"/>
      <c r="G9" s="1414"/>
      <c r="H9" s="1414"/>
      <c r="I9" s="1414"/>
      <c r="J9" s="1414"/>
      <c r="K9" s="1414"/>
      <c r="L9" s="1414"/>
      <c r="M9" s="1414"/>
      <c r="N9" s="1414"/>
      <c r="O9" s="1414"/>
      <c r="P9" s="1415">
        <f t="shared" si="4"/>
        <v>0</v>
      </c>
      <c r="Q9" s="75"/>
      <c r="R9" s="76"/>
      <c r="S9" s="1546"/>
      <c r="T9" s="67"/>
      <c r="U9" s="1112" t="str">
        <f t="shared" si="3"/>
        <v>Gehalt2</v>
      </c>
      <c r="V9" s="77"/>
      <c r="W9" s="77"/>
      <c r="X9" s="77"/>
      <c r="Y9" s="77"/>
      <c r="Z9" s="77"/>
      <c r="AA9" s="77"/>
      <c r="AB9" s="77"/>
      <c r="AC9" s="77"/>
      <c r="AD9" s="77"/>
      <c r="AE9" s="77"/>
      <c r="AF9" s="77"/>
      <c r="AG9" s="1009"/>
      <c r="AH9" s="43"/>
      <c r="BA9" s="71">
        <v>0.19</v>
      </c>
      <c r="BB9" s="72" t="s">
        <v>298</v>
      </c>
      <c r="BC9" s="1254">
        <f t="shared" si="5"/>
        <v>0</v>
      </c>
      <c r="BD9" s="1254">
        <f t="shared" si="5"/>
        <v>0</v>
      </c>
      <c r="BE9" s="1254">
        <f t="shared" si="5"/>
        <v>0</v>
      </c>
      <c r="BF9" s="1254">
        <f t="shared" si="5"/>
        <v>0</v>
      </c>
      <c r="BG9" s="1254">
        <f t="shared" si="5"/>
        <v>0</v>
      </c>
      <c r="BH9" s="1254">
        <f t="shared" si="5"/>
        <v>0</v>
      </c>
      <c r="BI9" s="1254">
        <f t="shared" si="5"/>
        <v>0</v>
      </c>
      <c r="BJ9" s="1254">
        <f t="shared" si="5"/>
        <v>0</v>
      </c>
      <c r="BK9" s="1254">
        <f t="shared" si="5"/>
        <v>0</v>
      </c>
      <c r="BL9" s="1254">
        <f t="shared" si="5"/>
        <v>0</v>
      </c>
      <c r="BM9" s="1254">
        <f t="shared" si="5"/>
        <v>0</v>
      </c>
      <c r="BN9" s="1254">
        <f t="shared" si="5"/>
        <v>0</v>
      </c>
      <c r="BO9" s="1216">
        <f t="shared" si="6"/>
        <v>0</v>
      </c>
      <c r="BR9" s="71">
        <v>0.19</v>
      </c>
      <c r="BS9" s="72" t="s">
        <v>298</v>
      </c>
      <c r="BT9" s="1254">
        <f t="shared" si="7"/>
        <v>0</v>
      </c>
      <c r="BU9" s="1254">
        <f t="shared" si="7"/>
        <v>0</v>
      </c>
      <c r="BV9" s="1254">
        <f t="shared" si="7"/>
        <v>0</v>
      </c>
      <c r="BW9" s="1254">
        <f t="shared" si="7"/>
        <v>0</v>
      </c>
      <c r="BX9" s="1254">
        <f t="shared" si="7"/>
        <v>0</v>
      </c>
      <c r="BY9" s="1254">
        <f t="shared" si="7"/>
        <v>0</v>
      </c>
      <c r="BZ9" s="1254">
        <f t="shared" si="7"/>
        <v>0</v>
      </c>
      <c r="CA9" s="1254">
        <f t="shared" si="7"/>
        <v>0</v>
      </c>
      <c r="CB9" s="1254">
        <f t="shared" si="7"/>
        <v>0</v>
      </c>
      <c r="CC9" s="1254">
        <f t="shared" si="7"/>
        <v>0</v>
      </c>
      <c r="CD9" s="1254">
        <f t="shared" si="7"/>
        <v>0</v>
      </c>
      <c r="CE9" s="1254">
        <f t="shared" si="7"/>
        <v>0</v>
      </c>
      <c r="CF9" s="1216">
        <f t="shared" si="8"/>
        <v>0</v>
      </c>
      <c r="CU9" s="1004" t="s">
        <v>179</v>
      </c>
      <c r="CV9" s="1004" t="s">
        <v>313</v>
      </c>
      <c r="CW9" s="987">
        <v>4</v>
      </c>
      <c r="CX9" s="991">
        <f t="shared" si="9"/>
        <v>0.19</v>
      </c>
      <c r="CY9" s="919" t="s">
        <v>298</v>
      </c>
      <c r="CZ9" s="921" t="s">
        <v>621</v>
      </c>
      <c r="DA9" s="987">
        <v>5</v>
      </c>
      <c r="DB9" s="998">
        <f t="shared" si="10"/>
        <v>0.19</v>
      </c>
      <c r="DC9" s="994" t="str">
        <f t="shared" si="11"/>
        <v>Geringw. Wirtschaftsgüter (Büromöbel, Einrichtungen,...)</v>
      </c>
      <c r="DD9" s="994" t="str">
        <f t="shared" si="12"/>
        <v>Low value assets (office furniture,  facilities, ...)</v>
      </c>
    </row>
    <row r="10" spans="1:133" x14ac:dyDescent="0.2">
      <c r="A10" s="70">
        <f>$Q$2</f>
        <v>0.19</v>
      </c>
      <c r="B10" s="71">
        <f>IF($D$4&lt;&gt;1, A10,"")</f>
        <v>0.19</v>
      </c>
      <c r="C10" s="1413" t="str">
        <f t="shared" si="0"/>
        <v>Geringw. Wirtschaftsgüter (Büromöbel, Einrichtungen,...)</v>
      </c>
      <c r="D10" s="1414"/>
      <c r="E10" s="1414"/>
      <c r="F10" s="1414"/>
      <c r="G10" s="1414"/>
      <c r="H10" s="1414"/>
      <c r="I10" s="1414"/>
      <c r="J10" s="1414"/>
      <c r="K10" s="1414"/>
      <c r="L10" s="1414"/>
      <c r="M10" s="1414"/>
      <c r="N10" s="1414"/>
      <c r="O10" s="1414"/>
      <c r="P10" s="1415">
        <f t="shared" si="4"/>
        <v>0</v>
      </c>
      <c r="Q10" s="75"/>
      <c r="R10" s="76"/>
      <c r="S10" s="1546"/>
      <c r="T10" s="67"/>
      <c r="U10" s="1112" t="str">
        <f t="shared" si="3"/>
        <v xml:space="preserve"> Anzahl Mitarbeiter</v>
      </c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1009"/>
      <c r="AH10" s="43"/>
      <c r="BA10" s="71">
        <v>0.19</v>
      </c>
      <c r="BB10" s="72" t="s">
        <v>457</v>
      </c>
      <c r="BC10" s="1254">
        <f t="shared" si="5"/>
        <v>0</v>
      </c>
      <c r="BD10" s="1254">
        <f t="shared" si="5"/>
        <v>0</v>
      </c>
      <c r="BE10" s="1254">
        <f t="shared" si="5"/>
        <v>0</v>
      </c>
      <c r="BF10" s="1254">
        <f t="shared" si="5"/>
        <v>0</v>
      </c>
      <c r="BG10" s="1254">
        <f t="shared" si="5"/>
        <v>0</v>
      </c>
      <c r="BH10" s="1254">
        <f t="shared" si="5"/>
        <v>0</v>
      </c>
      <c r="BI10" s="1254">
        <f t="shared" si="5"/>
        <v>0</v>
      </c>
      <c r="BJ10" s="1254">
        <f t="shared" si="5"/>
        <v>0</v>
      </c>
      <c r="BK10" s="1254">
        <f t="shared" si="5"/>
        <v>0</v>
      </c>
      <c r="BL10" s="1254">
        <f t="shared" si="5"/>
        <v>0</v>
      </c>
      <c r="BM10" s="1254">
        <f t="shared" si="5"/>
        <v>0</v>
      </c>
      <c r="BN10" s="1254">
        <f t="shared" si="5"/>
        <v>0</v>
      </c>
      <c r="BO10" s="1216">
        <f t="shared" si="6"/>
        <v>0</v>
      </c>
      <c r="BR10" s="71">
        <v>0.19</v>
      </c>
      <c r="BS10" s="72" t="s">
        <v>457</v>
      </c>
      <c r="BT10" s="1254">
        <f t="shared" si="7"/>
        <v>0</v>
      </c>
      <c r="BU10" s="1254">
        <f t="shared" si="7"/>
        <v>0</v>
      </c>
      <c r="BV10" s="1254">
        <f t="shared" si="7"/>
        <v>0</v>
      </c>
      <c r="BW10" s="1254">
        <f t="shared" si="7"/>
        <v>0</v>
      </c>
      <c r="BX10" s="1254">
        <f t="shared" si="7"/>
        <v>0</v>
      </c>
      <c r="BY10" s="1254">
        <f t="shared" si="7"/>
        <v>0</v>
      </c>
      <c r="BZ10" s="1254">
        <f t="shared" si="7"/>
        <v>0</v>
      </c>
      <c r="CA10" s="1254">
        <f t="shared" si="7"/>
        <v>0</v>
      </c>
      <c r="CB10" s="1254">
        <f t="shared" si="7"/>
        <v>0</v>
      </c>
      <c r="CC10" s="1254">
        <f t="shared" si="7"/>
        <v>0</v>
      </c>
      <c r="CD10" s="1254">
        <f t="shared" si="7"/>
        <v>0</v>
      </c>
      <c r="CE10" s="1254">
        <f t="shared" si="7"/>
        <v>0</v>
      </c>
      <c r="CF10" s="1216">
        <f t="shared" si="8"/>
        <v>0</v>
      </c>
      <c r="CU10" s="1004" t="s">
        <v>177</v>
      </c>
      <c r="CV10" s="1004" t="s">
        <v>655</v>
      </c>
      <c r="CW10" s="987">
        <v>5</v>
      </c>
      <c r="CX10" s="991">
        <f t="shared" si="9"/>
        <v>0.19</v>
      </c>
      <c r="CY10" s="919" t="s">
        <v>457</v>
      </c>
      <c r="CZ10" s="921" t="s">
        <v>622</v>
      </c>
      <c r="DA10" s="987">
        <v>4</v>
      </c>
      <c r="DB10" s="998">
        <f t="shared" si="10"/>
        <v>0.19</v>
      </c>
      <c r="DC10" s="994" t="str">
        <f t="shared" si="11"/>
        <v>Telefon, Fax, Internet, Porto</v>
      </c>
      <c r="DD10" s="994" t="str">
        <f t="shared" si="12"/>
        <v>Phone, fax, internet, postage</v>
      </c>
    </row>
    <row r="11" spans="1:133" x14ac:dyDescent="0.2">
      <c r="A11" s="70">
        <f>$Q$2</f>
        <v>0.19</v>
      </c>
      <c r="B11" s="71">
        <f>IF($D$4&lt;&gt;1, A11,"")</f>
        <v>0.19</v>
      </c>
      <c r="C11" s="1413" t="str">
        <f t="shared" si="0"/>
        <v>IT (Lizenzen, Windows, Office, Wartung)</v>
      </c>
      <c r="D11" s="1414"/>
      <c r="E11" s="1414"/>
      <c r="F11" s="1414"/>
      <c r="G11" s="1414"/>
      <c r="H11" s="1414"/>
      <c r="I11" s="1414"/>
      <c r="J11" s="1414"/>
      <c r="K11" s="1414"/>
      <c r="L11" s="1414"/>
      <c r="M11" s="1414"/>
      <c r="N11" s="1414"/>
      <c r="O11" s="1414"/>
      <c r="P11" s="1415">
        <f t="shared" si="4"/>
        <v>0</v>
      </c>
      <c r="Q11" s="75"/>
      <c r="R11" s="76"/>
      <c r="S11" s="1546"/>
      <c r="T11" s="67"/>
      <c r="U11" s="1112" t="str">
        <f t="shared" si="3"/>
        <v>Gehalt3</v>
      </c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1009"/>
      <c r="AH11" s="43"/>
      <c r="BA11" s="71">
        <v>0.19</v>
      </c>
      <c r="BB11" s="72" t="s">
        <v>455</v>
      </c>
      <c r="BC11" s="1254">
        <f t="shared" si="5"/>
        <v>0</v>
      </c>
      <c r="BD11" s="1254">
        <f t="shared" si="5"/>
        <v>0</v>
      </c>
      <c r="BE11" s="1254">
        <f t="shared" si="5"/>
        <v>0</v>
      </c>
      <c r="BF11" s="1254">
        <f t="shared" si="5"/>
        <v>0</v>
      </c>
      <c r="BG11" s="1254">
        <f t="shared" si="5"/>
        <v>0</v>
      </c>
      <c r="BH11" s="1254">
        <f t="shared" si="5"/>
        <v>0</v>
      </c>
      <c r="BI11" s="1254">
        <f t="shared" si="5"/>
        <v>0</v>
      </c>
      <c r="BJ11" s="1254">
        <f t="shared" si="5"/>
        <v>0</v>
      </c>
      <c r="BK11" s="1254">
        <f t="shared" si="5"/>
        <v>0</v>
      </c>
      <c r="BL11" s="1254">
        <f t="shared" si="5"/>
        <v>0</v>
      </c>
      <c r="BM11" s="1254">
        <f t="shared" si="5"/>
        <v>0</v>
      </c>
      <c r="BN11" s="1254">
        <f t="shared" si="5"/>
        <v>0</v>
      </c>
      <c r="BO11" s="1216">
        <f t="shared" si="6"/>
        <v>0</v>
      </c>
      <c r="BR11" s="71">
        <v>0.19</v>
      </c>
      <c r="BS11" s="72" t="s">
        <v>455</v>
      </c>
      <c r="BT11" s="1254">
        <f t="shared" si="7"/>
        <v>0</v>
      </c>
      <c r="BU11" s="1254">
        <f t="shared" si="7"/>
        <v>0</v>
      </c>
      <c r="BV11" s="1254">
        <f t="shared" si="7"/>
        <v>0</v>
      </c>
      <c r="BW11" s="1254">
        <f t="shared" si="7"/>
        <v>0</v>
      </c>
      <c r="BX11" s="1254">
        <f t="shared" si="7"/>
        <v>0</v>
      </c>
      <c r="BY11" s="1254">
        <f t="shared" si="7"/>
        <v>0</v>
      </c>
      <c r="BZ11" s="1254">
        <f t="shared" si="7"/>
        <v>0</v>
      </c>
      <c r="CA11" s="1254">
        <f t="shared" si="7"/>
        <v>0</v>
      </c>
      <c r="CB11" s="1254">
        <f t="shared" si="7"/>
        <v>0</v>
      </c>
      <c r="CC11" s="1254">
        <f t="shared" si="7"/>
        <v>0</v>
      </c>
      <c r="CD11" s="1254">
        <f t="shared" si="7"/>
        <v>0</v>
      </c>
      <c r="CE11" s="1254">
        <f t="shared" si="7"/>
        <v>0</v>
      </c>
      <c r="CF11" s="1216">
        <f t="shared" si="8"/>
        <v>0</v>
      </c>
      <c r="CU11" s="1004" t="s">
        <v>180</v>
      </c>
      <c r="CV11" s="1004" t="s">
        <v>314</v>
      </c>
      <c r="CW11" s="987">
        <v>6</v>
      </c>
      <c r="CX11" s="991">
        <f t="shared" si="9"/>
        <v>0.19</v>
      </c>
      <c r="CY11" s="919" t="s">
        <v>455</v>
      </c>
      <c r="CZ11" s="922" t="s">
        <v>459</v>
      </c>
      <c r="DA11" s="987">
        <v>6</v>
      </c>
      <c r="DB11" s="998">
        <f t="shared" si="10"/>
        <v>0.19</v>
      </c>
      <c r="DC11" s="994" t="str">
        <f t="shared" si="11"/>
        <v>IT (Lizenzen, Windows, Office, Wartung)</v>
      </c>
      <c r="DD11" s="994" t="str">
        <f t="shared" si="12"/>
        <v>IT (licenses, windows, office, maintenace, ...)</v>
      </c>
    </row>
    <row r="12" spans="1:133" ht="15" thickBot="1" x14ac:dyDescent="0.25">
      <c r="A12" s="1412">
        <v>0.19</v>
      </c>
      <c r="B12" s="71"/>
      <c r="C12" s="1416" t="s">
        <v>739</v>
      </c>
      <c r="D12" s="1417"/>
      <c r="E12" s="1417"/>
      <c r="F12" s="1417"/>
      <c r="G12" s="1417"/>
      <c r="H12" s="1417"/>
      <c r="I12" s="1417"/>
      <c r="J12" s="1417"/>
      <c r="K12" s="1417"/>
      <c r="L12" s="1417"/>
      <c r="M12" s="1417"/>
      <c r="N12" s="1417"/>
      <c r="O12" s="1417"/>
      <c r="P12" s="1418">
        <f t="shared" si="4"/>
        <v>0</v>
      </c>
      <c r="Q12" s="75"/>
      <c r="R12" s="76"/>
      <c r="S12" s="1546"/>
      <c r="T12" s="67"/>
      <c r="U12" s="1113" t="str">
        <f t="shared" si="3"/>
        <v>Nebenkosten (%)</v>
      </c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1010"/>
      <c r="AH12" s="43"/>
      <c r="BA12" s="71"/>
      <c r="BB12" s="1100" t="s">
        <v>456</v>
      </c>
      <c r="BC12" s="1254">
        <f t="shared" si="5"/>
        <v>0</v>
      </c>
      <c r="BD12" s="1254">
        <f t="shared" si="5"/>
        <v>0</v>
      </c>
      <c r="BE12" s="1254">
        <f t="shared" si="5"/>
        <v>0</v>
      </c>
      <c r="BF12" s="1254">
        <f t="shared" si="5"/>
        <v>0</v>
      </c>
      <c r="BG12" s="1254">
        <f t="shared" si="5"/>
        <v>0</v>
      </c>
      <c r="BH12" s="1254">
        <f t="shared" si="5"/>
        <v>0</v>
      </c>
      <c r="BI12" s="1254">
        <f t="shared" si="5"/>
        <v>0</v>
      </c>
      <c r="BJ12" s="1254">
        <f t="shared" si="5"/>
        <v>0</v>
      </c>
      <c r="BK12" s="1254">
        <f t="shared" si="5"/>
        <v>0</v>
      </c>
      <c r="BL12" s="1254">
        <f t="shared" si="5"/>
        <v>0</v>
      </c>
      <c r="BM12" s="1254">
        <f t="shared" si="5"/>
        <v>0</v>
      </c>
      <c r="BN12" s="1254">
        <f t="shared" si="5"/>
        <v>0</v>
      </c>
      <c r="BO12" s="1217">
        <f t="shared" si="6"/>
        <v>0</v>
      </c>
      <c r="BR12" s="71"/>
      <c r="BS12" s="1060" t="s">
        <v>456</v>
      </c>
      <c r="BT12" s="1254">
        <f t="shared" si="7"/>
        <v>0</v>
      </c>
      <c r="BU12" s="1254">
        <f t="shared" si="7"/>
        <v>0</v>
      </c>
      <c r="BV12" s="1254">
        <f t="shared" si="7"/>
        <v>0</v>
      </c>
      <c r="BW12" s="1254">
        <f t="shared" si="7"/>
        <v>0</v>
      </c>
      <c r="BX12" s="1254">
        <f t="shared" si="7"/>
        <v>0</v>
      </c>
      <c r="BY12" s="1254">
        <f t="shared" si="7"/>
        <v>0</v>
      </c>
      <c r="BZ12" s="1254">
        <f t="shared" si="7"/>
        <v>0</v>
      </c>
      <c r="CA12" s="1254">
        <f t="shared" si="7"/>
        <v>0</v>
      </c>
      <c r="CB12" s="1254">
        <f t="shared" si="7"/>
        <v>0</v>
      </c>
      <c r="CC12" s="1254">
        <f t="shared" si="7"/>
        <v>0</v>
      </c>
      <c r="CD12" s="1254">
        <f t="shared" si="7"/>
        <v>0</v>
      </c>
      <c r="CE12" s="1254">
        <f t="shared" si="7"/>
        <v>0</v>
      </c>
      <c r="CF12" s="1217">
        <f t="shared" si="8"/>
        <v>0</v>
      </c>
      <c r="CU12" s="1004" t="s">
        <v>181</v>
      </c>
      <c r="CV12" s="1004" t="s">
        <v>315</v>
      </c>
      <c r="CW12" s="987">
        <v>7</v>
      </c>
      <c r="CX12" s="1285">
        <f t="shared" si="9"/>
        <v>0.19</v>
      </c>
      <c r="CY12" s="920" t="s">
        <v>456</v>
      </c>
      <c r="CZ12" s="920" t="s">
        <v>458</v>
      </c>
      <c r="DA12" s="987">
        <v>7</v>
      </c>
      <c r="DB12" s="998">
        <f t="shared" si="10"/>
        <v>0.19</v>
      </c>
      <c r="DC12" s="994" t="str">
        <f t="shared" si="11"/>
        <v>Sonstiges</v>
      </c>
      <c r="DD12" s="994" t="str">
        <f t="shared" si="12"/>
        <v>Others</v>
      </c>
    </row>
    <row r="13" spans="1:133" ht="15.75" thickTop="1" thickBot="1" x14ac:dyDescent="0.25">
      <c r="A13" s="926"/>
      <c r="B13" s="1475"/>
      <c r="C13" s="1476" t="str">
        <f t="shared" si="0"/>
        <v>Summe Bürokosten</v>
      </c>
      <c r="D13" s="1477">
        <f>SUM(D7:D12)</f>
        <v>0</v>
      </c>
      <c r="E13" s="1477">
        <f t="shared" ref="E13:O13" si="13">SUM(E7:E12)</f>
        <v>0</v>
      </c>
      <c r="F13" s="1477">
        <f t="shared" si="13"/>
        <v>0</v>
      </c>
      <c r="G13" s="1477">
        <f t="shared" si="13"/>
        <v>0</v>
      </c>
      <c r="H13" s="1477">
        <f t="shared" si="13"/>
        <v>0</v>
      </c>
      <c r="I13" s="1477">
        <f t="shared" si="13"/>
        <v>0</v>
      </c>
      <c r="J13" s="1477">
        <f t="shared" si="13"/>
        <v>0</v>
      </c>
      <c r="K13" s="1477">
        <f t="shared" si="13"/>
        <v>0</v>
      </c>
      <c r="L13" s="1477">
        <f t="shared" si="13"/>
        <v>0</v>
      </c>
      <c r="M13" s="1477">
        <f t="shared" si="13"/>
        <v>0</v>
      </c>
      <c r="N13" s="1477">
        <f t="shared" si="13"/>
        <v>0</v>
      </c>
      <c r="O13" s="1477">
        <f t="shared" si="13"/>
        <v>0</v>
      </c>
      <c r="P13" s="1478">
        <f>SUM(D13:O13)</f>
        <v>0</v>
      </c>
      <c r="Q13" s="75"/>
      <c r="R13" s="76"/>
      <c r="S13" s="83"/>
      <c r="T13" s="67"/>
      <c r="U13" s="275" t="str">
        <f t="shared" si="3"/>
        <v>Personalkosten</v>
      </c>
      <c r="V13" s="85">
        <f>((V6*V7)+(V8*V9)+(V10*V11))*(1+V12)</f>
        <v>0</v>
      </c>
      <c r="W13" s="85">
        <f t="shared" ref="W13:AG13" si="14">((W6*W7)+(W8*W9)+(W10*W11))*(1+W12)</f>
        <v>0</v>
      </c>
      <c r="X13" s="85">
        <f t="shared" si="14"/>
        <v>0</v>
      </c>
      <c r="Y13" s="85">
        <f t="shared" si="14"/>
        <v>0</v>
      </c>
      <c r="Z13" s="85">
        <f t="shared" si="14"/>
        <v>0</v>
      </c>
      <c r="AA13" s="85">
        <f t="shared" si="14"/>
        <v>0</v>
      </c>
      <c r="AB13" s="85">
        <f t="shared" si="14"/>
        <v>0</v>
      </c>
      <c r="AC13" s="85">
        <f t="shared" si="14"/>
        <v>0</v>
      </c>
      <c r="AD13" s="85">
        <f t="shared" si="14"/>
        <v>0</v>
      </c>
      <c r="AE13" s="85">
        <f t="shared" si="14"/>
        <v>0</v>
      </c>
      <c r="AF13" s="85">
        <f t="shared" si="14"/>
        <v>0</v>
      </c>
      <c r="AG13" s="86">
        <f t="shared" si="14"/>
        <v>0</v>
      </c>
      <c r="AH13" s="1016">
        <f>SUM(V13:AG13)</f>
        <v>0</v>
      </c>
      <c r="BA13" s="80"/>
      <c r="BB13" s="81" t="s">
        <v>585</v>
      </c>
      <c r="BC13" s="1218">
        <f>SUM(BC7:BC12)</f>
        <v>0</v>
      </c>
      <c r="BD13" s="1218">
        <f t="shared" ref="BD13:BN13" si="15">SUM(BD7:BD12)</f>
        <v>0</v>
      </c>
      <c r="BE13" s="1218">
        <f t="shared" si="15"/>
        <v>0</v>
      </c>
      <c r="BF13" s="1218">
        <f t="shared" si="15"/>
        <v>0</v>
      </c>
      <c r="BG13" s="1218">
        <f t="shared" si="15"/>
        <v>0</v>
      </c>
      <c r="BH13" s="1218">
        <f t="shared" si="15"/>
        <v>0</v>
      </c>
      <c r="BI13" s="1218">
        <f t="shared" si="15"/>
        <v>0</v>
      </c>
      <c r="BJ13" s="1218">
        <f t="shared" si="15"/>
        <v>0</v>
      </c>
      <c r="BK13" s="1218">
        <f t="shared" si="15"/>
        <v>0</v>
      </c>
      <c r="BL13" s="1218">
        <f t="shared" si="15"/>
        <v>0</v>
      </c>
      <c r="BM13" s="1218">
        <f t="shared" si="15"/>
        <v>0</v>
      </c>
      <c r="BN13" s="1218">
        <f t="shared" si="15"/>
        <v>0</v>
      </c>
      <c r="BO13" s="1219">
        <f>SUM(BC13:BN13)</f>
        <v>0</v>
      </c>
      <c r="BR13" s="80"/>
      <c r="BS13" s="81" t="s">
        <v>585</v>
      </c>
      <c r="BT13" s="1218">
        <f>SUM(BT7:BT12)</f>
        <v>0</v>
      </c>
      <c r="BU13" s="1218">
        <f t="shared" ref="BU13:CE13" si="16">SUM(BU7:BU12)</f>
        <v>0</v>
      </c>
      <c r="BV13" s="1218">
        <f t="shared" si="16"/>
        <v>0</v>
      </c>
      <c r="BW13" s="1218">
        <f t="shared" si="16"/>
        <v>0</v>
      </c>
      <c r="BX13" s="1218">
        <f t="shared" si="16"/>
        <v>0</v>
      </c>
      <c r="BY13" s="1218">
        <f t="shared" si="16"/>
        <v>0</v>
      </c>
      <c r="BZ13" s="1218">
        <f t="shared" si="16"/>
        <v>0</v>
      </c>
      <c r="CA13" s="1218">
        <f t="shared" si="16"/>
        <v>0</v>
      </c>
      <c r="CB13" s="1218">
        <f t="shared" si="16"/>
        <v>0</v>
      </c>
      <c r="CC13" s="1218">
        <f t="shared" si="16"/>
        <v>0</v>
      </c>
      <c r="CD13" s="1218">
        <f t="shared" si="16"/>
        <v>0</v>
      </c>
      <c r="CE13" s="1218">
        <f t="shared" si="16"/>
        <v>0</v>
      </c>
      <c r="CF13" s="1219">
        <f>SUM(BT13:CE13)</f>
        <v>0</v>
      </c>
      <c r="CU13" s="922" t="s">
        <v>653</v>
      </c>
      <c r="CV13" s="922" t="s">
        <v>654</v>
      </c>
      <c r="CW13" s="987">
        <v>8</v>
      </c>
      <c r="CX13" s="991"/>
      <c r="CY13" s="923" t="str">
        <f>"Summe " &amp;CY6</f>
        <v>Summe Bürokosten</v>
      </c>
      <c r="CZ13" s="921" t="s">
        <v>281</v>
      </c>
      <c r="DA13" s="987">
        <v>8</v>
      </c>
      <c r="DB13" s="998">
        <f t="shared" si="10"/>
        <v>0</v>
      </c>
      <c r="DC13" s="994" t="str">
        <f t="shared" si="11"/>
        <v>Summe Bürokosten</v>
      </c>
      <c r="DD13" s="994" t="str">
        <f t="shared" si="12"/>
        <v>Sum office expences</v>
      </c>
    </row>
    <row r="14" spans="1:133" x14ac:dyDescent="0.2">
      <c r="A14" s="926"/>
      <c r="B14" s="185">
        <v>2</v>
      </c>
      <c r="C14" s="62" t="str">
        <f t="shared" si="0"/>
        <v>Produktionskosten</v>
      </c>
      <c r="D14" s="1223"/>
      <c r="E14" s="1223"/>
      <c r="F14" s="1223"/>
      <c r="G14" s="1223"/>
      <c r="H14" s="1223"/>
      <c r="I14" s="1223"/>
      <c r="J14" s="1223"/>
      <c r="K14" s="1223"/>
      <c r="L14" s="1223"/>
      <c r="M14" s="1223"/>
      <c r="N14" s="1223"/>
      <c r="O14" s="1223"/>
      <c r="P14" s="1216"/>
      <c r="Q14" s="75"/>
      <c r="R14" s="76"/>
      <c r="S14" s="94"/>
      <c r="T14" s="67"/>
      <c r="U14" s="34"/>
      <c r="V14" s="37"/>
      <c r="W14" s="37"/>
      <c r="X14" s="37"/>
      <c r="Y14" s="37"/>
      <c r="Z14" s="37"/>
      <c r="AA14" s="37"/>
      <c r="AB14" s="37"/>
      <c r="AC14" s="37"/>
      <c r="AD14" s="37"/>
      <c r="AE14" s="37"/>
      <c r="AF14" s="37"/>
      <c r="AG14" s="37"/>
      <c r="AH14" s="43"/>
      <c r="BA14" s="188">
        <v>2</v>
      </c>
      <c r="BB14" s="87" t="s">
        <v>48</v>
      </c>
      <c r="BC14" s="1220"/>
      <c r="BD14" s="1220"/>
      <c r="BE14" s="1220"/>
      <c r="BF14" s="1220"/>
      <c r="BG14" s="1220"/>
      <c r="BH14" s="1220"/>
      <c r="BI14" s="1220"/>
      <c r="BJ14" s="1220"/>
      <c r="BK14" s="1220"/>
      <c r="BL14" s="1220"/>
      <c r="BM14" s="1220"/>
      <c r="BN14" s="1220"/>
      <c r="BO14" s="1221"/>
      <c r="BR14" s="188">
        <v>2</v>
      </c>
      <c r="BS14" s="87" t="s">
        <v>48</v>
      </c>
      <c r="BT14" s="1220"/>
      <c r="BU14" s="1220"/>
      <c r="BV14" s="1220"/>
      <c r="BW14" s="1220"/>
      <c r="BX14" s="1220"/>
      <c r="BY14" s="1220"/>
      <c r="BZ14" s="1220"/>
      <c r="CA14" s="1220"/>
      <c r="CB14" s="1220"/>
      <c r="CC14" s="1220"/>
      <c r="CD14" s="1220"/>
      <c r="CE14" s="1220"/>
      <c r="CF14" s="1221"/>
      <c r="CU14" s="922"/>
      <c r="CV14" s="922"/>
      <c r="CW14" s="987">
        <v>9</v>
      </c>
      <c r="CX14" s="991"/>
      <c r="CY14" s="923" t="s">
        <v>48</v>
      </c>
      <c r="CZ14" s="923" t="s">
        <v>273</v>
      </c>
      <c r="DA14" s="987">
        <v>9</v>
      </c>
      <c r="DB14" s="998">
        <f t="shared" si="10"/>
        <v>0</v>
      </c>
      <c r="DC14" s="994" t="str">
        <f t="shared" si="11"/>
        <v>Produktionskosten</v>
      </c>
      <c r="DD14" s="994" t="str">
        <f t="shared" si="12"/>
        <v>Production costs</v>
      </c>
    </row>
    <row r="15" spans="1:133" x14ac:dyDescent="0.2">
      <c r="A15" s="70">
        <f>$Q$2</f>
        <v>0.19</v>
      </c>
      <c r="B15" s="71">
        <f>IF($D$4&lt;&gt;1, A15,"")</f>
        <v>0.19</v>
      </c>
      <c r="C15" s="1413" t="str">
        <f t="shared" si="0"/>
        <v>Raummiete</v>
      </c>
      <c r="D15" s="1414"/>
      <c r="E15" s="1414"/>
      <c r="F15" s="1414"/>
      <c r="G15" s="1414"/>
      <c r="H15" s="1414"/>
      <c r="I15" s="1414"/>
      <c r="J15" s="1414"/>
      <c r="K15" s="1414"/>
      <c r="L15" s="1414"/>
      <c r="M15" s="1414"/>
      <c r="N15" s="1414"/>
      <c r="O15" s="1414"/>
      <c r="P15" s="1415">
        <f t="shared" ref="P15:P22" si="17">SUM(D15:O15)</f>
        <v>0</v>
      </c>
      <c r="Q15" s="75"/>
      <c r="R15" s="76"/>
      <c r="S15" s="1546"/>
      <c r="T15" s="67"/>
      <c r="U15" s="34"/>
      <c r="V15" s="37"/>
      <c r="W15" s="37"/>
      <c r="X15" s="37"/>
      <c r="Y15" s="37"/>
      <c r="Z15" s="37"/>
      <c r="AA15" s="37"/>
      <c r="AB15" s="37"/>
      <c r="AC15" s="37"/>
      <c r="AD15" s="37"/>
      <c r="AE15" s="37"/>
      <c r="AF15" s="37"/>
      <c r="AG15" s="37"/>
      <c r="AH15" s="43"/>
      <c r="BA15" s="71">
        <v>0.19</v>
      </c>
      <c r="BB15" s="72" t="s">
        <v>453</v>
      </c>
      <c r="BC15" s="1254">
        <f t="shared" ref="BC15:BN22" si="18">IF($A15=$Q$2,D15*IF(OR($D$4=0,$D$4=3),$A15,$A15/(1+$A15)),0)</f>
        <v>0</v>
      </c>
      <c r="BD15" s="1254">
        <f t="shared" si="18"/>
        <v>0</v>
      </c>
      <c r="BE15" s="1254">
        <f t="shared" si="18"/>
        <v>0</v>
      </c>
      <c r="BF15" s="1254">
        <f t="shared" si="18"/>
        <v>0</v>
      </c>
      <c r="BG15" s="1254">
        <f t="shared" si="18"/>
        <v>0</v>
      </c>
      <c r="BH15" s="1254">
        <f t="shared" si="18"/>
        <v>0</v>
      </c>
      <c r="BI15" s="1254">
        <f t="shared" si="18"/>
        <v>0</v>
      </c>
      <c r="BJ15" s="1254">
        <f t="shared" si="18"/>
        <v>0</v>
      </c>
      <c r="BK15" s="1254">
        <f t="shared" si="18"/>
        <v>0</v>
      </c>
      <c r="BL15" s="1254">
        <f t="shared" si="18"/>
        <v>0</v>
      </c>
      <c r="BM15" s="1254">
        <f t="shared" si="18"/>
        <v>0</v>
      </c>
      <c r="BN15" s="1254">
        <f t="shared" si="18"/>
        <v>0</v>
      </c>
      <c r="BO15" s="1216">
        <f t="shared" ref="BO15:BO22" si="19">SUM(BC15:BN15)</f>
        <v>0</v>
      </c>
      <c r="BR15" s="71">
        <v>0.19</v>
      </c>
      <c r="BS15" s="72" t="s">
        <v>453</v>
      </c>
      <c r="BT15" s="1254">
        <f t="shared" ref="BT15:CE22" si="20">IF($A15=$Q$3,D15*IF(OR($D$4=0,$D$4=3),$A15,$A15/(1+$A15)),0)</f>
        <v>0</v>
      </c>
      <c r="BU15" s="1254">
        <f t="shared" si="20"/>
        <v>0</v>
      </c>
      <c r="BV15" s="1254">
        <f t="shared" si="20"/>
        <v>0</v>
      </c>
      <c r="BW15" s="1254">
        <f t="shared" si="20"/>
        <v>0</v>
      </c>
      <c r="BX15" s="1254">
        <f t="shared" si="20"/>
        <v>0</v>
      </c>
      <c r="BY15" s="1254">
        <f t="shared" si="20"/>
        <v>0</v>
      </c>
      <c r="BZ15" s="1254">
        <f t="shared" si="20"/>
        <v>0</v>
      </c>
      <c r="CA15" s="1254">
        <f t="shared" si="20"/>
        <v>0</v>
      </c>
      <c r="CB15" s="1254">
        <f t="shared" si="20"/>
        <v>0</v>
      </c>
      <c r="CC15" s="1254">
        <f t="shared" si="20"/>
        <v>0</v>
      </c>
      <c r="CD15" s="1254">
        <f t="shared" si="20"/>
        <v>0</v>
      </c>
      <c r="CE15" s="1254">
        <f t="shared" si="20"/>
        <v>0</v>
      </c>
      <c r="CF15" s="1216">
        <f t="shared" ref="CF15:CF23" si="21">SUM(BT15:CE15)</f>
        <v>0</v>
      </c>
      <c r="CU15" s="922"/>
      <c r="CV15" s="922"/>
      <c r="CW15" s="987">
        <v>10</v>
      </c>
      <c r="CX15" s="991">
        <f>$Q$2</f>
        <v>0.19</v>
      </c>
      <c r="CY15" s="919" t="s">
        <v>453</v>
      </c>
      <c r="CZ15" s="923" t="s">
        <v>620</v>
      </c>
      <c r="DA15" s="987">
        <v>10</v>
      </c>
      <c r="DB15" s="998">
        <f t="shared" si="10"/>
        <v>0.19</v>
      </c>
      <c r="DC15" s="994" t="str">
        <f t="shared" si="11"/>
        <v>Raummiete</v>
      </c>
      <c r="DD15" s="994" t="str">
        <f t="shared" si="12"/>
        <v>Room rental</v>
      </c>
    </row>
    <row r="16" spans="1:133" ht="15" thickBot="1" x14ac:dyDescent="0.25">
      <c r="A16" s="70">
        <f>$Q$2</f>
        <v>0.19</v>
      </c>
      <c r="B16" s="71">
        <f t="shared" ref="B16:B21" si="22">IF($D$4&lt;&gt;1, A16,"")</f>
        <v>0.19</v>
      </c>
      <c r="C16" s="1413" t="str">
        <f t="shared" si="0"/>
        <v>Strom, Wasser, Heizung, sonst. Nebenkosten</v>
      </c>
      <c r="D16" s="1414"/>
      <c r="E16" s="1414"/>
      <c r="F16" s="1414"/>
      <c r="G16" s="1414"/>
      <c r="H16" s="1414"/>
      <c r="I16" s="1414"/>
      <c r="J16" s="1414"/>
      <c r="K16" s="1414"/>
      <c r="L16" s="1414"/>
      <c r="M16" s="1414"/>
      <c r="N16" s="1414"/>
      <c r="O16" s="1414"/>
      <c r="P16" s="1415">
        <f t="shared" si="17"/>
        <v>0</v>
      </c>
      <c r="Q16" s="75"/>
      <c r="R16" s="76"/>
      <c r="S16" s="1546"/>
      <c r="T16" s="67"/>
      <c r="U16" s="34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43"/>
      <c r="BA16" s="71">
        <v>0.19</v>
      </c>
      <c r="BB16" s="72" t="s">
        <v>454</v>
      </c>
      <c r="BC16" s="1254">
        <f t="shared" si="18"/>
        <v>0</v>
      </c>
      <c r="BD16" s="1254">
        <f t="shared" si="18"/>
        <v>0</v>
      </c>
      <c r="BE16" s="1254">
        <f t="shared" si="18"/>
        <v>0</v>
      </c>
      <c r="BF16" s="1254">
        <f t="shared" si="18"/>
        <v>0</v>
      </c>
      <c r="BG16" s="1254">
        <f t="shared" si="18"/>
        <v>0</v>
      </c>
      <c r="BH16" s="1254">
        <f t="shared" si="18"/>
        <v>0</v>
      </c>
      <c r="BI16" s="1254">
        <f t="shared" si="18"/>
        <v>0</v>
      </c>
      <c r="BJ16" s="1254">
        <f t="shared" si="18"/>
        <v>0</v>
      </c>
      <c r="BK16" s="1254">
        <f t="shared" si="18"/>
        <v>0</v>
      </c>
      <c r="BL16" s="1254">
        <f t="shared" si="18"/>
        <v>0</v>
      </c>
      <c r="BM16" s="1254">
        <f t="shared" si="18"/>
        <v>0</v>
      </c>
      <c r="BN16" s="1254">
        <f t="shared" si="18"/>
        <v>0</v>
      </c>
      <c r="BO16" s="1216">
        <f t="shared" si="19"/>
        <v>0</v>
      </c>
      <c r="BR16" s="71">
        <v>0.19</v>
      </c>
      <c r="BS16" s="72" t="s">
        <v>454</v>
      </c>
      <c r="BT16" s="1254">
        <f t="shared" si="20"/>
        <v>0</v>
      </c>
      <c r="BU16" s="1254">
        <f t="shared" si="20"/>
        <v>0</v>
      </c>
      <c r="BV16" s="1254">
        <f t="shared" si="20"/>
        <v>0</v>
      </c>
      <c r="BW16" s="1254">
        <f t="shared" si="20"/>
        <v>0</v>
      </c>
      <c r="BX16" s="1254">
        <f t="shared" si="20"/>
        <v>0</v>
      </c>
      <c r="BY16" s="1254">
        <f t="shared" si="20"/>
        <v>0</v>
      </c>
      <c r="BZ16" s="1254">
        <f t="shared" si="20"/>
        <v>0</v>
      </c>
      <c r="CA16" s="1254">
        <f t="shared" si="20"/>
        <v>0</v>
      </c>
      <c r="CB16" s="1254">
        <f t="shared" si="20"/>
        <v>0</v>
      </c>
      <c r="CC16" s="1254">
        <f t="shared" si="20"/>
        <v>0</v>
      </c>
      <c r="CD16" s="1254">
        <f t="shared" si="20"/>
        <v>0</v>
      </c>
      <c r="CE16" s="1254">
        <f t="shared" si="20"/>
        <v>0</v>
      </c>
      <c r="CF16" s="1216">
        <f t="shared" si="21"/>
        <v>0</v>
      </c>
      <c r="CU16" s="922"/>
      <c r="CV16" s="922"/>
      <c r="CW16" s="987">
        <v>11</v>
      </c>
      <c r="CX16" s="991">
        <f>$Q$2</f>
        <v>0.19</v>
      </c>
      <c r="CY16" s="919" t="s">
        <v>454</v>
      </c>
      <c r="CZ16" s="921" t="s">
        <v>461</v>
      </c>
      <c r="DA16" s="987">
        <v>11</v>
      </c>
      <c r="DB16" s="998">
        <f t="shared" si="10"/>
        <v>0.19</v>
      </c>
      <c r="DC16" s="994" t="str">
        <f t="shared" si="11"/>
        <v>Strom, Wasser, Heizung, sonst. Nebenkosten</v>
      </c>
      <c r="DD16" s="994" t="str">
        <f t="shared" si="12"/>
        <v>Electricity, water, heating, other costs</v>
      </c>
    </row>
    <row r="17" spans="1:108" ht="15.75" customHeight="1" thickBot="1" x14ac:dyDescent="0.25">
      <c r="A17" s="70">
        <f>$Q$2</f>
        <v>0.19</v>
      </c>
      <c r="B17" s="71">
        <f t="shared" si="22"/>
        <v>0.19</v>
      </c>
      <c r="C17" s="1413" t="str">
        <f t="shared" si="0"/>
        <v>Materialaufwand zur Produktion (19%)</v>
      </c>
      <c r="D17" s="1414"/>
      <c r="E17" s="1414"/>
      <c r="F17" s="1414"/>
      <c r="G17" s="1414"/>
      <c r="H17" s="1414"/>
      <c r="I17" s="1414"/>
      <c r="J17" s="1414"/>
      <c r="K17" s="1414"/>
      <c r="L17" s="1414"/>
      <c r="M17" s="1414"/>
      <c r="N17" s="1414"/>
      <c r="O17" s="1414"/>
      <c r="P17" s="1415">
        <f>SUM(D17:O17)</f>
        <v>0</v>
      </c>
      <c r="Q17" s="75"/>
      <c r="R17" s="76"/>
      <c r="S17" s="1546"/>
      <c r="T17" s="67"/>
      <c r="U17" s="760">
        <f ca="1">E81</f>
        <v>2018</v>
      </c>
      <c r="V17" s="57" t="str">
        <f t="shared" ref="V17:AG17" si="23">V5</f>
        <v>Jan.</v>
      </c>
      <c r="W17" s="57" t="str">
        <f t="shared" si="23"/>
        <v>Febr.</v>
      </c>
      <c r="X17" s="57" t="str">
        <f t="shared" si="23"/>
        <v>März</v>
      </c>
      <c r="Y17" s="57" t="str">
        <f t="shared" si="23"/>
        <v>April</v>
      </c>
      <c r="Z17" s="57" t="str">
        <f t="shared" si="23"/>
        <v>Mai</v>
      </c>
      <c r="AA17" s="57" t="str">
        <f t="shared" si="23"/>
        <v>Juni</v>
      </c>
      <c r="AB17" s="57" t="str">
        <f t="shared" si="23"/>
        <v>Juli</v>
      </c>
      <c r="AC17" s="57" t="str">
        <f t="shared" si="23"/>
        <v>Aug.</v>
      </c>
      <c r="AD17" s="57" t="str">
        <f t="shared" si="23"/>
        <v>Sept.</v>
      </c>
      <c r="AE17" s="57" t="str">
        <f t="shared" si="23"/>
        <v>Okt.</v>
      </c>
      <c r="AF17" s="57" t="str">
        <f t="shared" si="23"/>
        <v>Nov.</v>
      </c>
      <c r="AG17" s="212" t="str">
        <f t="shared" si="23"/>
        <v>Dez.</v>
      </c>
      <c r="AH17" s="43"/>
      <c r="BA17" s="71">
        <v>0.19</v>
      </c>
      <c r="BB17" s="72" t="s">
        <v>586</v>
      </c>
      <c r="BC17" s="1254">
        <f t="shared" si="18"/>
        <v>0</v>
      </c>
      <c r="BD17" s="1254">
        <f t="shared" si="18"/>
        <v>0</v>
      </c>
      <c r="BE17" s="1254">
        <f t="shared" si="18"/>
        <v>0</v>
      </c>
      <c r="BF17" s="1254">
        <f t="shared" si="18"/>
        <v>0</v>
      </c>
      <c r="BG17" s="1254">
        <f t="shared" si="18"/>
        <v>0</v>
      </c>
      <c r="BH17" s="1254">
        <f t="shared" si="18"/>
        <v>0</v>
      </c>
      <c r="BI17" s="1254">
        <f t="shared" si="18"/>
        <v>0</v>
      </c>
      <c r="BJ17" s="1254">
        <f t="shared" si="18"/>
        <v>0</v>
      </c>
      <c r="BK17" s="1254">
        <f t="shared" si="18"/>
        <v>0</v>
      </c>
      <c r="BL17" s="1254">
        <f t="shared" si="18"/>
        <v>0</v>
      </c>
      <c r="BM17" s="1254">
        <f t="shared" si="18"/>
        <v>0</v>
      </c>
      <c r="BN17" s="1254">
        <f t="shared" si="18"/>
        <v>0</v>
      </c>
      <c r="BO17" s="1216">
        <f>SUM(BC17:BN17)</f>
        <v>0</v>
      </c>
      <c r="BR17" s="71">
        <v>0.19</v>
      </c>
      <c r="BS17" s="72" t="s">
        <v>586</v>
      </c>
      <c r="BT17" s="1254">
        <f t="shared" si="20"/>
        <v>0</v>
      </c>
      <c r="BU17" s="1254">
        <f t="shared" si="20"/>
        <v>0</v>
      </c>
      <c r="BV17" s="1254">
        <f t="shared" si="20"/>
        <v>0</v>
      </c>
      <c r="BW17" s="1254">
        <f t="shared" si="20"/>
        <v>0</v>
      </c>
      <c r="BX17" s="1254">
        <f t="shared" si="20"/>
        <v>0</v>
      </c>
      <c r="BY17" s="1254">
        <f t="shared" si="20"/>
        <v>0</v>
      </c>
      <c r="BZ17" s="1254">
        <f t="shared" si="20"/>
        <v>0</v>
      </c>
      <c r="CA17" s="1254">
        <f t="shared" si="20"/>
        <v>0</v>
      </c>
      <c r="CB17" s="1254">
        <f t="shared" si="20"/>
        <v>0</v>
      </c>
      <c r="CC17" s="1254">
        <f t="shared" si="20"/>
        <v>0</v>
      </c>
      <c r="CD17" s="1254">
        <f t="shared" si="20"/>
        <v>0</v>
      </c>
      <c r="CE17" s="1254">
        <f t="shared" si="20"/>
        <v>0</v>
      </c>
      <c r="CF17" s="1216">
        <f t="shared" si="21"/>
        <v>0</v>
      </c>
      <c r="CU17" s="91"/>
      <c r="CV17" s="91"/>
      <c r="CW17" s="987">
        <v>12</v>
      </c>
      <c r="CX17" s="991">
        <f>$Q$2</f>
        <v>0.19</v>
      </c>
      <c r="CY17" s="923" t="str">
        <f>"Materialaufwand zur Produktion ("&amp;$Q$2*100 &amp;"%)"</f>
        <v>Materialaufwand zur Produktion (19%)</v>
      </c>
      <c r="CZ17" s="921" t="str">
        <f>"Cost of production material  ("&amp;$Q$2*100 &amp;"%)"</f>
        <v>Cost of production material  (19%)</v>
      </c>
      <c r="DA17" s="987">
        <v>12</v>
      </c>
      <c r="DB17" s="998">
        <f t="shared" si="10"/>
        <v>0.19</v>
      </c>
      <c r="DC17" s="994" t="str">
        <f t="shared" si="11"/>
        <v>Materialaufwand zur Produktion (19%)</v>
      </c>
      <c r="DD17" s="994" t="str">
        <f t="shared" si="12"/>
        <v>Cost of production material  (19%)</v>
      </c>
    </row>
    <row r="18" spans="1:108" ht="15.75" customHeight="1" x14ac:dyDescent="0.2">
      <c r="A18" s="70">
        <f>$Q$3</f>
        <v>7.0000000000000007E-2</v>
      </c>
      <c r="B18" s="71">
        <f t="shared" si="22"/>
        <v>7.0000000000000007E-2</v>
      </c>
      <c r="C18" s="1413" t="str">
        <f t="shared" si="0"/>
        <v>Materialaufwand zur Produktion (7%)</v>
      </c>
      <c r="D18" s="1414"/>
      <c r="E18" s="1414"/>
      <c r="F18" s="1414"/>
      <c r="G18" s="1414"/>
      <c r="H18" s="1414"/>
      <c r="I18" s="1414"/>
      <c r="J18" s="1414"/>
      <c r="K18" s="1414"/>
      <c r="L18" s="1414"/>
      <c r="M18" s="1414"/>
      <c r="N18" s="1414"/>
      <c r="O18" s="1414"/>
      <c r="P18" s="1415">
        <f t="shared" si="17"/>
        <v>0</v>
      </c>
      <c r="Q18" s="75"/>
      <c r="R18" s="76"/>
      <c r="S18" s="1546"/>
      <c r="T18" s="67"/>
      <c r="U18" s="1111" t="str">
        <f t="shared" ref="U18:U25" si="24">U6</f>
        <v xml:space="preserve"> Anzahl Mitarbeiter</v>
      </c>
      <c r="V18" s="68"/>
      <c r="W18" s="68"/>
      <c r="X18" s="68"/>
      <c r="Y18" s="68"/>
      <c r="Z18" s="68"/>
      <c r="AA18" s="68"/>
      <c r="AB18" s="68"/>
      <c r="AC18" s="68"/>
      <c r="AD18" s="68"/>
      <c r="AE18" s="68"/>
      <c r="AF18" s="68"/>
      <c r="AG18" s="1008"/>
      <c r="AH18" s="43"/>
      <c r="BA18" s="71">
        <v>7.0000000000000007E-2</v>
      </c>
      <c r="BB18" s="72" t="s">
        <v>587</v>
      </c>
      <c r="BC18" s="1254">
        <f t="shared" si="18"/>
        <v>0</v>
      </c>
      <c r="BD18" s="1254">
        <f t="shared" si="18"/>
        <v>0</v>
      </c>
      <c r="BE18" s="1254">
        <f t="shared" si="18"/>
        <v>0</v>
      </c>
      <c r="BF18" s="1254">
        <f t="shared" si="18"/>
        <v>0</v>
      </c>
      <c r="BG18" s="1254">
        <f t="shared" si="18"/>
        <v>0</v>
      </c>
      <c r="BH18" s="1254">
        <f t="shared" si="18"/>
        <v>0</v>
      </c>
      <c r="BI18" s="1254">
        <f t="shared" si="18"/>
        <v>0</v>
      </c>
      <c r="BJ18" s="1254">
        <f t="shared" si="18"/>
        <v>0</v>
      </c>
      <c r="BK18" s="1254">
        <f t="shared" si="18"/>
        <v>0</v>
      </c>
      <c r="BL18" s="1254">
        <f t="shared" si="18"/>
        <v>0</v>
      </c>
      <c r="BM18" s="1254">
        <f t="shared" si="18"/>
        <v>0</v>
      </c>
      <c r="BN18" s="1254">
        <f t="shared" si="18"/>
        <v>0</v>
      </c>
      <c r="BO18" s="1216">
        <f t="shared" si="19"/>
        <v>0</v>
      </c>
      <c r="BR18" s="71">
        <v>7.0000000000000007E-2</v>
      </c>
      <c r="BS18" s="72" t="s">
        <v>587</v>
      </c>
      <c r="BT18" s="1254">
        <f t="shared" si="20"/>
        <v>0</v>
      </c>
      <c r="BU18" s="1254">
        <f t="shared" si="20"/>
        <v>0</v>
      </c>
      <c r="BV18" s="1254">
        <f t="shared" si="20"/>
        <v>0</v>
      </c>
      <c r="BW18" s="1254">
        <f t="shared" si="20"/>
        <v>0</v>
      </c>
      <c r="BX18" s="1254">
        <f t="shared" si="20"/>
        <v>0</v>
      </c>
      <c r="BY18" s="1254">
        <f t="shared" si="20"/>
        <v>0</v>
      </c>
      <c r="BZ18" s="1254">
        <f t="shared" si="20"/>
        <v>0</v>
      </c>
      <c r="CA18" s="1254">
        <f t="shared" si="20"/>
        <v>0</v>
      </c>
      <c r="CB18" s="1254">
        <f t="shared" si="20"/>
        <v>0</v>
      </c>
      <c r="CC18" s="1254">
        <f t="shared" si="20"/>
        <v>0</v>
      </c>
      <c r="CD18" s="1254">
        <f t="shared" si="20"/>
        <v>0</v>
      </c>
      <c r="CE18" s="1254">
        <f t="shared" si="20"/>
        <v>0</v>
      </c>
      <c r="CF18" s="1216">
        <f t="shared" si="21"/>
        <v>0</v>
      </c>
      <c r="CU18" s="91"/>
      <c r="CV18" s="91"/>
      <c r="CW18" s="987">
        <v>13</v>
      </c>
      <c r="CX18" s="991">
        <f>$Q$3</f>
        <v>7.0000000000000007E-2</v>
      </c>
      <c r="CY18" s="923" t="str">
        <f>"Materialaufwand zur Produktion ("&amp;$Q$3*100 &amp;"%)"</f>
        <v>Materialaufwand zur Produktion (7%)</v>
      </c>
      <c r="CZ18" s="921" t="str">
        <f>"Cost for materials for production  ("&amp;$Q$3*100 &amp;"%)"</f>
        <v>Cost for materials for production  (7%)</v>
      </c>
      <c r="DA18" s="987">
        <v>13</v>
      </c>
      <c r="DB18" s="998">
        <f t="shared" si="10"/>
        <v>7.0000000000000007E-2</v>
      </c>
      <c r="DC18" s="994" t="str">
        <f t="shared" si="11"/>
        <v>Materialaufwand zur Produktion (7%)</v>
      </c>
      <c r="DD18" s="994" t="str">
        <f t="shared" si="12"/>
        <v>Cost for materials for production  (7%)</v>
      </c>
    </row>
    <row r="19" spans="1:108" x14ac:dyDescent="0.2">
      <c r="A19" s="70">
        <f>$Q$2</f>
        <v>0.19</v>
      </c>
      <c r="B19" s="71">
        <f t="shared" si="22"/>
        <v>0.19</v>
      </c>
      <c r="C19" s="1413" t="str">
        <f t="shared" si="0"/>
        <v>Produktionsbedarf, geringwertige Wirtschaftsgüter</v>
      </c>
      <c r="D19" s="1414"/>
      <c r="E19" s="1414"/>
      <c r="F19" s="1414"/>
      <c r="G19" s="1414"/>
      <c r="H19" s="1414"/>
      <c r="I19" s="1414"/>
      <c r="J19" s="1414"/>
      <c r="K19" s="1414"/>
      <c r="L19" s="1414"/>
      <c r="M19" s="1414"/>
      <c r="N19" s="1414"/>
      <c r="O19" s="1414"/>
      <c r="P19" s="1415">
        <f t="shared" si="17"/>
        <v>0</v>
      </c>
      <c r="Q19" s="75"/>
      <c r="R19" s="76"/>
      <c r="S19" s="1546"/>
      <c r="T19" s="67"/>
      <c r="U19" s="1112" t="str">
        <f t="shared" si="24"/>
        <v>Gehalt1</v>
      </c>
      <c r="V19" s="77"/>
      <c r="W19" s="77"/>
      <c r="X19" s="77"/>
      <c r="Y19" s="77"/>
      <c r="Z19" s="77"/>
      <c r="AA19" s="77"/>
      <c r="AB19" s="77"/>
      <c r="AC19" s="77"/>
      <c r="AD19" s="77"/>
      <c r="AE19" s="77"/>
      <c r="AF19" s="77"/>
      <c r="AG19" s="77"/>
      <c r="AH19" s="43"/>
      <c r="BA19" s="71">
        <v>0.19</v>
      </c>
      <c r="BB19" s="72" t="s">
        <v>138</v>
      </c>
      <c r="BC19" s="1254">
        <f t="shared" si="18"/>
        <v>0</v>
      </c>
      <c r="BD19" s="1254">
        <f t="shared" si="18"/>
        <v>0</v>
      </c>
      <c r="BE19" s="1254">
        <f t="shared" si="18"/>
        <v>0</v>
      </c>
      <c r="BF19" s="1254">
        <f t="shared" si="18"/>
        <v>0</v>
      </c>
      <c r="BG19" s="1254">
        <f t="shared" si="18"/>
        <v>0</v>
      </c>
      <c r="BH19" s="1254">
        <f t="shared" si="18"/>
        <v>0</v>
      </c>
      <c r="BI19" s="1254">
        <f t="shared" si="18"/>
        <v>0</v>
      </c>
      <c r="BJ19" s="1254">
        <f t="shared" si="18"/>
        <v>0</v>
      </c>
      <c r="BK19" s="1254">
        <f t="shared" si="18"/>
        <v>0</v>
      </c>
      <c r="BL19" s="1254">
        <f t="shared" si="18"/>
        <v>0</v>
      </c>
      <c r="BM19" s="1254">
        <f t="shared" si="18"/>
        <v>0</v>
      </c>
      <c r="BN19" s="1254">
        <f t="shared" si="18"/>
        <v>0</v>
      </c>
      <c r="BO19" s="1216">
        <f t="shared" si="19"/>
        <v>0</v>
      </c>
      <c r="BR19" s="71">
        <v>0.19</v>
      </c>
      <c r="BS19" s="72" t="s">
        <v>138</v>
      </c>
      <c r="BT19" s="1254">
        <f t="shared" si="20"/>
        <v>0</v>
      </c>
      <c r="BU19" s="1254">
        <f t="shared" si="20"/>
        <v>0</v>
      </c>
      <c r="BV19" s="1254">
        <f t="shared" si="20"/>
        <v>0</v>
      </c>
      <c r="BW19" s="1254">
        <f t="shared" si="20"/>
        <v>0</v>
      </c>
      <c r="BX19" s="1254">
        <f t="shared" si="20"/>
        <v>0</v>
      </c>
      <c r="BY19" s="1254">
        <f t="shared" si="20"/>
        <v>0</v>
      </c>
      <c r="BZ19" s="1254">
        <f t="shared" si="20"/>
        <v>0</v>
      </c>
      <c r="CA19" s="1254">
        <f t="shared" si="20"/>
        <v>0</v>
      </c>
      <c r="CB19" s="1254">
        <f t="shared" si="20"/>
        <v>0</v>
      </c>
      <c r="CC19" s="1254">
        <f t="shared" si="20"/>
        <v>0</v>
      </c>
      <c r="CD19" s="1254">
        <f t="shared" si="20"/>
        <v>0</v>
      </c>
      <c r="CE19" s="1254">
        <f t="shared" si="20"/>
        <v>0</v>
      </c>
      <c r="CF19" s="1216">
        <f t="shared" si="21"/>
        <v>0</v>
      </c>
      <c r="CU19" s="1004"/>
      <c r="CV19" s="1004"/>
      <c r="CW19" s="987">
        <v>14</v>
      </c>
      <c r="CX19" s="991">
        <f>$Q$2</f>
        <v>0.19</v>
      </c>
      <c r="CY19" s="923" t="s">
        <v>138</v>
      </c>
      <c r="CZ19" s="921" t="s">
        <v>623</v>
      </c>
      <c r="DA19" s="987">
        <v>14</v>
      </c>
      <c r="DB19" s="998">
        <f t="shared" si="10"/>
        <v>0.19</v>
      </c>
      <c r="DC19" s="994" t="str">
        <f t="shared" si="11"/>
        <v>Produktionsbedarf, geringwertige Wirtschaftsgüter</v>
      </c>
      <c r="DD19" s="994" t="str">
        <f t="shared" si="12"/>
        <v>Production need, low value assets</v>
      </c>
    </row>
    <row r="20" spans="1:108" x14ac:dyDescent="0.2">
      <c r="A20" s="70">
        <f>$Q$2</f>
        <v>0.19</v>
      </c>
      <c r="B20" s="71">
        <f>IF($D$4&lt;&gt;1, A20,"")</f>
        <v>0.19</v>
      </c>
      <c r="C20" s="1413" t="str">
        <f t="shared" si="0"/>
        <v>Leasingraten für Produktionsanlagen, -maschinen</v>
      </c>
      <c r="D20" s="1414"/>
      <c r="E20" s="1414"/>
      <c r="F20" s="1414"/>
      <c r="G20" s="1414"/>
      <c r="H20" s="1414"/>
      <c r="I20" s="1414"/>
      <c r="J20" s="1414"/>
      <c r="K20" s="1414"/>
      <c r="L20" s="1414"/>
      <c r="M20" s="1414"/>
      <c r="N20" s="1414"/>
      <c r="O20" s="1414"/>
      <c r="P20" s="1415">
        <f t="shared" si="17"/>
        <v>0</v>
      </c>
      <c r="Q20" s="75"/>
      <c r="R20" s="76"/>
      <c r="S20" s="1546"/>
      <c r="T20" s="67"/>
      <c r="U20" s="1112" t="str">
        <f t="shared" si="24"/>
        <v xml:space="preserve"> Anzahl Mitarbeiter</v>
      </c>
      <c r="V20" s="77"/>
      <c r="W20" s="77"/>
      <c r="X20" s="77"/>
      <c r="Y20" s="77"/>
      <c r="Z20" s="77"/>
      <c r="AA20" s="77"/>
      <c r="AB20" s="77"/>
      <c r="AC20" s="77"/>
      <c r="AD20" s="77"/>
      <c r="AE20" s="77"/>
      <c r="AF20" s="77"/>
      <c r="AG20" s="77"/>
      <c r="AH20" s="43"/>
      <c r="BA20" s="71">
        <v>0.19</v>
      </c>
      <c r="BB20" s="72" t="s">
        <v>136</v>
      </c>
      <c r="BC20" s="1254">
        <f t="shared" si="18"/>
        <v>0</v>
      </c>
      <c r="BD20" s="1254">
        <f t="shared" si="18"/>
        <v>0</v>
      </c>
      <c r="BE20" s="1254">
        <f t="shared" si="18"/>
        <v>0</v>
      </c>
      <c r="BF20" s="1254">
        <f t="shared" si="18"/>
        <v>0</v>
      </c>
      <c r="BG20" s="1254">
        <f t="shared" si="18"/>
        <v>0</v>
      </c>
      <c r="BH20" s="1254">
        <f t="shared" si="18"/>
        <v>0</v>
      </c>
      <c r="BI20" s="1254">
        <f t="shared" si="18"/>
        <v>0</v>
      </c>
      <c r="BJ20" s="1254">
        <f t="shared" si="18"/>
        <v>0</v>
      </c>
      <c r="BK20" s="1254">
        <f t="shared" si="18"/>
        <v>0</v>
      </c>
      <c r="BL20" s="1254">
        <f t="shared" si="18"/>
        <v>0</v>
      </c>
      <c r="BM20" s="1254">
        <f t="shared" si="18"/>
        <v>0</v>
      </c>
      <c r="BN20" s="1254">
        <f t="shared" si="18"/>
        <v>0</v>
      </c>
      <c r="BO20" s="1216">
        <f t="shared" si="19"/>
        <v>0</v>
      </c>
      <c r="BR20" s="71">
        <v>0.19</v>
      </c>
      <c r="BS20" s="72" t="s">
        <v>136</v>
      </c>
      <c r="BT20" s="1254">
        <f t="shared" si="20"/>
        <v>0</v>
      </c>
      <c r="BU20" s="1254">
        <f t="shared" si="20"/>
        <v>0</v>
      </c>
      <c r="BV20" s="1254">
        <f t="shared" si="20"/>
        <v>0</v>
      </c>
      <c r="BW20" s="1254">
        <f t="shared" si="20"/>
        <v>0</v>
      </c>
      <c r="BX20" s="1254">
        <f t="shared" si="20"/>
        <v>0</v>
      </c>
      <c r="BY20" s="1254">
        <f t="shared" si="20"/>
        <v>0</v>
      </c>
      <c r="BZ20" s="1254">
        <f t="shared" si="20"/>
        <v>0</v>
      </c>
      <c r="CA20" s="1254">
        <f t="shared" si="20"/>
        <v>0</v>
      </c>
      <c r="CB20" s="1254">
        <f t="shared" si="20"/>
        <v>0</v>
      </c>
      <c r="CC20" s="1254">
        <f t="shared" si="20"/>
        <v>0</v>
      </c>
      <c r="CD20" s="1254">
        <f t="shared" si="20"/>
        <v>0</v>
      </c>
      <c r="CE20" s="1254">
        <f t="shared" si="20"/>
        <v>0</v>
      </c>
      <c r="CF20" s="1216">
        <f t="shared" si="21"/>
        <v>0</v>
      </c>
      <c r="CU20" s="1004"/>
      <c r="CV20" s="1004"/>
      <c r="CW20" s="987">
        <v>15</v>
      </c>
      <c r="CX20" s="991">
        <f>$Q$2</f>
        <v>0.19</v>
      </c>
      <c r="CY20" s="923" t="s">
        <v>136</v>
      </c>
      <c r="CZ20" s="921" t="s">
        <v>445</v>
      </c>
      <c r="DA20" s="987">
        <v>15</v>
      </c>
      <c r="DB20" s="998">
        <f t="shared" si="10"/>
        <v>0.19</v>
      </c>
      <c r="DC20" s="994" t="str">
        <f t="shared" si="11"/>
        <v>Leasingraten für Produktionsanlagen, -maschinen</v>
      </c>
      <c r="DD20" s="994" t="str">
        <f t="shared" si="12"/>
        <v>Leasing rate for production facityties , -machines</v>
      </c>
    </row>
    <row r="21" spans="1:108" x14ac:dyDescent="0.2">
      <c r="A21" s="70">
        <f>$Q$2</f>
        <v>0.19</v>
      </c>
      <c r="B21" s="71">
        <f t="shared" si="22"/>
        <v>0.19</v>
      </c>
      <c r="C21" s="1413" t="str">
        <f t="shared" si="0"/>
        <v>Instandhaltung und Reparaturen</v>
      </c>
      <c r="D21" s="1414"/>
      <c r="E21" s="1414"/>
      <c r="F21" s="1414"/>
      <c r="G21" s="1414"/>
      <c r="H21" s="1414"/>
      <c r="I21" s="1414"/>
      <c r="J21" s="1414"/>
      <c r="K21" s="1414"/>
      <c r="L21" s="1414"/>
      <c r="M21" s="1414"/>
      <c r="N21" s="1414"/>
      <c r="O21" s="1414"/>
      <c r="P21" s="1415">
        <f t="shared" si="17"/>
        <v>0</v>
      </c>
      <c r="Q21" s="75"/>
      <c r="R21" s="76"/>
      <c r="S21" s="1546"/>
      <c r="T21" s="67"/>
      <c r="U21" s="1112" t="str">
        <f t="shared" si="24"/>
        <v>Gehalt2</v>
      </c>
      <c r="V21" s="77"/>
      <c r="W21" s="77"/>
      <c r="X21" s="77"/>
      <c r="Y21" s="77"/>
      <c r="Z21" s="77"/>
      <c r="AA21" s="77"/>
      <c r="AB21" s="77"/>
      <c r="AC21" s="77"/>
      <c r="AD21" s="77"/>
      <c r="AE21" s="77"/>
      <c r="AF21" s="77"/>
      <c r="AG21" s="77"/>
      <c r="AH21" s="43"/>
      <c r="BA21" s="71">
        <v>0.19</v>
      </c>
      <c r="BB21" s="72" t="s">
        <v>460</v>
      </c>
      <c r="BC21" s="1254">
        <f t="shared" si="18"/>
        <v>0</v>
      </c>
      <c r="BD21" s="1254">
        <f t="shared" si="18"/>
        <v>0</v>
      </c>
      <c r="BE21" s="1254">
        <f t="shared" si="18"/>
        <v>0</v>
      </c>
      <c r="BF21" s="1254">
        <f t="shared" si="18"/>
        <v>0</v>
      </c>
      <c r="BG21" s="1254">
        <f t="shared" si="18"/>
        <v>0</v>
      </c>
      <c r="BH21" s="1254">
        <f t="shared" si="18"/>
        <v>0</v>
      </c>
      <c r="BI21" s="1254">
        <f t="shared" si="18"/>
        <v>0</v>
      </c>
      <c r="BJ21" s="1254">
        <f t="shared" si="18"/>
        <v>0</v>
      </c>
      <c r="BK21" s="1254">
        <f t="shared" si="18"/>
        <v>0</v>
      </c>
      <c r="BL21" s="1254">
        <f t="shared" si="18"/>
        <v>0</v>
      </c>
      <c r="BM21" s="1254">
        <f t="shared" si="18"/>
        <v>0</v>
      </c>
      <c r="BN21" s="1254">
        <f t="shared" si="18"/>
        <v>0</v>
      </c>
      <c r="BO21" s="1216">
        <f t="shared" si="19"/>
        <v>0</v>
      </c>
      <c r="BR21" s="71">
        <v>0.19</v>
      </c>
      <c r="BS21" s="72" t="s">
        <v>460</v>
      </c>
      <c r="BT21" s="1254">
        <f t="shared" si="20"/>
        <v>0</v>
      </c>
      <c r="BU21" s="1254">
        <f t="shared" si="20"/>
        <v>0</v>
      </c>
      <c r="BV21" s="1254">
        <f t="shared" si="20"/>
        <v>0</v>
      </c>
      <c r="BW21" s="1254">
        <f t="shared" si="20"/>
        <v>0</v>
      </c>
      <c r="BX21" s="1254">
        <f t="shared" si="20"/>
        <v>0</v>
      </c>
      <c r="BY21" s="1254">
        <f t="shared" si="20"/>
        <v>0</v>
      </c>
      <c r="BZ21" s="1254">
        <f t="shared" si="20"/>
        <v>0</v>
      </c>
      <c r="CA21" s="1254">
        <f t="shared" si="20"/>
        <v>0</v>
      </c>
      <c r="CB21" s="1254">
        <f t="shared" si="20"/>
        <v>0</v>
      </c>
      <c r="CC21" s="1254">
        <f t="shared" si="20"/>
        <v>0</v>
      </c>
      <c r="CD21" s="1254">
        <f t="shared" si="20"/>
        <v>0</v>
      </c>
      <c r="CE21" s="1254">
        <f t="shared" si="20"/>
        <v>0</v>
      </c>
      <c r="CF21" s="1216">
        <f t="shared" si="21"/>
        <v>0</v>
      </c>
      <c r="CU21" s="1004"/>
      <c r="CV21" s="1004"/>
      <c r="CW21" s="987">
        <v>16</v>
      </c>
      <c r="CX21" s="991">
        <f>$Q$2</f>
        <v>0.19</v>
      </c>
      <c r="CY21" s="919" t="s">
        <v>460</v>
      </c>
      <c r="CZ21" s="921" t="s">
        <v>462</v>
      </c>
      <c r="DA21" s="987">
        <v>16</v>
      </c>
      <c r="DB21" s="998">
        <f t="shared" si="10"/>
        <v>0.19</v>
      </c>
      <c r="DC21" s="994" t="str">
        <f t="shared" si="11"/>
        <v>Instandhaltung und Reparaturen</v>
      </c>
      <c r="DD21" s="994" t="str">
        <f t="shared" si="12"/>
        <v>Maintenace and repairs</v>
      </c>
    </row>
    <row r="22" spans="1:108" x14ac:dyDescent="0.2">
      <c r="A22" s="1412">
        <v>0.19</v>
      </c>
      <c r="B22" s="71"/>
      <c r="C22" s="1416" t="s">
        <v>740</v>
      </c>
      <c r="D22" s="1417"/>
      <c r="E22" s="1417"/>
      <c r="F22" s="1417"/>
      <c r="G22" s="1417"/>
      <c r="H22" s="1417"/>
      <c r="I22" s="1417"/>
      <c r="J22" s="1417"/>
      <c r="K22" s="1417"/>
      <c r="L22" s="1417"/>
      <c r="M22" s="1417"/>
      <c r="N22" s="1417"/>
      <c r="O22" s="1417"/>
      <c r="P22" s="1418">
        <f t="shared" si="17"/>
        <v>0</v>
      </c>
      <c r="Q22" s="75"/>
      <c r="R22" s="76"/>
      <c r="S22" s="1546"/>
      <c r="T22" s="67"/>
      <c r="U22" s="1112" t="str">
        <f t="shared" si="24"/>
        <v xml:space="preserve"> Anzahl Mitarbeiter</v>
      </c>
      <c r="V22" s="77"/>
      <c r="W22" s="77"/>
      <c r="X22" s="77"/>
      <c r="Y22" s="77"/>
      <c r="Z22" s="77"/>
      <c r="AA22" s="77"/>
      <c r="AB22" s="77"/>
      <c r="AC22" s="77"/>
      <c r="AD22" s="77"/>
      <c r="AE22" s="77"/>
      <c r="AF22" s="77"/>
      <c r="AG22" s="1009"/>
      <c r="AH22" s="43"/>
      <c r="BA22" s="71"/>
      <c r="BB22" s="1100" t="s">
        <v>456</v>
      </c>
      <c r="BC22" s="1254">
        <f t="shared" si="18"/>
        <v>0</v>
      </c>
      <c r="BD22" s="1254">
        <f t="shared" si="18"/>
        <v>0</v>
      </c>
      <c r="BE22" s="1254">
        <f t="shared" si="18"/>
        <v>0</v>
      </c>
      <c r="BF22" s="1254">
        <f t="shared" si="18"/>
        <v>0</v>
      </c>
      <c r="BG22" s="1254">
        <f t="shared" si="18"/>
        <v>0</v>
      </c>
      <c r="BH22" s="1254">
        <f t="shared" si="18"/>
        <v>0</v>
      </c>
      <c r="BI22" s="1254">
        <f t="shared" si="18"/>
        <v>0</v>
      </c>
      <c r="BJ22" s="1254">
        <f t="shared" si="18"/>
        <v>0</v>
      </c>
      <c r="BK22" s="1254">
        <f t="shared" si="18"/>
        <v>0</v>
      </c>
      <c r="BL22" s="1254">
        <f t="shared" si="18"/>
        <v>0</v>
      </c>
      <c r="BM22" s="1254">
        <f t="shared" si="18"/>
        <v>0</v>
      </c>
      <c r="BN22" s="1254">
        <f t="shared" si="18"/>
        <v>0</v>
      </c>
      <c r="BO22" s="1217">
        <f t="shared" si="19"/>
        <v>0</v>
      </c>
      <c r="BR22" s="71"/>
      <c r="BS22" s="1060" t="s">
        <v>456</v>
      </c>
      <c r="BT22" s="1254">
        <f t="shared" si="20"/>
        <v>0</v>
      </c>
      <c r="BU22" s="1254">
        <f t="shared" si="20"/>
        <v>0</v>
      </c>
      <c r="BV22" s="1254">
        <f t="shared" si="20"/>
        <v>0</v>
      </c>
      <c r="BW22" s="1254">
        <f t="shared" si="20"/>
        <v>0</v>
      </c>
      <c r="BX22" s="1254">
        <f t="shared" si="20"/>
        <v>0</v>
      </c>
      <c r="BY22" s="1254">
        <f t="shared" si="20"/>
        <v>0</v>
      </c>
      <c r="BZ22" s="1254">
        <f t="shared" si="20"/>
        <v>0</v>
      </c>
      <c r="CA22" s="1254">
        <f t="shared" si="20"/>
        <v>0</v>
      </c>
      <c r="CB22" s="1254">
        <f t="shared" si="20"/>
        <v>0</v>
      </c>
      <c r="CC22" s="1254">
        <f t="shared" si="20"/>
        <v>0</v>
      </c>
      <c r="CD22" s="1254">
        <f t="shared" si="20"/>
        <v>0</v>
      </c>
      <c r="CE22" s="1254">
        <f t="shared" si="20"/>
        <v>0</v>
      </c>
      <c r="CF22" s="1217">
        <f t="shared" si="21"/>
        <v>0</v>
      </c>
      <c r="CU22" s="1004"/>
      <c r="CV22" s="1004"/>
      <c r="CW22" s="987">
        <v>17</v>
      </c>
      <c r="CX22" s="930">
        <f>$Q$2</f>
        <v>0.19</v>
      </c>
      <c r="CY22" s="920" t="s">
        <v>456</v>
      </c>
      <c r="CZ22" s="920" t="s">
        <v>458</v>
      </c>
      <c r="DA22" s="987">
        <v>17</v>
      </c>
      <c r="DB22" s="998">
        <f t="shared" si="10"/>
        <v>0.19</v>
      </c>
      <c r="DC22" s="994" t="str">
        <f t="shared" si="11"/>
        <v>Sonstiges</v>
      </c>
      <c r="DD22" s="994" t="str">
        <f t="shared" si="12"/>
        <v>Others</v>
      </c>
    </row>
    <row r="23" spans="1:108" ht="15" thickBot="1" x14ac:dyDescent="0.25">
      <c r="A23" s="926"/>
      <c r="B23" s="1475"/>
      <c r="C23" s="1476" t="str">
        <f t="shared" si="0"/>
        <v>Summe Produktionskosten</v>
      </c>
      <c r="D23" s="1477">
        <f>SUM(D15:D22)</f>
        <v>0</v>
      </c>
      <c r="E23" s="1477">
        <f t="shared" ref="E23:O23" si="25">SUM(E15:E22)</f>
        <v>0</v>
      </c>
      <c r="F23" s="1477">
        <f t="shared" si="25"/>
        <v>0</v>
      </c>
      <c r="G23" s="1477">
        <f t="shared" si="25"/>
        <v>0</v>
      </c>
      <c r="H23" s="1477">
        <f t="shared" si="25"/>
        <v>0</v>
      </c>
      <c r="I23" s="1477">
        <f t="shared" si="25"/>
        <v>0</v>
      </c>
      <c r="J23" s="1477">
        <f t="shared" si="25"/>
        <v>0</v>
      </c>
      <c r="K23" s="1477">
        <f t="shared" si="25"/>
        <v>0</v>
      </c>
      <c r="L23" s="1477">
        <f t="shared" si="25"/>
        <v>0</v>
      </c>
      <c r="M23" s="1477">
        <f t="shared" si="25"/>
        <v>0</v>
      </c>
      <c r="N23" s="1477">
        <f t="shared" si="25"/>
        <v>0</v>
      </c>
      <c r="O23" s="1477">
        <f t="shared" si="25"/>
        <v>0</v>
      </c>
      <c r="P23" s="1478">
        <f>SUM(D23:O23)</f>
        <v>0</v>
      </c>
      <c r="Q23" s="75"/>
      <c r="R23" s="76"/>
      <c r="S23" s="83"/>
      <c r="T23" s="67"/>
      <c r="U23" s="1112" t="str">
        <f t="shared" si="24"/>
        <v>Gehalt3</v>
      </c>
      <c r="V23" s="77"/>
      <c r="W23" s="77"/>
      <c r="X23" s="77"/>
      <c r="Y23" s="77"/>
      <c r="Z23" s="77"/>
      <c r="AA23" s="77"/>
      <c r="AB23" s="77"/>
      <c r="AC23" s="77"/>
      <c r="AD23" s="77"/>
      <c r="AE23" s="77"/>
      <c r="AF23" s="77"/>
      <c r="AG23" s="1009"/>
      <c r="AH23" s="43"/>
      <c r="BA23" s="80"/>
      <c r="BB23" s="97" t="s">
        <v>588</v>
      </c>
      <c r="BC23" s="1218">
        <f>SUM(BC15:BC22)</f>
        <v>0</v>
      </c>
      <c r="BD23" s="1218">
        <f t="shared" ref="BD23:BN23" si="26">SUM(BD15:BD22)</f>
        <v>0</v>
      </c>
      <c r="BE23" s="1218">
        <f t="shared" si="26"/>
        <v>0</v>
      </c>
      <c r="BF23" s="1218">
        <f t="shared" si="26"/>
        <v>0</v>
      </c>
      <c r="BG23" s="1218">
        <f t="shared" si="26"/>
        <v>0</v>
      </c>
      <c r="BH23" s="1218">
        <f t="shared" si="26"/>
        <v>0</v>
      </c>
      <c r="BI23" s="1218">
        <f t="shared" si="26"/>
        <v>0</v>
      </c>
      <c r="BJ23" s="1218">
        <f t="shared" si="26"/>
        <v>0</v>
      </c>
      <c r="BK23" s="1218">
        <f t="shared" si="26"/>
        <v>0</v>
      </c>
      <c r="BL23" s="1218">
        <f t="shared" si="26"/>
        <v>0</v>
      </c>
      <c r="BM23" s="1218">
        <f t="shared" si="26"/>
        <v>0</v>
      </c>
      <c r="BN23" s="1218">
        <f t="shared" si="26"/>
        <v>0</v>
      </c>
      <c r="BO23" s="1222">
        <f>SUM(BC23:BN23)</f>
        <v>0</v>
      </c>
      <c r="BR23" s="80"/>
      <c r="BS23" s="97" t="s">
        <v>588</v>
      </c>
      <c r="BT23" s="1218">
        <f>SUM(BT15:BT22)</f>
        <v>0</v>
      </c>
      <c r="BU23" s="1218">
        <f t="shared" ref="BU23:CE23" si="27">SUM(BU15:BU22)</f>
        <v>0</v>
      </c>
      <c r="BV23" s="1218">
        <f t="shared" si="27"/>
        <v>0</v>
      </c>
      <c r="BW23" s="1218">
        <f t="shared" si="27"/>
        <v>0</v>
      </c>
      <c r="BX23" s="1218">
        <f t="shared" si="27"/>
        <v>0</v>
      </c>
      <c r="BY23" s="1218">
        <f t="shared" si="27"/>
        <v>0</v>
      </c>
      <c r="BZ23" s="1218">
        <f t="shared" si="27"/>
        <v>0</v>
      </c>
      <c r="CA23" s="1218">
        <f t="shared" si="27"/>
        <v>0</v>
      </c>
      <c r="CB23" s="1218">
        <f t="shared" si="27"/>
        <v>0</v>
      </c>
      <c r="CC23" s="1218">
        <f t="shared" si="27"/>
        <v>0</v>
      </c>
      <c r="CD23" s="1218">
        <f t="shared" si="27"/>
        <v>0</v>
      </c>
      <c r="CE23" s="1218">
        <f t="shared" si="27"/>
        <v>0</v>
      </c>
      <c r="CF23" s="1222">
        <f t="shared" si="21"/>
        <v>0</v>
      </c>
      <c r="CU23" s="1004"/>
      <c r="CV23" s="1004"/>
      <c r="CW23" s="987">
        <v>18</v>
      </c>
      <c r="CX23" s="991"/>
      <c r="CY23" s="923" t="str">
        <f>"Summe "&amp;CY14</f>
        <v>Summe Produktionskosten</v>
      </c>
      <c r="CZ23" s="921" t="s">
        <v>283</v>
      </c>
      <c r="DA23" s="987">
        <v>18</v>
      </c>
      <c r="DB23" s="998">
        <f t="shared" si="10"/>
        <v>0</v>
      </c>
      <c r="DC23" s="994" t="str">
        <f t="shared" si="11"/>
        <v>Summe Produktionskosten</v>
      </c>
      <c r="DD23" s="994" t="str">
        <f t="shared" si="12"/>
        <v xml:space="preserve">Sum production costs </v>
      </c>
    </row>
    <row r="24" spans="1:108" ht="15.75" customHeight="1" thickBot="1" x14ac:dyDescent="0.25">
      <c r="A24" s="926"/>
      <c r="B24" s="188">
        <v>3</v>
      </c>
      <c r="C24" s="87" t="str">
        <f t="shared" si="0"/>
        <v>Personalkosten (nur Angestellte)</v>
      </c>
      <c r="D24" s="1220"/>
      <c r="E24" s="1220"/>
      <c r="F24" s="1220"/>
      <c r="G24" s="1220"/>
      <c r="H24" s="1220"/>
      <c r="I24" s="1220"/>
      <c r="J24" s="1220"/>
      <c r="K24" s="1220"/>
      <c r="L24" s="1220"/>
      <c r="M24" s="1220"/>
      <c r="N24" s="1220"/>
      <c r="O24" s="1220"/>
      <c r="P24" s="1216"/>
      <c r="Q24" s="75"/>
      <c r="R24" s="76"/>
      <c r="S24" s="94"/>
      <c r="T24" s="67"/>
      <c r="U24" s="1113" t="str">
        <f t="shared" si="24"/>
        <v>Nebenkosten (%)</v>
      </c>
      <c r="V24" s="77"/>
      <c r="W24" s="77"/>
      <c r="X24" s="77"/>
      <c r="Y24" s="77"/>
      <c r="Z24" s="77"/>
      <c r="AA24" s="77"/>
      <c r="AB24" s="77"/>
      <c r="AC24" s="77"/>
      <c r="AD24" s="77"/>
      <c r="AE24" s="77"/>
      <c r="AF24" s="77"/>
      <c r="AG24" s="1009"/>
      <c r="AH24" s="43"/>
      <c r="BA24" s="188">
        <v>3</v>
      </c>
      <c r="BB24" s="87" t="s">
        <v>43</v>
      </c>
      <c r="BC24" s="1220"/>
      <c r="BD24" s="1220"/>
      <c r="BE24" s="1220"/>
      <c r="BF24" s="1220"/>
      <c r="BG24" s="1220"/>
      <c r="BH24" s="1220"/>
      <c r="BI24" s="1220"/>
      <c r="BJ24" s="1220"/>
      <c r="BK24" s="1220"/>
      <c r="BL24" s="1220"/>
      <c r="BM24" s="1220"/>
      <c r="BN24" s="1220"/>
      <c r="BO24" s="1216"/>
      <c r="BR24" s="188">
        <v>3</v>
      </c>
      <c r="BS24" s="87" t="s">
        <v>43</v>
      </c>
      <c r="BT24" s="1220"/>
      <c r="BU24" s="1220"/>
      <c r="BV24" s="1220"/>
      <c r="BW24" s="1220"/>
      <c r="BX24" s="1220"/>
      <c r="BY24" s="1220"/>
      <c r="BZ24" s="1220"/>
      <c r="CA24" s="1220"/>
      <c r="CB24" s="1220"/>
      <c r="CC24" s="1220"/>
      <c r="CD24" s="1220"/>
      <c r="CE24" s="1220"/>
      <c r="CF24" s="1216"/>
      <c r="CU24" s="1004"/>
      <c r="CV24" s="1004"/>
      <c r="CW24" s="987">
        <v>19</v>
      </c>
      <c r="CX24" s="991"/>
      <c r="CY24" s="923" t="s">
        <v>43</v>
      </c>
      <c r="CZ24" s="921" t="s">
        <v>624</v>
      </c>
      <c r="DA24" s="987">
        <v>19</v>
      </c>
      <c r="DB24" s="998">
        <f t="shared" si="10"/>
        <v>0</v>
      </c>
      <c r="DC24" s="994" t="str">
        <f t="shared" si="11"/>
        <v>Personalkosten (nur Angestellte)</v>
      </c>
      <c r="DD24" s="994" t="str">
        <f t="shared" si="12"/>
        <v>Personnel costs  (salery personel only)</v>
      </c>
    </row>
    <row r="25" spans="1:108" ht="15.75" thickTop="1" thickBot="1" x14ac:dyDescent="0.25">
      <c r="A25" s="70">
        <v>0</v>
      </c>
      <c r="B25" s="71">
        <f>IF($D$4&lt;&gt;1, A25,"")</f>
        <v>0</v>
      </c>
      <c r="C25" s="1413" t="str">
        <f t="shared" si="0"/>
        <v>Löhne, Gehälter mit Nebenkosten (s. Nebenrechnung)</v>
      </c>
      <c r="D25" s="1414"/>
      <c r="E25" s="1414"/>
      <c r="F25" s="1414"/>
      <c r="G25" s="1414"/>
      <c r="H25" s="1414"/>
      <c r="I25" s="1414"/>
      <c r="J25" s="1414"/>
      <c r="K25" s="1414"/>
      <c r="L25" s="1414"/>
      <c r="M25" s="1414"/>
      <c r="N25" s="1414"/>
      <c r="O25" s="1414"/>
      <c r="P25" s="1415">
        <f>SUM(D25:O25)</f>
        <v>0</v>
      </c>
      <c r="Q25" s="75"/>
      <c r="R25" s="76"/>
      <c r="S25" s="1546"/>
      <c r="T25" s="67"/>
      <c r="U25" s="275" t="str">
        <f t="shared" si="24"/>
        <v>Personalkosten</v>
      </c>
      <c r="V25" s="85">
        <f>((V18*V19)+(V20*V21)+(V22*V23))*(1+V24)</f>
        <v>0</v>
      </c>
      <c r="W25" s="85">
        <f t="shared" ref="W25:AG25" si="28">((W18*W19)+(W20*W21)+(W22*W23))*(1+W24)</f>
        <v>0</v>
      </c>
      <c r="X25" s="85">
        <f t="shared" si="28"/>
        <v>0</v>
      </c>
      <c r="Y25" s="85">
        <f t="shared" si="28"/>
        <v>0</v>
      </c>
      <c r="Z25" s="85">
        <f t="shared" si="28"/>
        <v>0</v>
      </c>
      <c r="AA25" s="85">
        <f t="shared" si="28"/>
        <v>0</v>
      </c>
      <c r="AB25" s="85">
        <f t="shared" si="28"/>
        <v>0</v>
      </c>
      <c r="AC25" s="85">
        <f t="shared" si="28"/>
        <v>0</v>
      </c>
      <c r="AD25" s="85">
        <f t="shared" si="28"/>
        <v>0</v>
      </c>
      <c r="AE25" s="85">
        <f t="shared" si="28"/>
        <v>0</v>
      </c>
      <c r="AF25" s="85">
        <f t="shared" si="28"/>
        <v>0</v>
      </c>
      <c r="AG25" s="86">
        <f t="shared" si="28"/>
        <v>0</v>
      </c>
      <c r="AH25" s="1016">
        <f>SUM(V25:AG25)</f>
        <v>0</v>
      </c>
      <c r="BA25" s="71">
        <v>0</v>
      </c>
      <c r="BB25" s="72" t="s">
        <v>120</v>
      </c>
      <c r="BC25" s="1254">
        <f t="shared" ref="BC25:BN26" si="29">IF($A25=$Q$2,D25*IF(OR($D$4=0,$D$4=3),$A25,$A25/(1+$A25)),0)</f>
        <v>0</v>
      </c>
      <c r="BD25" s="1254">
        <f t="shared" si="29"/>
        <v>0</v>
      </c>
      <c r="BE25" s="1254">
        <f t="shared" si="29"/>
        <v>0</v>
      </c>
      <c r="BF25" s="1254">
        <f t="shared" si="29"/>
        <v>0</v>
      </c>
      <c r="BG25" s="1254">
        <f t="shared" si="29"/>
        <v>0</v>
      </c>
      <c r="BH25" s="1254">
        <f t="shared" si="29"/>
        <v>0</v>
      </c>
      <c r="BI25" s="1254">
        <f t="shared" si="29"/>
        <v>0</v>
      </c>
      <c r="BJ25" s="1254">
        <f t="shared" si="29"/>
        <v>0</v>
      </c>
      <c r="BK25" s="1254">
        <f t="shared" si="29"/>
        <v>0</v>
      </c>
      <c r="BL25" s="1254">
        <f t="shared" si="29"/>
        <v>0</v>
      </c>
      <c r="BM25" s="1254">
        <f t="shared" si="29"/>
        <v>0</v>
      </c>
      <c r="BN25" s="1254">
        <f t="shared" si="29"/>
        <v>0</v>
      </c>
      <c r="BO25" s="1216">
        <f>SUM(BC25:BN25)</f>
        <v>0</v>
      </c>
      <c r="BR25" s="71">
        <v>0</v>
      </c>
      <c r="BS25" s="72" t="s">
        <v>120</v>
      </c>
      <c r="BT25" s="1254">
        <f t="shared" ref="BT25:CE26" si="30">IF($A25=$Q$3,D25*IF(OR($D$4=0,$D$4=3),$A25,$A25/(1+$A25)),0)</f>
        <v>0</v>
      </c>
      <c r="BU25" s="1254">
        <f t="shared" si="30"/>
        <v>0</v>
      </c>
      <c r="BV25" s="1254">
        <f t="shared" si="30"/>
        <v>0</v>
      </c>
      <c r="BW25" s="1254">
        <f t="shared" si="30"/>
        <v>0</v>
      </c>
      <c r="BX25" s="1254">
        <f t="shared" si="30"/>
        <v>0</v>
      </c>
      <c r="BY25" s="1254">
        <f t="shared" si="30"/>
        <v>0</v>
      </c>
      <c r="BZ25" s="1254">
        <f t="shared" si="30"/>
        <v>0</v>
      </c>
      <c r="CA25" s="1254">
        <f t="shared" si="30"/>
        <v>0</v>
      </c>
      <c r="CB25" s="1254">
        <f t="shared" si="30"/>
        <v>0</v>
      </c>
      <c r="CC25" s="1254">
        <f t="shared" si="30"/>
        <v>0</v>
      </c>
      <c r="CD25" s="1254">
        <f t="shared" si="30"/>
        <v>0</v>
      </c>
      <c r="CE25" s="1254">
        <f t="shared" si="30"/>
        <v>0</v>
      </c>
      <c r="CF25" s="1216">
        <f>SUM(BT25:CE25)</f>
        <v>0</v>
      </c>
      <c r="CU25" s="1004"/>
      <c r="CV25" s="1004"/>
      <c r="CW25" s="987">
        <v>20</v>
      </c>
      <c r="CX25" s="991">
        <v>0</v>
      </c>
      <c r="CY25" s="923" t="s">
        <v>120</v>
      </c>
      <c r="CZ25" s="921" t="s">
        <v>625</v>
      </c>
      <c r="DA25" s="987">
        <v>20</v>
      </c>
      <c r="DB25" s="998">
        <f t="shared" si="10"/>
        <v>0</v>
      </c>
      <c r="DC25" s="994" t="str">
        <f t="shared" si="11"/>
        <v>Löhne, Gehälter mit Nebenkosten (s. Nebenrechnung)</v>
      </c>
      <c r="DD25" s="994" t="str">
        <f t="shared" si="12"/>
        <v>Wages, saleries with additional costs (s. ancillary account)</v>
      </c>
    </row>
    <row r="26" spans="1:108" x14ac:dyDescent="0.2">
      <c r="A26" s="1412">
        <v>0.19</v>
      </c>
      <c r="B26" s="71"/>
      <c r="C26" s="1416" t="s">
        <v>456</v>
      </c>
      <c r="D26" s="1417"/>
      <c r="E26" s="1417"/>
      <c r="F26" s="1417"/>
      <c r="G26" s="1417"/>
      <c r="H26" s="1417"/>
      <c r="I26" s="1417"/>
      <c r="J26" s="1417"/>
      <c r="K26" s="1417"/>
      <c r="L26" s="1417"/>
      <c r="M26" s="1417"/>
      <c r="N26" s="1417"/>
      <c r="O26" s="1417"/>
      <c r="P26" s="1418">
        <f>SUM(D26:O26)</f>
        <v>0</v>
      </c>
      <c r="Q26" s="75"/>
      <c r="R26" s="76"/>
      <c r="S26" s="1546"/>
      <c r="T26" s="67"/>
      <c r="U26" s="67"/>
      <c r="V26" s="67"/>
      <c r="W26" s="67"/>
      <c r="X26" s="67"/>
      <c r="Y26" s="67"/>
      <c r="Z26" s="67"/>
      <c r="AA26" s="67"/>
      <c r="AB26" s="67"/>
      <c r="AC26" s="67"/>
      <c r="AD26" s="67"/>
      <c r="AE26" s="67"/>
      <c r="AF26" s="67"/>
      <c r="AG26" s="67"/>
      <c r="AH26" s="43"/>
      <c r="AI26" s="67"/>
      <c r="AJ26" s="67"/>
      <c r="AK26" s="67"/>
      <c r="AL26" s="67"/>
      <c r="AM26" s="67"/>
      <c r="AN26" s="67"/>
      <c r="AO26" s="67"/>
      <c r="AP26" s="67"/>
      <c r="AQ26" s="67"/>
      <c r="AR26" s="67"/>
      <c r="AS26" s="67"/>
      <c r="BA26" s="71"/>
      <c r="BB26" s="1100" t="s">
        <v>456</v>
      </c>
      <c r="BC26" s="1254">
        <f t="shared" si="29"/>
        <v>0</v>
      </c>
      <c r="BD26" s="1254">
        <f t="shared" si="29"/>
        <v>0</v>
      </c>
      <c r="BE26" s="1254">
        <f t="shared" si="29"/>
        <v>0</v>
      </c>
      <c r="BF26" s="1254">
        <f t="shared" si="29"/>
        <v>0</v>
      </c>
      <c r="BG26" s="1254">
        <f t="shared" si="29"/>
        <v>0</v>
      </c>
      <c r="BH26" s="1254">
        <f t="shared" si="29"/>
        <v>0</v>
      </c>
      <c r="BI26" s="1254">
        <f t="shared" si="29"/>
        <v>0</v>
      </c>
      <c r="BJ26" s="1254">
        <f t="shared" si="29"/>
        <v>0</v>
      </c>
      <c r="BK26" s="1254">
        <f t="shared" si="29"/>
        <v>0</v>
      </c>
      <c r="BL26" s="1254">
        <f t="shared" si="29"/>
        <v>0</v>
      </c>
      <c r="BM26" s="1254">
        <f t="shared" si="29"/>
        <v>0</v>
      </c>
      <c r="BN26" s="1254">
        <f t="shared" si="29"/>
        <v>0</v>
      </c>
      <c r="BO26" s="1217">
        <f>SUM(BC26:BN26)</f>
        <v>0</v>
      </c>
      <c r="BR26" s="71"/>
      <c r="BS26" s="1060" t="s">
        <v>456</v>
      </c>
      <c r="BT26" s="1254">
        <f t="shared" si="30"/>
        <v>0</v>
      </c>
      <c r="BU26" s="1254">
        <f t="shared" si="30"/>
        <v>0</v>
      </c>
      <c r="BV26" s="1254">
        <f t="shared" si="30"/>
        <v>0</v>
      </c>
      <c r="BW26" s="1254">
        <f t="shared" si="30"/>
        <v>0</v>
      </c>
      <c r="BX26" s="1254">
        <f t="shared" si="30"/>
        <v>0</v>
      </c>
      <c r="BY26" s="1254">
        <f t="shared" si="30"/>
        <v>0</v>
      </c>
      <c r="BZ26" s="1254">
        <f t="shared" si="30"/>
        <v>0</v>
      </c>
      <c r="CA26" s="1254">
        <f t="shared" si="30"/>
        <v>0</v>
      </c>
      <c r="CB26" s="1254">
        <f t="shared" si="30"/>
        <v>0</v>
      </c>
      <c r="CC26" s="1254">
        <f t="shared" si="30"/>
        <v>0</v>
      </c>
      <c r="CD26" s="1254">
        <f t="shared" si="30"/>
        <v>0</v>
      </c>
      <c r="CE26" s="1254">
        <f t="shared" si="30"/>
        <v>0</v>
      </c>
      <c r="CF26" s="1217">
        <f>SUM(BT26:CE26)</f>
        <v>0</v>
      </c>
      <c r="CU26" s="1004"/>
      <c r="CV26" s="1004"/>
      <c r="CW26" s="987">
        <v>21</v>
      </c>
      <c r="CX26" s="930">
        <f>$Q$2</f>
        <v>0.19</v>
      </c>
      <c r="CY26" s="920" t="s">
        <v>456</v>
      </c>
      <c r="CZ26" s="920" t="s">
        <v>458</v>
      </c>
      <c r="DA26" s="987">
        <v>21</v>
      </c>
      <c r="DB26" s="998">
        <f t="shared" si="10"/>
        <v>0.19</v>
      </c>
      <c r="DC26" s="994" t="str">
        <f t="shared" si="11"/>
        <v>Sonstiges</v>
      </c>
      <c r="DD26" s="994" t="str">
        <f t="shared" si="12"/>
        <v>Others</v>
      </c>
    </row>
    <row r="27" spans="1:108" ht="15" thickBot="1" x14ac:dyDescent="0.25">
      <c r="A27" s="926"/>
      <c r="B27" s="1475"/>
      <c r="C27" s="1476" t="str">
        <f t="shared" si="0"/>
        <v>Summe Personalkosten</v>
      </c>
      <c r="D27" s="1477">
        <f>SUM(D25:D26)</f>
        <v>0</v>
      </c>
      <c r="E27" s="1477">
        <f t="shared" ref="E27:O27" si="31">SUM(E25:E26)</f>
        <v>0</v>
      </c>
      <c r="F27" s="1477">
        <f t="shared" si="31"/>
        <v>0</v>
      </c>
      <c r="G27" s="1477">
        <f t="shared" si="31"/>
        <v>0</v>
      </c>
      <c r="H27" s="1477">
        <f t="shared" si="31"/>
        <v>0</v>
      </c>
      <c r="I27" s="1477">
        <f t="shared" si="31"/>
        <v>0</v>
      </c>
      <c r="J27" s="1477">
        <f t="shared" si="31"/>
        <v>0</v>
      </c>
      <c r="K27" s="1477">
        <f t="shared" si="31"/>
        <v>0</v>
      </c>
      <c r="L27" s="1477">
        <f t="shared" si="31"/>
        <v>0</v>
      </c>
      <c r="M27" s="1477">
        <f t="shared" si="31"/>
        <v>0</v>
      </c>
      <c r="N27" s="1477">
        <f t="shared" si="31"/>
        <v>0</v>
      </c>
      <c r="O27" s="1477">
        <f t="shared" si="31"/>
        <v>0</v>
      </c>
      <c r="P27" s="1478">
        <f>SUM(D27:O27)</f>
        <v>0</v>
      </c>
      <c r="Q27" s="75"/>
      <c r="R27" s="76"/>
      <c r="S27" s="83"/>
      <c r="T27" s="67"/>
      <c r="U27" s="67"/>
      <c r="V27" s="67"/>
      <c r="W27" s="67"/>
      <c r="X27" s="67"/>
      <c r="Y27" s="67"/>
      <c r="Z27" s="67"/>
      <c r="AA27" s="67"/>
      <c r="AB27" s="67"/>
      <c r="AC27" s="67"/>
      <c r="AD27" s="67"/>
      <c r="AE27" s="67"/>
      <c r="AF27" s="67"/>
      <c r="AG27" s="67"/>
      <c r="AH27" s="43"/>
      <c r="AI27" s="67"/>
      <c r="AJ27" s="67"/>
      <c r="AK27" s="67"/>
      <c r="AL27" s="67"/>
      <c r="AM27" s="67"/>
      <c r="AN27" s="67"/>
      <c r="AO27" s="67"/>
      <c r="BA27" s="80"/>
      <c r="BB27" s="97" t="s">
        <v>211</v>
      </c>
      <c r="BC27" s="1218">
        <f>SUM(BC25:BC26)</f>
        <v>0</v>
      </c>
      <c r="BD27" s="1218">
        <f t="shared" ref="BD27:BN27" si="32">SUM(BD25:BD26)</f>
        <v>0</v>
      </c>
      <c r="BE27" s="1218">
        <f t="shared" si="32"/>
        <v>0</v>
      </c>
      <c r="BF27" s="1218">
        <f t="shared" si="32"/>
        <v>0</v>
      </c>
      <c r="BG27" s="1218">
        <f t="shared" si="32"/>
        <v>0</v>
      </c>
      <c r="BH27" s="1218">
        <f t="shared" si="32"/>
        <v>0</v>
      </c>
      <c r="BI27" s="1218">
        <f t="shared" si="32"/>
        <v>0</v>
      </c>
      <c r="BJ27" s="1218">
        <f t="shared" si="32"/>
        <v>0</v>
      </c>
      <c r="BK27" s="1218">
        <f t="shared" si="32"/>
        <v>0</v>
      </c>
      <c r="BL27" s="1218">
        <f t="shared" si="32"/>
        <v>0</v>
      </c>
      <c r="BM27" s="1218">
        <f t="shared" si="32"/>
        <v>0</v>
      </c>
      <c r="BN27" s="1218">
        <f t="shared" si="32"/>
        <v>0</v>
      </c>
      <c r="BO27" s="1222">
        <f>SUM(BC27:BN27)</f>
        <v>0</v>
      </c>
      <c r="BR27" s="80"/>
      <c r="BS27" s="97" t="s">
        <v>211</v>
      </c>
      <c r="BT27" s="1218">
        <f>SUM(BT25:BT26)</f>
        <v>0</v>
      </c>
      <c r="BU27" s="1218">
        <f t="shared" ref="BU27:CE27" si="33">SUM(BU25:BU26)</f>
        <v>0</v>
      </c>
      <c r="BV27" s="1218">
        <f t="shared" si="33"/>
        <v>0</v>
      </c>
      <c r="BW27" s="1218">
        <f t="shared" si="33"/>
        <v>0</v>
      </c>
      <c r="BX27" s="1218">
        <f t="shared" si="33"/>
        <v>0</v>
      </c>
      <c r="BY27" s="1218">
        <f t="shared" si="33"/>
        <v>0</v>
      </c>
      <c r="BZ27" s="1218">
        <f t="shared" si="33"/>
        <v>0</v>
      </c>
      <c r="CA27" s="1218">
        <f t="shared" si="33"/>
        <v>0</v>
      </c>
      <c r="CB27" s="1218">
        <f t="shared" si="33"/>
        <v>0</v>
      </c>
      <c r="CC27" s="1218">
        <f t="shared" si="33"/>
        <v>0</v>
      </c>
      <c r="CD27" s="1218">
        <f t="shared" si="33"/>
        <v>0</v>
      </c>
      <c r="CE27" s="1218">
        <f t="shared" si="33"/>
        <v>0</v>
      </c>
      <c r="CF27" s="1222">
        <f>SUM(BT27:CE27)</f>
        <v>0</v>
      </c>
      <c r="CU27" s="1004"/>
      <c r="CV27" s="1004"/>
      <c r="CW27" s="987">
        <v>22</v>
      </c>
      <c r="CX27" s="991"/>
      <c r="CY27" s="923" t="s">
        <v>211</v>
      </c>
      <c r="CZ27" s="921" t="s">
        <v>282</v>
      </c>
      <c r="DA27" s="987">
        <v>22</v>
      </c>
      <c r="DB27" s="998">
        <f t="shared" si="10"/>
        <v>0</v>
      </c>
      <c r="DC27" s="994" t="str">
        <f t="shared" si="11"/>
        <v>Summe Personalkosten</v>
      </c>
      <c r="DD27" s="994" t="str">
        <f t="shared" si="12"/>
        <v xml:space="preserve">Sum personal costs </v>
      </c>
    </row>
    <row r="28" spans="1:108" ht="15" thickBot="1" x14ac:dyDescent="0.25">
      <c r="A28" s="926"/>
      <c r="B28" s="188">
        <v>4</v>
      </c>
      <c r="C28" s="87" t="str">
        <f t="shared" si="0"/>
        <v>Reisekosten</v>
      </c>
      <c r="D28" s="1220"/>
      <c r="E28" s="1220"/>
      <c r="F28" s="1220"/>
      <c r="G28" s="1220"/>
      <c r="H28" s="1220"/>
      <c r="I28" s="1220"/>
      <c r="J28" s="1220"/>
      <c r="K28" s="1220"/>
      <c r="L28" s="1220"/>
      <c r="M28" s="1220"/>
      <c r="N28" s="1220"/>
      <c r="O28" s="1220"/>
      <c r="P28" s="1221"/>
      <c r="Q28" s="75"/>
      <c r="R28" s="76"/>
      <c r="S28" s="94"/>
      <c r="T28" s="67"/>
      <c r="U28" s="67"/>
      <c r="V28" s="67"/>
      <c r="W28" s="67"/>
      <c r="X28" s="67"/>
      <c r="Y28" s="67"/>
      <c r="Z28" s="67"/>
      <c r="AA28" s="67"/>
      <c r="AB28" s="67"/>
      <c r="AC28" s="67"/>
      <c r="AD28" s="67"/>
      <c r="AE28" s="67"/>
      <c r="AF28" s="67"/>
      <c r="AG28" s="67"/>
      <c r="AH28" s="67"/>
      <c r="AI28" s="67"/>
      <c r="AJ28" s="67"/>
      <c r="AK28" s="67"/>
      <c r="AL28" s="67"/>
      <c r="AM28" s="67"/>
      <c r="AN28" s="67"/>
      <c r="AO28" s="67"/>
      <c r="BA28" s="188">
        <v>4</v>
      </c>
      <c r="BB28" s="87" t="s">
        <v>121</v>
      </c>
      <c r="BC28" s="1220"/>
      <c r="BD28" s="1220"/>
      <c r="BE28" s="1220"/>
      <c r="BF28" s="1220"/>
      <c r="BG28" s="1220"/>
      <c r="BH28" s="1220"/>
      <c r="BI28" s="1220"/>
      <c r="BJ28" s="1220"/>
      <c r="BK28" s="1220"/>
      <c r="BL28" s="1220"/>
      <c r="BM28" s="1220"/>
      <c r="BN28" s="1220"/>
      <c r="BO28" s="1221"/>
      <c r="BR28" s="188">
        <v>4</v>
      </c>
      <c r="BS28" s="87" t="s">
        <v>121</v>
      </c>
      <c r="BT28" s="1220"/>
      <c r="BU28" s="1220"/>
      <c r="BV28" s="1220"/>
      <c r="BW28" s="1220"/>
      <c r="BX28" s="1220"/>
      <c r="BY28" s="1220"/>
      <c r="BZ28" s="1220"/>
      <c r="CA28" s="1220"/>
      <c r="CB28" s="1220"/>
      <c r="CC28" s="1220"/>
      <c r="CD28" s="1220"/>
      <c r="CE28" s="1220"/>
      <c r="CF28" s="1221"/>
      <c r="CU28" s="1004"/>
      <c r="CV28" s="1004"/>
      <c r="CW28" s="987">
        <v>23</v>
      </c>
      <c r="CX28" s="991"/>
      <c r="CY28" s="923" t="s">
        <v>121</v>
      </c>
      <c r="CZ28" s="921" t="s">
        <v>264</v>
      </c>
      <c r="DA28" s="987">
        <v>23</v>
      </c>
      <c r="DB28" s="998">
        <f t="shared" si="10"/>
        <v>0</v>
      </c>
      <c r="DC28" s="994" t="str">
        <f t="shared" si="11"/>
        <v>Reisekosten</v>
      </c>
      <c r="DD28" s="994" t="str">
        <f t="shared" si="12"/>
        <v>Travel expenses</v>
      </c>
    </row>
    <row r="29" spans="1:108" ht="15" thickBot="1" x14ac:dyDescent="0.25">
      <c r="A29" s="70">
        <f>$Q$2</f>
        <v>0.19</v>
      </c>
      <c r="B29" s="71">
        <f>IF($D$4&lt;&gt;1, A29,"")</f>
        <v>0.19</v>
      </c>
      <c r="C29" s="1413" t="str">
        <f t="shared" si="0"/>
        <v>Fahrtkosten</v>
      </c>
      <c r="D29" s="1414"/>
      <c r="E29" s="1414"/>
      <c r="F29" s="1414"/>
      <c r="G29" s="1414"/>
      <c r="H29" s="1414"/>
      <c r="I29" s="1414"/>
      <c r="J29" s="1414"/>
      <c r="K29" s="1414"/>
      <c r="L29" s="1414"/>
      <c r="M29" s="1414"/>
      <c r="N29" s="1414"/>
      <c r="O29" s="1414"/>
      <c r="P29" s="1415">
        <f>SUM(D29:O29)</f>
        <v>0</v>
      </c>
      <c r="Q29" s="35"/>
      <c r="S29" s="1546"/>
      <c r="T29" s="67"/>
      <c r="U29" s="56">
        <f ca="1">F81</f>
        <v>2019</v>
      </c>
      <c r="V29" s="57" t="str">
        <f t="shared" ref="V29:AG29" si="34">V17</f>
        <v>Jan.</v>
      </c>
      <c r="W29" s="57" t="str">
        <f t="shared" si="34"/>
        <v>Febr.</v>
      </c>
      <c r="X29" s="57" t="str">
        <f t="shared" si="34"/>
        <v>März</v>
      </c>
      <c r="Y29" s="57" t="str">
        <f t="shared" si="34"/>
        <v>April</v>
      </c>
      <c r="Z29" s="57" t="str">
        <f t="shared" si="34"/>
        <v>Mai</v>
      </c>
      <c r="AA29" s="57" t="str">
        <f t="shared" si="34"/>
        <v>Juni</v>
      </c>
      <c r="AB29" s="57" t="str">
        <f t="shared" si="34"/>
        <v>Juli</v>
      </c>
      <c r="AC29" s="57" t="str">
        <f t="shared" si="34"/>
        <v>Aug.</v>
      </c>
      <c r="AD29" s="57" t="str">
        <f t="shared" si="34"/>
        <v>Sept.</v>
      </c>
      <c r="AE29" s="57" t="str">
        <f t="shared" si="34"/>
        <v>Okt.</v>
      </c>
      <c r="AF29" s="57" t="str">
        <f t="shared" si="34"/>
        <v>Nov.</v>
      </c>
      <c r="AG29" s="212" t="str">
        <f t="shared" si="34"/>
        <v>Dez.</v>
      </c>
      <c r="AH29" s="67"/>
      <c r="AI29" s="67"/>
      <c r="AJ29" s="67"/>
      <c r="AK29" s="67"/>
      <c r="AL29" s="67"/>
      <c r="AM29" s="67"/>
      <c r="AN29" s="67"/>
      <c r="AO29" s="67"/>
      <c r="BA29" s="71">
        <v>0.19</v>
      </c>
      <c r="BB29" s="72" t="s">
        <v>124</v>
      </c>
      <c r="BC29" s="1254">
        <f t="shared" ref="BC29:BN32" si="35">IF($A29=$Q$2,D29*IF(OR($D$4=0,$D$4=3),$A29,$A29/(1+$A29)),0)</f>
        <v>0</v>
      </c>
      <c r="BD29" s="1254">
        <f t="shared" si="35"/>
        <v>0</v>
      </c>
      <c r="BE29" s="1254">
        <f t="shared" si="35"/>
        <v>0</v>
      </c>
      <c r="BF29" s="1254">
        <f t="shared" si="35"/>
        <v>0</v>
      </c>
      <c r="BG29" s="1254">
        <f t="shared" si="35"/>
        <v>0</v>
      </c>
      <c r="BH29" s="1254">
        <f t="shared" si="35"/>
        <v>0</v>
      </c>
      <c r="BI29" s="1254">
        <f t="shared" si="35"/>
        <v>0</v>
      </c>
      <c r="BJ29" s="1254">
        <f t="shared" si="35"/>
        <v>0</v>
      </c>
      <c r="BK29" s="1254">
        <f t="shared" si="35"/>
        <v>0</v>
      </c>
      <c r="BL29" s="1254">
        <f t="shared" si="35"/>
        <v>0</v>
      </c>
      <c r="BM29" s="1254">
        <f t="shared" si="35"/>
        <v>0</v>
      </c>
      <c r="BN29" s="1254">
        <f t="shared" si="35"/>
        <v>0</v>
      </c>
      <c r="BO29" s="1216">
        <f>SUM(BC29:BN29)</f>
        <v>0</v>
      </c>
      <c r="BR29" s="71">
        <v>0.19</v>
      </c>
      <c r="BS29" s="72" t="s">
        <v>124</v>
      </c>
      <c r="BT29" s="1254">
        <f t="shared" ref="BT29:CE32" si="36">IF($A29=$Q$3,D29*IF(OR($D$4=0,$D$4=3),$A29,$A29/(1+$A29)),0)</f>
        <v>0</v>
      </c>
      <c r="BU29" s="1254">
        <f t="shared" si="36"/>
        <v>0</v>
      </c>
      <c r="BV29" s="1254">
        <f t="shared" si="36"/>
        <v>0</v>
      </c>
      <c r="BW29" s="1254">
        <f t="shared" si="36"/>
        <v>0</v>
      </c>
      <c r="BX29" s="1254">
        <f t="shared" si="36"/>
        <v>0</v>
      </c>
      <c r="BY29" s="1254">
        <f t="shared" si="36"/>
        <v>0</v>
      </c>
      <c r="BZ29" s="1254">
        <f t="shared" si="36"/>
        <v>0</v>
      </c>
      <c r="CA29" s="1254">
        <f t="shared" si="36"/>
        <v>0</v>
      </c>
      <c r="CB29" s="1254">
        <f t="shared" si="36"/>
        <v>0</v>
      </c>
      <c r="CC29" s="1254">
        <f t="shared" si="36"/>
        <v>0</v>
      </c>
      <c r="CD29" s="1254">
        <f t="shared" si="36"/>
        <v>0</v>
      </c>
      <c r="CE29" s="1254">
        <f t="shared" si="36"/>
        <v>0</v>
      </c>
      <c r="CF29" s="1216">
        <f>SUM(BT29:CE29)</f>
        <v>0</v>
      </c>
      <c r="CU29" s="922"/>
      <c r="CV29" s="922"/>
      <c r="CW29" s="987">
        <v>24</v>
      </c>
      <c r="CX29" s="991">
        <f>$Q$2</f>
        <v>0.19</v>
      </c>
      <c r="CY29" s="919" t="s">
        <v>124</v>
      </c>
      <c r="CZ29" s="921" t="s">
        <v>264</v>
      </c>
      <c r="DA29" s="987">
        <v>24</v>
      </c>
      <c r="DB29" s="998">
        <f t="shared" si="10"/>
        <v>0.19</v>
      </c>
      <c r="DC29" s="994" t="str">
        <f t="shared" si="11"/>
        <v>Fahrtkosten</v>
      </c>
      <c r="DD29" s="994" t="str">
        <f t="shared" si="12"/>
        <v>Travel expenses</v>
      </c>
    </row>
    <row r="30" spans="1:108" x14ac:dyDescent="0.2">
      <c r="A30" s="70">
        <f>$Q$2</f>
        <v>0.19</v>
      </c>
      <c r="B30" s="71">
        <f>IF($D$4&lt;&gt;1, A30,"")</f>
        <v>0.19</v>
      </c>
      <c r="C30" s="1413" t="str">
        <f t="shared" si="0"/>
        <v>Reisekostenpauschalen</v>
      </c>
      <c r="D30" s="1414"/>
      <c r="E30" s="1414"/>
      <c r="F30" s="1414"/>
      <c r="G30" s="1414"/>
      <c r="H30" s="1414"/>
      <c r="I30" s="1414"/>
      <c r="J30" s="1414"/>
      <c r="K30" s="1414"/>
      <c r="L30" s="1414"/>
      <c r="M30" s="1414"/>
      <c r="N30" s="1414"/>
      <c r="O30" s="1414"/>
      <c r="P30" s="1415">
        <f>SUM(D30:O30)</f>
        <v>0</v>
      </c>
      <c r="Q30" s="35"/>
      <c r="S30" s="1546"/>
      <c r="T30" s="67"/>
      <c r="U30" s="1111" t="str">
        <f t="shared" ref="U30:U37" si="37">U6</f>
        <v xml:space="preserve"> Anzahl Mitarbeiter</v>
      </c>
      <c r="V30" s="68"/>
      <c r="W30" s="68"/>
      <c r="X30" s="68"/>
      <c r="Y30" s="68"/>
      <c r="Z30" s="68"/>
      <c r="AA30" s="68"/>
      <c r="AB30" s="68"/>
      <c r="AC30" s="68"/>
      <c r="AD30" s="68"/>
      <c r="AE30" s="68"/>
      <c r="AF30" s="68"/>
      <c r="AG30" s="68"/>
      <c r="AH30" s="37"/>
      <c r="BA30" s="71">
        <v>0.19</v>
      </c>
      <c r="BB30" s="72" t="s">
        <v>118</v>
      </c>
      <c r="BC30" s="1254">
        <f t="shared" si="35"/>
        <v>0</v>
      </c>
      <c r="BD30" s="1254">
        <f t="shared" si="35"/>
        <v>0</v>
      </c>
      <c r="BE30" s="1254">
        <f t="shared" si="35"/>
        <v>0</v>
      </c>
      <c r="BF30" s="1254">
        <f t="shared" si="35"/>
        <v>0</v>
      </c>
      <c r="BG30" s="1254">
        <f t="shared" si="35"/>
        <v>0</v>
      </c>
      <c r="BH30" s="1254">
        <f t="shared" si="35"/>
        <v>0</v>
      </c>
      <c r="BI30" s="1254">
        <f t="shared" si="35"/>
        <v>0</v>
      </c>
      <c r="BJ30" s="1254">
        <f t="shared" si="35"/>
        <v>0</v>
      </c>
      <c r="BK30" s="1254">
        <f t="shared" si="35"/>
        <v>0</v>
      </c>
      <c r="BL30" s="1254">
        <f t="shared" si="35"/>
        <v>0</v>
      </c>
      <c r="BM30" s="1254">
        <f t="shared" si="35"/>
        <v>0</v>
      </c>
      <c r="BN30" s="1254">
        <f t="shared" si="35"/>
        <v>0</v>
      </c>
      <c r="BO30" s="1216">
        <f>SUM(BC30:BN30)</f>
        <v>0</v>
      </c>
      <c r="BR30" s="71">
        <v>0.19</v>
      </c>
      <c r="BS30" s="72" t="s">
        <v>118</v>
      </c>
      <c r="BT30" s="1254">
        <f t="shared" si="36"/>
        <v>0</v>
      </c>
      <c r="BU30" s="1254">
        <f t="shared" si="36"/>
        <v>0</v>
      </c>
      <c r="BV30" s="1254">
        <f t="shared" si="36"/>
        <v>0</v>
      </c>
      <c r="BW30" s="1254">
        <f t="shared" si="36"/>
        <v>0</v>
      </c>
      <c r="BX30" s="1254">
        <f t="shared" si="36"/>
        <v>0</v>
      </c>
      <c r="BY30" s="1254">
        <f t="shared" si="36"/>
        <v>0</v>
      </c>
      <c r="BZ30" s="1254">
        <f t="shared" si="36"/>
        <v>0</v>
      </c>
      <c r="CA30" s="1254">
        <f t="shared" si="36"/>
        <v>0</v>
      </c>
      <c r="CB30" s="1254">
        <f t="shared" si="36"/>
        <v>0</v>
      </c>
      <c r="CC30" s="1254">
        <f t="shared" si="36"/>
        <v>0</v>
      </c>
      <c r="CD30" s="1254">
        <f t="shared" si="36"/>
        <v>0</v>
      </c>
      <c r="CE30" s="1254">
        <f t="shared" si="36"/>
        <v>0</v>
      </c>
      <c r="CF30" s="1216">
        <f>SUM(BT30:CE30)</f>
        <v>0</v>
      </c>
      <c r="CU30" s="922"/>
      <c r="CV30" s="922"/>
      <c r="CW30" s="987">
        <v>25</v>
      </c>
      <c r="CX30" s="991">
        <f>$Q$2</f>
        <v>0.19</v>
      </c>
      <c r="CY30" s="919" t="s">
        <v>118</v>
      </c>
      <c r="CZ30" s="921" t="s">
        <v>275</v>
      </c>
      <c r="DA30" s="987">
        <v>25</v>
      </c>
      <c r="DB30" s="998">
        <f t="shared" si="10"/>
        <v>0.19</v>
      </c>
      <c r="DC30" s="994" t="str">
        <f t="shared" si="11"/>
        <v>Reisekostenpauschalen</v>
      </c>
      <c r="DD30" s="994" t="str">
        <f t="shared" si="12"/>
        <v xml:space="preserve">Travelling allowances </v>
      </c>
    </row>
    <row r="31" spans="1:108" x14ac:dyDescent="0.2">
      <c r="A31" s="70">
        <f>$Q$3</f>
        <v>7.0000000000000007E-2</v>
      </c>
      <c r="B31" s="71">
        <f>IF($D$4&lt;&gt;1, A31,"")</f>
        <v>7.0000000000000007E-2</v>
      </c>
      <c r="C31" s="1413" t="str">
        <f t="shared" si="0"/>
        <v>Übernachtungen</v>
      </c>
      <c r="D31" s="1414"/>
      <c r="E31" s="1414"/>
      <c r="F31" s="1414"/>
      <c r="G31" s="1414"/>
      <c r="H31" s="1414"/>
      <c r="I31" s="1414"/>
      <c r="J31" s="1414"/>
      <c r="K31" s="1414"/>
      <c r="L31" s="1414"/>
      <c r="M31" s="1414"/>
      <c r="N31" s="1414"/>
      <c r="O31" s="1414"/>
      <c r="P31" s="1415">
        <f>SUM(D31:O31)</f>
        <v>0</v>
      </c>
      <c r="Q31" s="35"/>
      <c r="S31" s="1546"/>
      <c r="T31" s="67"/>
      <c r="U31" s="1112" t="str">
        <f t="shared" si="37"/>
        <v>Gehalt1</v>
      </c>
      <c r="V31" s="77"/>
      <c r="W31" s="77"/>
      <c r="X31" s="77"/>
      <c r="Y31" s="77"/>
      <c r="Z31" s="77"/>
      <c r="AA31" s="77"/>
      <c r="AB31" s="77"/>
      <c r="AC31" s="77"/>
      <c r="AD31" s="77"/>
      <c r="AE31" s="77"/>
      <c r="AF31" s="77"/>
      <c r="AG31" s="77"/>
      <c r="AH31" s="37"/>
      <c r="BA31" s="71">
        <v>7.0000000000000007E-2</v>
      </c>
      <c r="BB31" s="72" t="s">
        <v>122</v>
      </c>
      <c r="BC31" s="1254">
        <f t="shared" si="35"/>
        <v>0</v>
      </c>
      <c r="BD31" s="1254">
        <f t="shared" si="35"/>
        <v>0</v>
      </c>
      <c r="BE31" s="1254">
        <f t="shared" si="35"/>
        <v>0</v>
      </c>
      <c r="BF31" s="1254">
        <f t="shared" si="35"/>
        <v>0</v>
      </c>
      <c r="BG31" s="1254">
        <f t="shared" si="35"/>
        <v>0</v>
      </c>
      <c r="BH31" s="1254">
        <f t="shared" si="35"/>
        <v>0</v>
      </c>
      <c r="BI31" s="1254">
        <f t="shared" si="35"/>
        <v>0</v>
      </c>
      <c r="BJ31" s="1254">
        <f t="shared" si="35"/>
        <v>0</v>
      </c>
      <c r="BK31" s="1254">
        <f t="shared" si="35"/>
        <v>0</v>
      </c>
      <c r="BL31" s="1254">
        <f t="shared" si="35"/>
        <v>0</v>
      </c>
      <c r="BM31" s="1254">
        <f t="shared" si="35"/>
        <v>0</v>
      </c>
      <c r="BN31" s="1254">
        <f t="shared" si="35"/>
        <v>0</v>
      </c>
      <c r="BO31" s="1216">
        <f>SUM(BC31:BN31)</f>
        <v>0</v>
      </c>
      <c r="BR31" s="71">
        <v>7.0000000000000007E-2</v>
      </c>
      <c r="BS31" s="72" t="s">
        <v>122</v>
      </c>
      <c r="BT31" s="1254">
        <f t="shared" si="36"/>
        <v>0</v>
      </c>
      <c r="BU31" s="1254">
        <f t="shared" si="36"/>
        <v>0</v>
      </c>
      <c r="BV31" s="1254">
        <f t="shared" si="36"/>
        <v>0</v>
      </c>
      <c r="BW31" s="1254">
        <f t="shared" si="36"/>
        <v>0</v>
      </c>
      <c r="BX31" s="1254">
        <f t="shared" si="36"/>
        <v>0</v>
      </c>
      <c r="BY31" s="1254">
        <f t="shared" si="36"/>
        <v>0</v>
      </c>
      <c r="BZ31" s="1254">
        <f t="shared" si="36"/>
        <v>0</v>
      </c>
      <c r="CA31" s="1254">
        <f t="shared" si="36"/>
        <v>0</v>
      </c>
      <c r="CB31" s="1254">
        <f t="shared" si="36"/>
        <v>0</v>
      </c>
      <c r="CC31" s="1254">
        <f t="shared" si="36"/>
        <v>0</v>
      </c>
      <c r="CD31" s="1254">
        <f t="shared" si="36"/>
        <v>0</v>
      </c>
      <c r="CE31" s="1254">
        <f t="shared" si="36"/>
        <v>0</v>
      </c>
      <c r="CF31" s="1216">
        <f>SUM(BT31:CE31)</f>
        <v>0</v>
      </c>
      <c r="CU31" s="91"/>
      <c r="CV31" s="91"/>
      <c r="CW31" s="987">
        <v>26</v>
      </c>
      <c r="CX31" s="991">
        <f>$Q$3</f>
        <v>7.0000000000000007E-2</v>
      </c>
      <c r="CY31" s="919" t="s">
        <v>122</v>
      </c>
      <c r="CZ31" s="921" t="s">
        <v>287</v>
      </c>
      <c r="DA31" s="987">
        <v>26</v>
      </c>
      <c r="DB31" s="998">
        <f t="shared" si="10"/>
        <v>7.0000000000000007E-2</v>
      </c>
      <c r="DC31" s="994" t="str">
        <f t="shared" si="11"/>
        <v>Übernachtungen</v>
      </c>
      <c r="DD31" s="994" t="str">
        <f t="shared" si="12"/>
        <v>Accomodations</v>
      </c>
    </row>
    <row r="32" spans="1:108" x14ac:dyDescent="0.2">
      <c r="A32" s="1412">
        <v>0.19</v>
      </c>
      <c r="B32" s="71"/>
      <c r="C32" s="1416" t="s">
        <v>741</v>
      </c>
      <c r="D32" s="1417"/>
      <c r="E32" s="1417"/>
      <c r="F32" s="1417"/>
      <c r="G32" s="1417"/>
      <c r="H32" s="1417"/>
      <c r="I32" s="1417"/>
      <c r="J32" s="1417"/>
      <c r="K32" s="1417"/>
      <c r="L32" s="1417"/>
      <c r="M32" s="1417"/>
      <c r="N32" s="1417"/>
      <c r="O32" s="1417"/>
      <c r="P32" s="1418">
        <f>SUM(D32:O32)</f>
        <v>0</v>
      </c>
      <c r="Q32" s="35"/>
      <c r="S32" s="1546"/>
      <c r="T32" s="67"/>
      <c r="U32" s="1112" t="str">
        <f t="shared" si="37"/>
        <v xml:space="preserve"> Anzahl Mitarbeiter</v>
      </c>
      <c r="V32" s="77"/>
      <c r="W32" s="77"/>
      <c r="X32" s="77"/>
      <c r="Y32" s="77"/>
      <c r="Z32" s="77"/>
      <c r="AA32" s="77"/>
      <c r="AB32" s="77"/>
      <c r="AC32" s="77"/>
      <c r="AD32" s="77"/>
      <c r="AE32" s="77"/>
      <c r="AF32" s="77"/>
      <c r="AG32" s="77"/>
      <c r="AH32" s="37"/>
      <c r="BA32" s="71"/>
      <c r="BB32" s="1100" t="s">
        <v>456</v>
      </c>
      <c r="BC32" s="1254">
        <f t="shared" si="35"/>
        <v>0</v>
      </c>
      <c r="BD32" s="1254">
        <f t="shared" si="35"/>
        <v>0</v>
      </c>
      <c r="BE32" s="1254">
        <f t="shared" si="35"/>
        <v>0</v>
      </c>
      <c r="BF32" s="1254">
        <f t="shared" si="35"/>
        <v>0</v>
      </c>
      <c r="BG32" s="1254">
        <f t="shared" si="35"/>
        <v>0</v>
      </c>
      <c r="BH32" s="1254">
        <f t="shared" si="35"/>
        <v>0</v>
      </c>
      <c r="BI32" s="1254">
        <f t="shared" si="35"/>
        <v>0</v>
      </c>
      <c r="BJ32" s="1254">
        <f t="shared" si="35"/>
        <v>0</v>
      </c>
      <c r="BK32" s="1254">
        <f t="shared" si="35"/>
        <v>0</v>
      </c>
      <c r="BL32" s="1254">
        <f t="shared" si="35"/>
        <v>0</v>
      </c>
      <c r="BM32" s="1254">
        <f t="shared" si="35"/>
        <v>0</v>
      </c>
      <c r="BN32" s="1254">
        <f t="shared" si="35"/>
        <v>0</v>
      </c>
      <c r="BO32" s="1217">
        <f>SUM(BC32:BN32)</f>
        <v>0</v>
      </c>
      <c r="BR32" s="71"/>
      <c r="BS32" s="1060" t="s">
        <v>456</v>
      </c>
      <c r="BT32" s="1254">
        <f t="shared" si="36"/>
        <v>0</v>
      </c>
      <c r="BU32" s="1254">
        <f t="shared" si="36"/>
        <v>0</v>
      </c>
      <c r="BV32" s="1254">
        <f t="shared" si="36"/>
        <v>0</v>
      </c>
      <c r="BW32" s="1254">
        <f t="shared" si="36"/>
        <v>0</v>
      </c>
      <c r="BX32" s="1254">
        <f t="shared" si="36"/>
        <v>0</v>
      </c>
      <c r="BY32" s="1254">
        <f t="shared" si="36"/>
        <v>0</v>
      </c>
      <c r="BZ32" s="1254">
        <f t="shared" si="36"/>
        <v>0</v>
      </c>
      <c r="CA32" s="1254">
        <f t="shared" si="36"/>
        <v>0</v>
      </c>
      <c r="CB32" s="1254">
        <f t="shared" si="36"/>
        <v>0</v>
      </c>
      <c r="CC32" s="1254">
        <f t="shared" si="36"/>
        <v>0</v>
      </c>
      <c r="CD32" s="1254">
        <f t="shared" si="36"/>
        <v>0</v>
      </c>
      <c r="CE32" s="1254">
        <f t="shared" si="36"/>
        <v>0</v>
      </c>
      <c r="CF32" s="1217">
        <f>SUM(BT32:CE32)</f>
        <v>0</v>
      </c>
      <c r="CU32" s="1004"/>
      <c r="CV32" s="1004"/>
      <c r="CW32" s="987">
        <v>27</v>
      </c>
      <c r="CX32" s="930">
        <f>$Q$2</f>
        <v>0.19</v>
      </c>
      <c r="CY32" s="920" t="s">
        <v>456</v>
      </c>
      <c r="CZ32" s="920" t="s">
        <v>458</v>
      </c>
      <c r="DA32" s="987">
        <v>27</v>
      </c>
      <c r="DB32" s="998">
        <f t="shared" si="10"/>
        <v>0.19</v>
      </c>
      <c r="DC32" s="994" t="str">
        <f t="shared" si="11"/>
        <v>Sonstiges</v>
      </c>
      <c r="DD32" s="994" t="str">
        <f t="shared" si="12"/>
        <v>Others</v>
      </c>
    </row>
    <row r="33" spans="1:108" ht="15" thickBot="1" x14ac:dyDescent="0.25">
      <c r="A33" s="926"/>
      <c r="B33" s="1475"/>
      <c r="C33" s="1476" t="str">
        <f t="shared" si="0"/>
        <v>Summe Reisekosten</v>
      </c>
      <c r="D33" s="1477">
        <f>SUM(D29:D32)</f>
        <v>0</v>
      </c>
      <c r="E33" s="1477">
        <f t="shared" ref="E33:O33" si="38">SUM(E29:E32)</f>
        <v>0</v>
      </c>
      <c r="F33" s="1477">
        <f t="shared" si="38"/>
        <v>0</v>
      </c>
      <c r="G33" s="1477">
        <f t="shared" si="38"/>
        <v>0</v>
      </c>
      <c r="H33" s="1477">
        <f t="shared" si="38"/>
        <v>0</v>
      </c>
      <c r="I33" s="1477">
        <f t="shared" si="38"/>
        <v>0</v>
      </c>
      <c r="J33" s="1477">
        <f t="shared" si="38"/>
        <v>0</v>
      </c>
      <c r="K33" s="1477">
        <f t="shared" si="38"/>
        <v>0</v>
      </c>
      <c r="L33" s="1477">
        <f t="shared" si="38"/>
        <v>0</v>
      </c>
      <c r="M33" s="1477">
        <f t="shared" si="38"/>
        <v>0</v>
      </c>
      <c r="N33" s="1477">
        <f t="shared" si="38"/>
        <v>0</v>
      </c>
      <c r="O33" s="1477">
        <f t="shared" si="38"/>
        <v>0</v>
      </c>
      <c r="P33" s="1478">
        <f>SUM(D33:O33)</f>
        <v>0</v>
      </c>
      <c r="Q33" s="35"/>
      <c r="S33" s="83"/>
      <c r="T33" s="67"/>
      <c r="U33" s="1112" t="str">
        <f t="shared" si="37"/>
        <v>Gehalt2</v>
      </c>
      <c r="V33" s="77"/>
      <c r="W33" s="77"/>
      <c r="X33" s="77"/>
      <c r="Y33" s="77"/>
      <c r="Z33" s="77"/>
      <c r="AA33" s="77"/>
      <c r="AB33" s="77"/>
      <c r="AC33" s="77"/>
      <c r="AD33" s="77"/>
      <c r="AE33" s="77"/>
      <c r="AF33" s="77"/>
      <c r="AG33" s="77"/>
      <c r="AH33" s="37"/>
      <c r="BA33" s="80"/>
      <c r="BB33" s="97" t="s">
        <v>589</v>
      </c>
      <c r="BC33" s="1218">
        <f>SUM(BC29:BC32)</f>
        <v>0</v>
      </c>
      <c r="BD33" s="1218">
        <f t="shared" ref="BD33:BN33" si="39">SUM(BD29:BD32)</f>
        <v>0</v>
      </c>
      <c r="BE33" s="1218">
        <f t="shared" si="39"/>
        <v>0</v>
      </c>
      <c r="BF33" s="1218">
        <f t="shared" si="39"/>
        <v>0</v>
      </c>
      <c r="BG33" s="1218">
        <f t="shared" si="39"/>
        <v>0</v>
      </c>
      <c r="BH33" s="1218">
        <f t="shared" si="39"/>
        <v>0</v>
      </c>
      <c r="BI33" s="1218">
        <f t="shared" si="39"/>
        <v>0</v>
      </c>
      <c r="BJ33" s="1218">
        <f t="shared" si="39"/>
        <v>0</v>
      </c>
      <c r="BK33" s="1218">
        <f t="shared" si="39"/>
        <v>0</v>
      </c>
      <c r="BL33" s="1218">
        <f t="shared" si="39"/>
        <v>0</v>
      </c>
      <c r="BM33" s="1218">
        <f t="shared" si="39"/>
        <v>0</v>
      </c>
      <c r="BN33" s="1218">
        <f t="shared" si="39"/>
        <v>0</v>
      </c>
      <c r="BO33" s="1222">
        <f>SUM(BC33:BN33)</f>
        <v>0</v>
      </c>
      <c r="BR33" s="80"/>
      <c r="BS33" s="97" t="s">
        <v>589</v>
      </c>
      <c r="BT33" s="1218">
        <f>SUM(BT29:BT32)</f>
        <v>0</v>
      </c>
      <c r="BU33" s="1218">
        <f t="shared" ref="BU33:CE33" si="40">SUM(BU29:BU32)</f>
        <v>0</v>
      </c>
      <c r="BV33" s="1218">
        <f t="shared" si="40"/>
        <v>0</v>
      </c>
      <c r="BW33" s="1218">
        <f t="shared" si="40"/>
        <v>0</v>
      </c>
      <c r="BX33" s="1218">
        <f t="shared" si="40"/>
        <v>0</v>
      </c>
      <c r="BY33" s="1218">
        <f t="shared" si="40"/>
        <v>0</v>
      </c>
      <c r="BZ33" s="1218">
        <f t="shared" si="40"/>
        <v>0</v>
      </c>
      <c r="CA33" s="1218">
        <f t="shared" si="40"/>
        <v>0</v>
      </c>
      <c r="CB33" s="1218">
        <f t="shared" si="40"/>
        <v>0</v>
      </c>
      <c r="CC33" s="1218">
        <f t="shared" si="40"/>
        <v>0</v>
      </c>
      <c r="CD33" s="1218">
        <f t="shared" si="40"/>
        <v>0</v>
      </c>
      <c r="CE33" s="1218">
        <f t="shared" si="40"/>
        <v>0</v>
      </c>
      <c r="CF33" s="1222">
        <f>SUM(BT33:CE33)</f>
        <v>0</v>
      </c>
      <c r="CU33" s="1004"/>
      <c r="CV33" s="1004"/>
      <c r="CW33" s="987">
        <v>28</v>
      </c>
      <c r="CX33" s="991"/>
      <c r="CY33" s="923" t="str">
        <f>"Summe " &amp;CY28</f>
        <v>Summe Reisekosten</v>
      </c>
      <c r="CZ33" s="921" t="s">
        <v>284</v>
      </c>
      <c r="DA33" s="987">
        <v>28</v>
      </c>
      <c r="DB33" s="998">
        <f t="shared" si="10"/>
        <v>0</v>
      </c>
      <c r="DC33" s="994" t="str">
        <f t="shared" si="11"/>
        <v>Summe Reisekosten</v>
      </c>
      <c r="DD33" s="994" t="str">
        <f t="shared" si="12"/>
        <v>Sum travel expenses</v>
      </c>
    </row>
    <row r="34" spans="1:108" x14ac:dyDescent="0.2">
      <c r="A34" s="926"/>
      <c r="B34" s="188">
        <v>5</v>
      </c>
      <c r="C34" s="87" t="str">
        <f t="shared" si="0"/>
        <v>Versicherungen und Beiträge (betrieblich!)</v>
      </c>
      <c r="D34" s="1220"/>
      <c r="E34" s="1220"/>
      <c r="F34" s="1220"/>
      <c r="G34" s="1220"/>
      <c r="H34" s="1220"/>
      <c r="I34" s="1220"/>
      <c r="J34" s="1220"/>
      <c r="K34" s="1220"/>
      <c r="L34" s="1220"/>
      <c r="M34" s="1220"/>
      <c r="N34" s="1220"/>
      <c r="O34" s="1220"/>
      <c r="P34" s="1221"/>
      <c r="Q34" s="35"/>
      <c r="S34" s="94"/>
      <c r="T34" s="67"/>
      <c r="U34" s="1112" t="str">
        <f t="shared" si="37"/>
        <v xml:space="preserve"> Anzahl Mitarbeiter</v>
      </c>
      <c r="V34" s="77"/>
      <c r="W34" s="77"/>
      <c r="X34" s="77"/>
      <c r="Y34" s="77"/>
      <c r="Z34" s="77"/>
      <c r="AA34" s="77"/>
      <c r="AB34" s="77"/>
      <c r="AC34" s="77"/>
      <c r="AD34" s="77"/>
      <c r="AE34" s="77"/>
      <c r="AF34" s="77"/>
      <c r="AG34" s="1009"/>
      <c r="AH34" s="37"/>
      <c r="BA34" s="188">
        <v>5</v>
      </c>
      <c r="BB34" s="87" t="s">
        <v>477</v>
      </c>
      <c r="BC34" s="1220"/>
      <c r="BD34" s="1220"/>
      <c r="BE34" s="1220"/>
      <c r="BF34" s="1220"/>
      <c r="BG34" s="1220"/>
      <c r="BH34" s="1220"/>
      <c r="BI34" s="1220"/>
      <c r="BJ34" s="1220"/>
      <c r="BK34" s="1220"/>
      <c r="BL34" s="1220"/>
      <c r="BM34" s="1220"/>
      <c r="BN34" s="1220"/>
      <c r="BO34" s="1221"/>
      <c r="BR34" s="188">
        <v>5</v>
      </c>
      <c r="BS34" s="87" t="s">
        <v>477</v>
      </c>
      <c r="BT34" s="1220"/>
      <c r="BU34" s="1220"/>
      <c r="BV34" s="1220"/>
      <c r="BW34" s="1220"/>
      <c r="BX34" s="1220"/>
      <c r="BY34" s="1220"/>
      <c r="BZ34" s="1220"/>
      <c r="CA34" s="1220"/>
      <c r="CB34" s="1220"/>
      <c r="CC34" s="1220"/>
      <c r="CD34" s="1220"/>
      <c r="CE34" s="1220"/>
      <c r="CF34" s="1221"/>
      <c r="CU34" s="1004"/>
      <c r="CV34" s="1004"/>
      <c r="CW34" s="987">
        <v>29</v>
      </c>
      <c r="CX34" s="991"/>
      <c r="CY34" s="923" t="s">
        <v>477</v>
      </c>
      <c r="CZ34" s="921" t="s">
        <v>478</v>
      </c>
      <c r="DA34" s="987">
        <v>29</v>
      </c>
      <c r="DB34" s="998">
        <f t="shared" si="10"/>
        <v>0</v>
      </c>
      <c r="DC34" s="994" t="str">
        <f t="shared" si="11"/>
        <v>Versicherungen und Beiträge (betrieblich!)</v>
      </c>
      <c r="DD34" s="994" t="str">
        <f t="shared" si="12"/>
        <v>Insurances and Contributions</v>
      </c>
    </row>
    <row r="35" spans="1:108" x14ac:dyDescent="0.2">
      <c r="A35" s="70">
        <f>$Q$2</f>
        <v>0.19</v>
      </c>
      <c r="B35" s="71">
        <f>IF($D$4&lt;&gt;1, A35,"")</f>
        <v>0.19</v>
      </c>
      <c r="C35" s="1413" t="str">
        <f t="shared" si="0"/>
        <v>Haftpflicht</v>
      </c>
      <c r="D35" s="1414"/>
      <c r="E35" s="1414"/>
      <c r="F35" s="1414"/>
      <c r="G35" s="1414"/>
      <c r="H35" s="1414"/>
      <c r="I35" s="1414"/>
      <c r="J35" s="1414"/>
      <c r="K35" s="1414"/>
      <c r="L35" s="1414"/>
      <c r="M35" s="1414"/>
      <c r="N35" s="1414"/>
      <c r="O35" s="1414"/>
      <c r="P35" s="1415">
        <f>SUM(D35:O35)</f>
        <v>0</v>
      </c>
      <c r="Q35" s="35"/>
      <c r="S35" s="1546"/>
      <c r="T35" s="67"/>
      <c r="U35" s="1112" t="str">
        <f t="shared" si="37"/>
        <v>Gehalt3</v>
      </c>
      <c r="V35" s="77"/>
      <c r="W35" s="77"/>
      <c r="X35" s="77"/>
      <c r="Y35" s="77"/>
      <c r="Z35" s="77"/>
      <c r="AA35" s="77"/>
      <c r="AB35" s="77"/>
      <c r="AC35" s="77"/>
      <c r="AD35" s="77"/>
      <c r="AE35" s="77"/>
      <c r="AF35" s="77"/>
      <c r="AG35" s="1009"/>
      <c r="AH35" s="37"/>
      <c r="BA35" s="71">
        <v>0.19</v>
      </c>
      <c r="BB35" s="72" t="s">
        <v>49</v>
      </c>
      <c r="BC35" s="1254">
        <f t="shared" ref="BC35:BN38" si="41">IF($A35=$Q$2,D35*IF(OR($D$4=0,$D$4=3),$A35,$A35/(1+$A35)),0)</f>
        <v>0</v>
      </c>
      <c r="BD35" s="1254">
        <f t="shared" si="41"/>
        <v>0</v>
      </c>
      <c r="BE35" s="1254">
        <f t="shared" si="41"/>
        <v>0</v>
      </c>
      <c r="BF35" s="1254">
        <f t="shared" si="41"/>
        <v>0</v>
      </c>
      <c r="BG35" s="1254">
        <f t="shared" si="41"/>
        <v>0</v>
      </c>
      <c r="BH35" s="1254">
        <f t="shared" si="41"/>
        <v>0</v>
      </c>
      <c r="BI35" s="1254">
        <f t="shared" si="41"/>
        <v>0</v>
      </c>
      <c r="BJ35" s="1254">
        <f t="shared" si="41"/>
        <v>0</v>
      </c>
      <c r="BK35" s="1254">
        <f t="shared" si="41"/>
        <v>0</v>
      </c>
      <c r="BL35" s="1254">
        <f t="shared" si="41"/>
        <v>0</v>
      </c>
      <c r="BM35" s="1254">
        <f t="shared" si="41"/>
        <v>0</v>
      </c>
      <c r="BN35" s="1254">
        <f t="shared" si="41"/>
        <v>0</v>
      </c>
      <c r="BO35" s="1216">
        <f>SUM(BC35:BN35)</f>
        <v>0</v>
      </c>
      <c r="BR35" s="71">
        <v>0.19</v>
      </c>
      <c r="BS35" s="72" t="s">
        <v>49</v>
      </c>
      <c r="BT35" s="1254">
        <f t="shared" ref="BT35:CE38" si="42">IF($A35=$Q$3,D35*IF(OR($D$4=0,$D$4=3),$A35,$A35/(1+$A35)),0)</f>
        <v>0</v>
      </c>
      <c r="BU35" s="1254">
        <f t="shared" si="42"/>
        <v>0</v>
      </c>
      <c r="BV35" s="1254">
        <f t="shared" si="42"/>
        <v>0</v>
      </c>
      <c r="BW35" s="1254">
        <f t="shared" si="42"/>
        <v>0</v>
      </c>
      <c r="BX35" s="1254">
        <f t="shared" si="42"/>
        <v>0</v>
      </c>
      <c r="BY35" s="1254">
        <f t="shared" si="42"/>
        <v>0</v>
      </c>
      <c r="BZ35" s="1254">
        <f t="shared" si="42"/>
        <v>0</v>
      </c>
      <c r="CA35" s="1254">
        <f t="shared" si="42"/>
        <v>0</v>
      </c>
      <c r="CB35" s="1254">
        <f t="shared" si="42"/>
        <v>0</v>
      </c>
      <c r="CC35" s="1254">
        <f t="shared" si="42"/>
        <v>0</v>
      </c>
      <c r="CD35" s="1254">
        <f t="shared" si="42"/>
        <v>0</v>
      </c>
      <c r="CE35" s="1254">
        <f t="shared" si="42"/>
        <v>0</v>
      </c>
      <c r="CF35" s="1216">
        <f>SUM(BT35:CE35)</f>
        <v>0</v>
      </c>
      <c r="CU35" s="1004"/>
      <c r="CV35" s="1004"/>
      <c r="CW35" s="987">
        <v>30</v>
      </c>
      <c r="CX35" s="992">
        <f>$Q$2</f>
        <v>0.19</v>
      </c>
      <c r="CY35" s="923" t="s">
        <v>49</v>
      </c>
      <c r="CZ35" s="921" t="s">
        <v>266</v>
      </c>
      <c r="DA35" s="987">
        <v>30</v>
      </c>
      <c r="DB35" s="998">
        <f t="shared" si="10"/>
        <v>0.19</v>
      </c>
      <c r="DC35" s="994" t="str">
        <f t="shared" si="11"/>
        <v>Haftpflicht</v>
      </c>
      <c r="DD35" s="994" t="str">
        <f t="shared" si="12"/>
        <v xml:space="preserve">Insurance </v>
      </c>
    </row>
    <row r="36" spans="1:108" ht="15" thickBot="1" x14ac:dyDescent="0.25">
      <c r="A36" s="70">
        <f>$Q$2</f>
        <v>0.19</v>
      </c>
      <c r="B36" s="71">
        <f>IF($D$4&lt;&gt;1, A36,"")</f>
        <v>0.19</v>
      </c>
      <c r="C36" s="1413" t="str">
        <f t="shared" si="0"/>
        <v>Rechtschutzversicherung</v>
      </c>
      <c r="D36" s="1414"/>
      <c r="E36" s="1414"/>
      <c r="F36" s="1414"/>
      <c r="G36" s="1414"/>
      <c r="H36" s="1414"/>
      <c r="I36" s="1414"/>
      <c r="J36" s="1414"/>
      <c r="K36" s="1414"/>
      <c r="L36" s="1414"/>
      <c r="M36" s="1414"/>
      <c r="N36" s="1414"/>
      <c r="O36" s="1414"/>
      <c r="P36" s="1415">
        <f>SUM(D36:O36)</f>
        <v>0</v>
      </c>
      <c r="Q36" s="35"/>
      <c r="S36" s="1546"/>
      <c r="T36" s="67"/>
      <c r="U36" s="1113" t="str">
        <f t="shared" si="37"/>
        <v>Nebenkosten (%)</v>
      </c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1010"/>
      <c r="AH36" s="37"/>
      <c r="BA36" s="71">
        <v>0.19</v>
      </c>
      <c r="BB36" s="72" t="s">
        <v>50</v>
      </c>
      <c r="BC36" s="1254">
        <f t="shared" si="41"/>
        <v>0</v>
      </c>
      <c r="BD36" s="1254">
        <f t="shared" si="41"/>
        <v>0</v>
      </c>
      <c r="BE36" s="1254">
        <f t="shared" si="41"/>
        <v>0</v>
      </c>
      <c r="BF36" s="1254">
        <f t="shared" si="41"/>
        <v>0</v>
      </c>
      <c r="BG36" s="1254">
        <f t="shared" si="41"/>
        <v>0</v>
      </c>
      <c r="BH36" s="1254">
        <f t="shared" si="41"/>
        <v>0</v>
      </c>
      <c r="BI36" s="1254">
        <f t="shared" si="41"/>
        <v>0</v>
      </c>
      <c r="BJ36" s="1254">
        <f t="shared" si="41"/>
        <v>0</v>
      </c>
      <c r="BK36" s="1254">
        <f t="shared" si="41"/>
        <v>0</v>
      </c>
      <c r="BL36" s="1254">
        <f t="shared" si="41"/>
        <v>0</v>
      </c>
      <c r="BM36" s="1254">
        <f t="shared" si="41"/>
        <v>0</v>
      </c>
      <c r="BN36" s="1254">
        <f t="shared" si="41"/>
        <v>0</v>
      </c>
      <c r="BO36" s="1216">
        <f>SUM(BC36:BN36)</f>
        <v>0</v>
      </c>
      <c r="BR36" s="71">
        <v>0.19</v>
      </c>
      <c r="BS36" s="72" t="s">
        <v>50</v>
      </c>
      <c r="BT36" s="1254">
        <f t="shared" si="42"/>
        <v>0</v>
      </c>
      <c r="BU36" s="1254">
        <f t="shared" si="42"/>
        <v>0</v>
      </c>
      <c r="BV36" s="1254">
        <f t="shared" si="42"/>
        <v>0</v>
      </c>
      <c r="BW36" s="1254">
        <f t="shared" si="42"/>
        <v>0</v>
      </c>
      <c r="BX36" s="1254">
        <f t="shared" si="42"/>
        <v>0</v>
      </c>
      <c r="BY36" s="1254">
        <f t="shared" si="42"/>
        <v>0</v>
      </c>
      <c r="BZ36" s="1254">
        <f t="shared" si="42"/>
        <v>0</v>
      </c>
      <c r="CA36" s="1254">
        <f t="shared" si="42"/>
        <v>0</v>
      </c>
      <c r="CB36" s="1254">
        <f t="shared" si="42"/>
        <v>0</v>
      </c>
      <c r="CC36" s="1254">
        <f t="shared" si="42"/>
        <v>0</v>
      </c>
      <c r="CD36" s="1254">
        <f t="shared" si="42"/>
        <v>0</v>
      </c>
      <c r="CE36" s="1254">
        <f t="shared" si="42"/>
        <v>0</v>
      </c>
      <c r="CF36" s="1216">
        <f>SUM(BT36:CE36)</f>
        <v>0</v>
      </c>
      <c r="CU36" s="1004"/>
      <c r="CV36" s="1004"/>
      <c r="CW36" s="987">
        <v>31</v>
      </c>
      <c r="CX36" s="992">
        <f>$Q$2</f>
        <v>0.19</v>
      </c>
      <c r="CY36" s="923" t="s">
        <v>50</v>
      </c>
      <c r="CZ36" s="921" t="s">
        <v>274</v>
      </c>
      <c r="DA36" s="987">
        <v>31</v>
      </c>
      <c r="DB36" s="998">
        <f t="shared" si="10"/>
        <v>0.19</v>
      </c>
      <c r="DC36" s="994" t="str">
        <f t="shared" si="11"/>
        <v>Rechtschutzversicherung</v>
      </c>
      <c r="DD36" s="994" t="str">
        <f t="shared" si="12"/>
        <v>Legal costs insurance</v>
      </c>
    </row>
    <row r="37" spans="1:108" ht="15.75" thickTop="1" thickBot="1" x14ac:dyDescent="0.25">
      <c r="A37" s="70">
        <f>$Q$2</f>
        <v>0.19</v>
      </c>
      <c r="B37" s="71">
        <f>IF($D$4&lt;&gt;1, A37,"")</f>
        <v>0.19</v>
      </c>
      <c r="C37" s="1413" t="str">
        <f t="shared" ref="C37:C70" si="43">IF($C$2="Deutsch",CY37,IF($C$2="English",CZ37,DB37))</f>
        <v>Beiträge (IHK, Berufsverbände, ...)</v>
      </c>
      <c r="D37" s="1414"/>
      <c r="E37" s="1414"/>
      <c r="F37" s="1414"/>
      <c r="G37" s="1414"/>
      <c r="H37" s="1414"/>
      <c r="I37" s="1414"/>
      <c r="J37" s="1414"/>
      <c r="K37" s="1414"/>
      <c r="L37" s="1414"/>
      <c r="M37" s="1414"/>
      <c r="N37" s="1414"/>
      <c r="O37" s="1414"/>
      <c r="P37" s="1415">
        <f>SUM(D37:O37)</f>
        <v>0</v>
      </c>
      <c r="Q37" s="35"/>
      <c r="S37" s="1546"/>
      <c r="T37" s="67"/>
      <c r="U37" s="275" t="str">
        <f t="shared" si="37"/>
        <v>Personalkosten</v>
      </c>
      <c r="V37" s="85">
        <f t="shared" ref="V37:AG37" si="44">((V30*V31)+(V32*V33)+(V34*V35))*(1+V36)</f>
        <v>0</v>
      </c>
      <c r="W37" s="85">
        <f t="shared" si="44"/>
        <v>0</v>
      </c>
      <c r="X37" s="85">
        <f t="shared" si="44"/>
        <v>0</v>
      </c>
      <c r="Y37" s="85">
        <f t="shared" si="44"/>
        <v>0</v>
      </c>
      <c r="Z37" s="85">
        <f t="shared" si="44"/>
        <v>0</v>
      </c>
      <c r="AA37" s="85">
        <f t="shared" si="44"/>
        <v>0</v>
      </c>
      <c r="AB37" s="85">
        <f t="shared" si="44"/>
        <v>0</v>
      </c>
      <c r="AC37" s="85">
        <f t="shared" si="44"/>
        <v>0</v>
      </c>
      <c r="AD37" s="85">
        <f t="shared" si="44"/>
        <v>0</v>
      </c>
      <c r="AE37" s="85">
        <f t="shared" si="44"/>
        <v>0</v>
      </c>
      <c r="AF37" s="85">
        <f t="shared" si="44"/>
        <v>0</v>
      </c>
      <c r="AG37" s="86">
        <f t="shared" si="44"/>
        <v>0</v>
      </c>
      <c r="AH37" s="1016">
        <f>SUM(V37:AG37)</f>
        <v>0</v>
      </c>
      <c r="BA37" s="71">
        <v>0.19</v>
      </c>
      <c r="BB37" s="72" t="s">
        <v>463</v>
      </c>
      <c r="BC37" s="1254">
        <f t="shared" si="41"/>
        <v>0</v>
      </c>
      <c r="BD37" s="1254">
        <f t="shared" si="41"/>
        <v>0</v>
      </c>
      <c r="BE37" s="1254">
        <f t="shared" si="41"/>
        <v>0</v>
      </c>
      <c r="BF37" s="1254">
        <f t="shared" si="41"/>
        <v>0</v>
      </c>
      <c r="BG37" s="1254">
        <f t="shared" si="41"/>
        <v>0</v>
      </c>
      <c r="BH37" s="1254">
        <f t="shared" si="41"/>
        <v>0</v>
      </c>
      <c r="BI37" s="1254">
        <f t="shared" si="41"/>
        <v>0</v>
      </c>
      <c r="BJ37" s="1254">
        <f t="shared" si="41"/>
        <v>0</v>
      </c>
      <c r="BK37" s="1254">
        <f t="shared" si="41"/>
        <v>0</v>
      </c>
      <c r="BL37" s="1254">
        <f t="shared" si="41"/>
        <v>0</v>
      </c>
      <c r="BM37" s="1254">
        <f t="shared" si="41"/>
        <v>0</v>
      </c>
      <c r="BN37" s="1254">
        <f t="shared" si="41"/>
        <v>0</v>
      </c>
      <c r="BO37" s="1216">
        <f>SUM(BC37:BN37)</f>
        <v>0</v>
      </c>
      <c r="BR37" s="71">
        <v>0.19</v>
      </c>
      <c r="BS37" s="72" t="s">
        <v>463</v>
      </c>
      <c r="BT37" s="1254">
        <f t="shared" si="42"/>
        <v>0</v>
      </c>
      <c r="BU37" s="1254">
        <f t="shared" si="42"/>
        <v>0</v>
      </c>
      <c r="BV37" s="1254">
        <f t="shared" si="42"/>
        <v>0</v>
      </c>
      <c r="BW37" s="1254">
        <f t="shared" si="42"/>
        <v>0</v>
      </c>
      <c r="BX37" s="1254">
        <f t="shared" si="42"/>
        <v>0</v>
      </c>
      <c r="BY37" s="1254">
        <f t="shared" si="42"/>
        <v>0</v>
      </c>
      <c r="BZ37" s="1254">
        <f t="shared" si="42"/>
        <v>0</v>
      </c>
      <c r="CA37" s="1254">
        <f t="shared" si="42"/>
        <v>0</v>
      </c>
      <c r="CB37" s="1254">
        <f t="shared" si="42"/>
        <v>0</v>
      </c>
      <c r="CC37" s="1254">
        <f t="shared" si="42"/>
        <v>0</v>
      </c>
      <c r="CD37" s="1254">
        <f t="shared" si="42"/>
        <v>0</v>
      </c>
      <c r="CE37" s="1254">
        <f t="shared" si="42"/>
        <v>0</v>
      </c>
      <c r="CF37" s="1216">
        <f>SUM(BT37:CE37)</f>
        <v>0</v>
      </c>
      <c r="CU37" s="1004"/>
      <c r="CV37" s="1004"/>
      <c r="CW37" s="987">
        <v>32</v>
      </c>
      <c r="CX37" s="992">
        <f>$Q$2</f>
        <v>0.19</v>
      </c>
      <c r="CY37" s="919" t="s">
        <v>463</v>
      </c>
      <c r="CZ37" s="921" t="s">
        <v>464</v>
      </c>
      <c r="DA37" s="987">
        <v>32</v>
      </c>
      <c r="DB37" s="998">
        <f t="shared" si="10"/>
        <v>0.19</v>
      </c>
      <c r="DC37" s="994" t="str">
        <f t="shared" si="11"/>
        <v>Beiträge (IHK, Berufsverbände, ...)</v>
      </c>
      <c r="DD37" s="994" t="str">
        <f t="shared" si="12"/>
        <v>Conributions (IHK,  trade organizations, ...)</v>
      </c>
    </row>
    <row r="38" spans="1:108" x14ac:dyDescent="0.2">
      <c r="A38" s="1412">
        <v>0.19</v>
      </c>
      <c r="B38" s="71" t="str">
        <f>IF($D$4&gt;0, A38,"")</f>
        <v/>
      </c>
      <c r="C38" s="1416" t="s">
        <v>456</v>
      </c>
      <c r="D38" s="1417"/>
      <c r="E38" s="1417"/>
      <c r="F38" s="1417"/>
      <c r="G38" s="1417"/>
      <c r="H38" s="1417"/>
      <c r="I38" s="1417"/>
      <c r="J38" s="1417"/>
      <c r="K38" s="1417"/>
      <c r="L38" s="1417"/>
      <c r="M38" s="1417"/>
      <c r="N38" s="1417"/>
      <c r="O38" s="1417"/>
      <c r="P38" s="1418">
        <f>SUM(D38:O38)</f>
        <v>0</v>
      </c>
      <c r="Q38" s="35"/>
      <c r="S38" s="1546"/>
      <c r="T38" s="67"/>
      <c r="U38" s="34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BA38" s="71" t="s">
        <v>590</v>
      </c>
      <c r="BB38" s="1100" t="s">
        <v>456</v>
      </c>
      <c r="BC38" s="1254">
        <f t="shared" si="41"/>
        <v>0</v>
      </c>
      <c r="BD38" s="1254">
        <f t="shared" si="41"/>
        <v>0</v>
      </c>
      <c r="BE38" s="1254">
        <f t="shared" si="41"/>
        <v>0</v>
      </c>
      <c r="BF38" s="1254">
        <f t="shared" si="41"/>
        <v>0</v>
      </c>
      <c r="BG38" s="1254">
        <f t="shared" si="41"/>
        <v>0</v>
      </c>
      <c r="BH38" s="1254">
        <f t="shared" si="41"/>
        <v>0</v>
      </c>
      <c r="BI38" s="1254">
        <f t="shared" si="41"/>
        <v>0</v>
      </c>
      <c r="BJ38" s="1254">
        <f t="shared" si="41"/>
        <v>0</v>
      </c>
      <c r="BK38" s="1254">
        <f t="shared" si="41"/>
        <v>0</v>
      </c>
      <c r="BL38" s="1254">
        <f t="shared" si="41"/>
        <v>0</v>
      </c>
      <c r="BM38" s="1254">
        <f t="shared" si="41"/>
        <v>0</v>
      </c>
      <c r="BN38" s="1254">
        <f t="shared" si="41"/>
        <v>0</v>
      </c>
      <c r="BO38" s="1216">
        <f>SUM(BC38:BN38)</f>
        <v>0</v>
      </c>
      <c r="BR38" s="71" t="s">
        <v>590</v>
      </c>
      <c r="BS38" s="1060" t="s">
        <v>456</v>
      </c>
      <c r="BT38" s="1254">
        <f t="shared" si="42"/>
        <v>0</v>
      </c>
      <c r="BU38" s="1254">
        <f t="shared" si="42"/>
        <v>0</v>
      </c>
      <c r="BV38" s="1254">
        <f t="shared" si="42"/>
        <v>0</v>
      </c>
      <c r="BW38" s="1254">
        <f t="shared" si="42"/>
        <v>0</v>
      </c>
      <c r="BX38" s="1254">
        <f t="shared" si="42"/>
        <v>0</v>
      </c>
      <c r="BY38" s="1254">
        <f t="shared" si="42"/>
        <v>0</v>
      </c>
      <c r="BZ38" s="1254">
        <f t="shared" si="42"/>
        <v>0</v>
      </c>
      <c r="CA38" s="1254">
        <f t="shared" si="42"/>
        <v>0</v>
      </c>
      <c r="CB38" s="1254">
        <f t="shared" si="42"/>
        <v>0</v>
      </c>
      <c r="CC38" s="1254">
        <f t="shared" si="42"/>
        <v>0</v>
      </c>
      <c r="CD38" s="1254">
        <f t="shared" si="42"/>
        <v>0</v>
      </c>
      <c r="CE38" s="1254">
        <f t="shared" si="42"/>
        <v>0</v>
      </c>
      <c r="CF38" s="1216">
        <f>SUM(BT38:CE38)</f>
        <v>0</v>
      </c>
      <c r="CU38" s="1004"/>
      <c r="CV38" s="1004"/>
      <c r="CW38" s="987">
        <v>33</v>
      </c>
      <c r="CX38" s="930">
        <f>$Q$2</f>
        <v>0.19</v>
      </c>
      <c r="CY38" s="920" t="s">
        <v>456</v>
      </c>
      <c r="CZ38" s="920" t="s">
        <v>458</v>
      </c>
      <c r="DA38" s="987">
        <v>33</v>
      </c>
      <c r="DB38" s="998">
        <f t="shared" si="10"/>
        <v>0.19</v>
      </c>
      <c r="DC38" s="994" t="str">
        <f t="shared" si="11"/>
        <v>Sonstiges</v>
      </c>
      <c r="DD38" s="994" t="str">
        <f t="shared" si="12"/>
        <v>Others</v>
      </c>
    </row>
    <row r="39" spans="1:108" ht="15" thickBot="1" x14ac:dyDescent="0.25">
      <c r="A39" s="926"/>
      <c r="B39" s="1475"/>
      <c r="C39" s="1476" t="str">
        <f t="shared" si="43"/>
        <v>Summe Versicherungen und Beiträge (betrieblich!)</v>
      </c>
      <c r="D39" s="1477">
        <f>SUM(D35:D38)</f>
        <v>0</v>
      </c>
      <c r="E39" s="1477">
        <f t="shared" ref="E39:O39" si="45">SUM(E35:E38)</f>
        <v>0</v>
      </c>
      <c r="F39" s="1477">
        <f t="shared" si="45"/>
        <v>0</v>
      </c>
      <c r="G39" s="1477">
        <f t="shared" si="45"/>
        <v>0</v>
      </c>
      <c r="H39" s="1477">
        <f t="shared" si="45"/>
        <v>0</v>
      </c>
      <c r="I39" s="1477">
        <f t="shared" si="45"/>
        <v>0</v>
      </c>
      <c r="J39" s="1477">
        <f t="shared" si="45"/>
        <v>0</v>
      </c>
      <c r="K39" s="1477">
        <f t="shared" si="45"/>
        <v>0</v>
      </c>
      <c r="L39" s="1477">
        <f t="shared" si="45"/>
        <v>0</v>
      </c>
      <c r="M39" s="1477">
        <f t="shared" si="45"/>
        <v>0</v>
      </c>
      <c r="N39" s="1477">
        <f t="shared" si="45"/>
        <v>0</v>
      </c>
      <c r="O39" s="1477">
        <f t="shared" si="45"/>
        <v>0</v>
      </c>
      <c r="P39" s="1478">
        <f>SUM(D39:O39)</f>
        <v>0</v>
      </c>
      <c r="Q39" s="35"/>
      <c r="S39" s="1546"/>
      <c r="T39" s="67"/>
      <c r="U39" s="34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BA39" s="162"/>
      <c r="BB39" s="97" t="s">
        <v>591</v>
      </c>
      <c r="BC39" s="1218">
        <f>SUM(BC35:BC38)</f>
        <v>0</v>
      </c>
      <c r="BD39" s="1218">
        <f t="shared" ref="BD39:BN39" si="46">SUM(BD35:BD38)</f>
        <v>0</v>
      </c>
      <c r="BE39" s="1218">
        <f t="shared" si="46"/>
        <v>0</v>
      </c>
      <c r="BF39" s="1218">
        <f t="shared" si="46"/>
        <v>0</v>
      </c>
      <c r="BG39" s="1218">
        <f t="shared" si="46"/>
        <v>0</v>
      </c>
      <c r="BH39" s="1218">
        <f t="shared" si="46"/>
        <v>0</v>
      </c>
      <c r="BI39" s="1218">
        <f t="shared" si="46"/>
        <v>0</v>
      </c>
      <c r="BJ39" s="1218">
        <f t="shared" si="46"/>
        <v>0</v>
      </c>
      <c r="BK39" s="1218">
        <f t="shared" si="46"/>
        <v>0</v>
      </c>
      <c r="BL39" s="1218">
        <f t="shared" si="46"/>
        <v>0</v>
      </c>
      <c r="BM39" s="1218">
        <f t="shared" si="46"/>
        <v>0</v>
      </c>
      <c r="BN39" s="1218">
        <f t="shared" si="46"/>
        <v>0</v>
      </c>
      <c r="BO39" s="1222">
        <f>SUM(BC39:BN39)</f>
        <v>0</v>
      </c>
      <c r="BR39" s="162"/>
      <c r="BS39" s="97" t="s">
        <v>591</v>
      </c>
      <c r="BT39" s="1218">
        <f>SUM(BT35:BT38)</f>
        <v>0</v>
      </c>
      <c r="BU39" s="1218">
        <f t="shared" ref="BU39:CE39" si="47">SUM(BU35:BU38)</f>
        <v>0</v>
      </c>
      <c r="BV39" s="1218">
        <f t="shared" si="47"/>
        <v>0</v>
      </c>
      <c r="BW39" s="1218">
        <f t="shared" si="47"/>
        <v>0</v>
      </c>
      <c r="BX39" s="1218">
        <f t="shared" si="47"/>
        <v>0</v>
      </c>
      <c r="BY39" s="1218">
        <f t="shared" si="47"/>
        <v>0</v>
      </c>
      <c r="BZ39" s="1218">
        <f t="shared" si="47"/>
        <v>0</v>
      </c>
      <c r="CA39" s="1218">
        <f t="shared" si="47"/>
        <v>0</v>
      </c>
      <c r="CB39" s="1218">
        <f t="shared" si="47"/>
        <v>0</v>
      </c>
      <c r="CC39" s="1218">
        <f t="shared" si="47"/>
        <v>0</v>
      </c>
      <c r="CD39" s="1218">
        <f t="shared" si="47"/>
        <v>0</v>
      </c>
      <c r="CE39" s="1218">
        <f t="shared" si="47"/>
        <v>0</v>
      </c>
      <c r="CF39" s="1222">
        <f>SUM(BT39:CE39)</f>
        <v>0</v>
      </c>
      <c r="CU39" s="1004"/>
      <c r="CV39" s="1004"/>
      <c r="CW39" s="987">
        <v>34</v>
      </c>
      <c r="CX39" s="991"/>
      <c r="CY39" s="923" t="str">
        <f>"Summe "&amp;CY34</f>
        <v>Summe Versicherungen und Beiträge (betrieblich!)</v>
      </c>
      <c r="CZ39" s="921" t="s">
        <v>286</v>
      </c>
      <c r="DA39" s="987">
        <v>34</v>
      </c>
      <c r="DB39" s="998">
        <f t="shared" si="10"/>
        <v>0</v>
      </c>
      <c r="DC39" s="994" t="str">
        <f t="shared" si="11"/>
        <v>Summe Versicherungen und Beiträge (betrieblich!)</v>
      </c>
      <c r="DD39" s="994" t="str">
        <f t="shared" si="12"/>
        <v>Sum insurances (operational)</v>
      </c>
    </row>
    <row r="40" spans="1:108" ht="15" thickBot="1" x14ac:dyDescent="0.25">
      <c r="A40" s="926"/>
      <c r="B40" s="185">
        <v>6</v>
      </c>
      <c r="C40" s="62" t="str">
        <f t="shared" si="43"/>
        <v>KFZ Kosten / Betriebliche Nutzung</v>
      </c>
      <c r="D40" s="1220"/>
      <c r="E40" s="1220"/>
      <c r="F40" s="1220"/>
      <c r="G40" s="1220"/>
      <c r="H40" s="1220"/>
      <c r="I40" s="1220"/>
      <c r="J40" s="1220"/>
      <c r="K40" s="1220"/>
      <c r="L40" s="1220"/>
      <c r="M40" s="1220"/>
      <c r="N40" s="1220"/>
      <c r="O40" s="1220"/>
      <c r="P40" s="1221"/>
      <c r="Q40" s="35"/>
      <c r="S40" s="83"/>
      <c r="T40" s="67"/>
      <c r="U40" s="34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BA40" s="185">
        <v>6</v>
      </c>
      <c r="BB40" s="62" t="s">
        <v>140</v>
      </c>
      <c r="BC40" s="1220"/>
      <c r="BD40" s="1220"/>
      <c r="BE40" s="1220"/>
      <c r="BF40" s="1220"/>
      <c r="BG40" s="1220"/>
      <c r="BH40" s="1220"/>
      <c r="BI40" s="1220"/>
      <c r="BJ40" s="1220"/>
      <c r="BK40" s="1220"/>
      <c r="BL40" s="1220"/>
      <c r="BM40" s="1220"/>
      <c r="BN40" s="1220"/>
      <c r="BO40" s="1221"/>
      <c r="BR40" s="185">
        <v>6</v>
      </c>
      <c r="BS40" s="62" t="s">
        <v>140</v>
      </c>
      <c r="BT40" s="1220"/>
      <c r="BU40" s="1220"/>
      <c r="BV40" s="1220"/>
      <c r="BW40" s="1220"/>
      <c r="BX40" s="1220"/>
      <c r="BY40" s="1220"/>
      <c r="BZ40" s="1220"/>
      <c r="CA40" s="1220"/>
      <c r="CB40" s="1220"/>
      <c r="CC40" s="1220"/>
      <c r="CD40" s="1220"/>
      <c r="CE40" s="1220"/>
      <c r="CF40" s="1221"/>
      <c r="CU40" s="1004"/>
      <c r="CV40" s="1004"/>
      <c r="CW40" s="987">
        <v>35</v>
      </c>
      <c r="CX40" s="991"/>
      <c r="CY40" s="923" t="s">
        <v>140</v>
      </c>
      <c r="CZ40" s="921" t="s">
        <v>626</v>
      </c>
      <c r="DA40" s="987">
        <v>35</v>
      </c>
      <c r="DB40" s="998">
        <f t="shared" si="10"/>
        <v>0</v>
      </c>
      <c r="DC40" s="994" t="str">
        <f t="shared" si="11"/>
        <v>KFZ Kosten / Betriebliche Nutzung</v>
      </c>
      <c r="DD40" s="994" t="str">
        <f t="shared" si="12"/>
        <v>Vehicle expenses for operational use</v>
      </c>
    </row>
    <row r="41" spans="1:108" ht="15" thickBot="1" x14ac:dyDescent="0.25">
      <c r="A41" s="70">
        <f>$Q$2</f>
        <v>0.19</v>
      </c>
      <c r="B41" s="71">
        <f>IF($D$4&lt;&gt;1, A41,"")</f>
        <v>0.19</v>
      </c>
      <c r="C41" s="1413" t="str">
        <f t="shared" si="43"/>
        <v>Leasingraten Kfz</v>
      </c>
      <c r="D41" s="1414"/>
      <c r="E41" s="1414"/>
      <c r="F41" s="1414"/>
      <c r="G41" s="1414"/>
      <c r="H41" s="1414"/>
      <c r="I41" s="1414"/>
      <c r="J41" s="1414"/>
      <c r="K41" s="1414"/>
      <c r="L41" s="1414"/>
      <c r="M41" s="1414"/>
      <c r="N41" s="1414"/>
      <c r="O41" s="1414"/>
      <c r="P41" s="1415">
        <f t="shared" ref="P41:P46" si="48">SUM(D41:O41)</f>
        <v>0</v>
      </c>
      <c r="Q41" s="35"/>
      <c r="S41" s="94"/>
      <c r="T41" s="67"/>
      <c r="U41" s="56">
        <f ca="1">G81</f>
        <v>2020</v>
      </c>
      <c r="V41" s="57" t="str">
        <f t="shared" ref="V41:AG41" si="49">V5</f>
        <v>Jan.</v>
      </c>
      <c r="W41" s="57" t="str">
        <f t="shared" si="49"/>
        <v>Febr.</v>
      </c>
      <c r="X41" s="57" t="str">
        <f t="shared" si="49"/>
        <v>März</v>
      </c>
      <c r="Y41" s="57" t="str">
        <f t="shared" si="49"/>
        <v>April</v>
      </c>
      <c r="Z41" s="57" t="str">
        <f t="shared" si="49"/>
        <v>Mai</v>
      </c>
      <c r="AA41" s="57" t="str">
        <f t="shared" si="49"/>
        <v>Juni</v>
      </c>
      <c r="AB41" s="57" t="str">
        <f t="shared" si="49"/>
        <v>Juli</v>
      </c>
      <c r="AC41" s="57" t="str">
        <f t="shared" si="49"/>
        <v>Aug.</v>
      </c>
      <c r="AD41" s="57" t="str">
        <f t="shared" si="49"/>
        <v>Sept.</v>
      </c>
      <c r="AE41" s="57" t="str">
        <f t="shared" si="49"/>
        <v>Okt.</v>
      </c>
      <c r="AF41" s="57" t="str">
        <f t="shared" si="49"/>
        <v>Nov.</v>
      </c>
      <c r="AG41" s="212" t="str">
        <f t="shared" si="49"/>
        <v>Dez.</v>
      </c>
      <c r="AH41" s="37"/>
      <c r="BA41" s="71">
        <v>0.19</v>
      </c>
      <c r="BB41" s="72" t="s">
        <v>139</v>
      </c>
      <c r="BC41" s="1254">
        <f t="shared" ref="BC41:BN45" si="50">IF($A41=$Q$2,D41*IF(OR($D$4=0,$D$4=3),$A41,$A41/(1+$A41)),0)</f>
        <v>0</v>
      </c>
      <c r="BD41" s="1254">
        <f t="shared" si="50"/>
        <v>0</v>
      </c>
      <c r="BE41" s="1254">
        <f t="shared" si="50"/>
        <v>0</v>
      </c>
      <c r="BF41" s="1254">
        <f t="shared" si="50"/>
        <v>0</v>
      </c>
      <c r="BG41" s="1254">
        <f t="shared" si="50"/>
        <v>0</v>
      </c>
      <c r="BH41" s="1254">
        <f t="shared" si="50"/>
        <v>0</v>
      </c>
      <c r="BI41" s="1254">
        <f t="shared" si="50"/>
        <v>0</v>
      </c>
      <c r="BJ41" s="1254">
        <f t="shared" si="50"/>
        <v>0</v>
      </c>
      <c r="BK41" s="1254">
        <f t="shared" si="50"/>
        <v>0</v>
      </c>
      <c r="BL41" s="1254">
        <f t="shared" si="50"/>
        <v>0</v>
      </c>
      <c r="BM41" s="1254">
        <f t="shared" si="50"/>
        <v>0</v>
      </c>
      <c r="BN41" s="1254">
        <f t="shared" si="50"/>
        <v>0</v>
      </c>
      <c r="BO41" s="1216">
        <f>SUM(BC41:BN41)</f>
        <v>0</v>
      </c>
      <c r="BR41" s="71">
        <v>0.19</v>
      </c>
      <c r="BS41" s="72" t="s">
        <v>139</v>
      </c>
      <c r="BT41" s="1254">
        <f t="shared" ref="BT41:CE45" si="51">IF($A41=$Q$3,D41*IF(OR($D$4=0,$D$4=3),$A41,$A41/(1+$A41)),0)</f>
        <v>0</v>
      </c>
      <c r="BU41" s="1254">
        <f t="shared" si="51"/>
        <v>0</v>
      </c>
      <c r="BV41" s="1254">
        <f t="shared" si="51"/>
        <v>0</v>
      </c>
      <c r="BW41" s="1254">
        <f t="shared" si="51"/>
        <v>0</v>
      </c>
      <c r="BX41" s="1254">
        <f t="shared" si="51"/>
        <v>0</v>
      </c>
      <c r="BY41" s="1254">
        <f t="shared" si="51"/>
        <v>0</v>
      </c>
      <c r="BZ41" s="1254">
        <f t="shared" si="51"/>
        <v>0</v>
      </c>
      <c r="CA41" s="1254">
        <f t="shared" si="51"/>
        <v>0</v>
      </c>
      <c r="CB41" s="1254">
        <f t="shared" si="51"/>
        <v>0</v>
      </c>
      <c r="CC41" s="1254">
        <f t="shared" si="51"/>
        <v>0</v>
      </c>
      <c r="CD41" s="1254">
        <f t="shared" si="51"/>
        <v>0</v>
      </c>
      <c r="CE41" s="1254">
        <f t="shared" si="51"/>
        <v>0</v>
      </c>
      <c r="CF41" s="1216">
        <f>SUM(BT41:CE41)</f>
        <v>0</v>
      </c>
      <c r="CU41" s="922"/>
      <c r="CV41" s="922"/>
      <c r="CW41" s="987">
        <v>36</v>
      </c>
      <c r="CX41" s="991">
        <f>$Q$2</f>
        <v>0.19</v>
      </c>
      <c r="CY41" s="923" t="s">
        <v>139</v>
      </c>
      <c r="CZ41" s="921" t="s">
        <v>269</v>
      </c>
      <c r="DA41" s="987">
        <v>36</v>
      </c>
      <c r="DB41" s="998">
        <f t="shared" si="10"/>
        <v>0.19</v>
      </c>
      <c r="DC41" s="994" t="str">
        <f t="shared" si="11"/>
        <v>Leasingraten Kfz</v>
      </c>
      <c r="DD41" s="994" t="str">
        <f t="shared" si="12"/>
        <v>Vehicle leasing rates</v>
      </c>
    </row>
    <row r="42" spans="1:108" x14ac:dyDescent="0.2">
      <c r="A42" s="70">
        <v>0.19</v>
      </c>
      <c r="B42" s="71">
        <f>IF($D$4&lt;&gt;1, A42,"")</f>
        <v>0.19</v>
      </c>
      <c r="C42" s="1413" t="str">
        <f t="shared" si="43"/>
        <v>Versicherungen/Kfz-Steuer</v>
      </c>
      <c r="D42" s="1414"/>
      <c r="E42" s="1414"/>
      <c r="F42" s="1414"/>
      <c r="G42" s="1414"/>
      <c r="H42" s="1414"/>
      <c r="I42" s="1414"/>
      <c r="J42" s="1414"/>
      <c r="K42" s="1414"/>
      <c r="L42" s="1414"/>
      <c r="M42" s="1414"/>
      <c r="N42" s="1414"/>
      <c r="O42" s="1414"/>
      <c r="P42" s="1415">
        <f t="shared" si="48"/>
        <v>0</v>
      </c>
      <c r="Q42" s="35"/>
      <c r="S42" s="1546"/>
      <c r="T42" s="67"/>
      <c r="U42" s="1111" t="str">
        <f t="shared" ref="U42:U49" si="52">U30</f>
        <v xml:space="preserve"> Anzahl Mitarbeiter</v>
      </c>
      <c r="V42" s="68"/>
      <c r="W42" s="68"/>
      <c r="X42" s="68"/>
      <c r="Y42" s="68"/>
      <c r="Z42" s="68"/>
      <c r="AA42" s="68"/>
      <c r="AB42" s="68"/>
      <c r="AC42" s="68"/>
      <c r="AD42" s="68"/>
      <c r="AE42" s="68"/>
      <c r="AF42" s="68"/>
      <c r="AG42" s="68"/>
      <c r="AH42" s="1011"/>
      <c r="BA42" s="71">
        <v>0.19</v>
      </c>
      <c r="BB42" s="72" t="s">
        <v>465</v>
      </c>
      <c r="BC42" s="1254">
        <f t="shared" si="50"/>
        <v>0</v>
      </c>
      <c r="BD42" s="1254">
        <f t="shared" si="50"/>
        <v>0</v>
      </c>
      <c r="BE42" s="1254">
        <f t="shared" si="50"/>
        <v>0</v>
      </c>
      <c r="BF42" s="1254">
        <f t="shared" si="50"/>
        <v>0</v>
      </c>
      <c r="BG42" s="1254">
        <f t="shared" si="50"/>
        <v>0</v>
      </c>
      <c r="BH42" s="1254">
        <f t="shared" si="50"/>
        <v>0</v>
      </c>
      <c r="BI42" s="1254">
        <f t="shared" si="50"/>
        <v>0</v>
      </c>
      <c r="BJ42" s="1254">
        <f t="shared" si="50"/>
        <v>0</v>
      </c>
      <c r="BK42" s="1254">
        <f t="shared" si="50"/>
        <v>0</v>
      </c>
      <c r="BL42" s="1254">
        <f t="shared" si="50"/>
        <v>0</v>
      </c>
      <c r="BM42" s="1254">
        <f t="shared" si="50"/>
        <v>0</v>
      </c>
      <c r="BN42" s="1254">
        <f t="shared" si="50"/>
        <v>0</v>
      </c>
      <c r="BO42" s="1216">
        <f>SUM(BC42:BN42)</f>
        <v>0</v>
      </c>
      <c r="BR42" s="71">
        <v>0.19</v>
      </c>
      <c r="BS42" s="72" t="s">
        <v>465</v>
      </c>
      <c r="BT42" s="1254">
        <f t="shared" si="51"/>
        <v>0</v>
      </c>
      <c r="BU42" s="1254">
        <f t="shared" si="51"/>
        <v>0</v>
      </c>
      <c r="BV42" s="1254">
        <f t="shared" si="51"/>
        <v>0</v>
      </c>
      <c r="BW42" s="1254">
        <f t="shared" si="51"/>
        <v>0</v>
      </c>
      <c r="BX42" s="1254">
        <f t="shared" si="51"/>
        <v>0</v>
      </c>
      <c r="BY42" s="1254">
        <f t="shared" si="51"/>
        <v>0</v>
      </c>
      <c r="BZ42" s="1254">
        <f t="shared" si="51"/>
        <v>0</v>
      </c>
      <c r="CA42" s="1254">
        <f t="shared" si="51"/>
        <v>0</v>
      </c>
      <c r="CB42" s="1254">
        <f t="shared" si="51"/>
        <v>0</v>
      </c>
      <c r="CC42" s="1254">
        <f t="shared" si="51"/>
        <v>0</v>
      </c>
      <c r="CD42" s="1254">
        <f t="shared" si="51"/>
        <v>0</v>
      </c>
      <c r="CE42" s="1254">
        <f t="shared" si="51"/>
        <v>0</v>
      </c>
      <c r="CF42" s="1216">
        <f>SUM(BT42:CE42)</f>
        <v>0</v>
      </c>
      <c r="CU42" s="922"/>
      <c r="CV42" s="922"/>
      <c r="CW42" s="987">
        <v>37</v>
      </c>
      <c r="CX42" s="991">
        <v>0.19</v>
      </c>
      <c r="CY42" s="919" t="s">
        <v>465</v>
      </c>
      <c r="CZ42" s="921" t="s">
        <v>627</v>
      </c>
      <c r="DA42" s="987">
        <v>37</v>
      </c>
      <c r="DB42" s="998">
        <f t="shared" si="10"/>
        <v>0.19</v>
      </c>
      <c r="DC42" s="994" t="str">
        <f t="shared" si="11"/>
        <v>Versicherungen/Kfz-Steuer</v>
      </c>
      <c r="DD42" s="994" t="str">
        <f t="shared" si="12"/>
        <v>Insurances / tax on cars</v>
      </c>
    </row>
    <row r="43" spans="1:108" x14ac:dyDescent="0.2">
      <c r="A43" s="70">
        <v>0.19</v>
      </c>
      <c r="B43" s="71">
        <f>IF($D$4&lt;&gt;1, A43,"")</f>
        <v>0.19</v>
      </c>
      <c r="C43" s="1413" t="str">
        <f t="shared" si="43"/>
        <v>Fahrzeugkosten (Tanken und Reparatur)</v>
      </c>
      <c r="D43" s="1414"/>
      <c r="E43" s="1414"/>
      <c r="F43" s="1414"/>
      <c r="G43" s="1414"/>
      <c r="H43" s="1414"/>
      <c r="I43" s="1414"/>
      <c r="J43" s="1414"/>
      <c r="K43" s="1414"/>
      <c r="L43" s="1414"/>
      <c r="M43" s="1414"/>
      <c r="N43" s="1414"/>
      <c r="O43" s="1414"/>
      <c r="P43" s="1415">
        <f t="shared" si="48"/>
        <v>0</v>
      </c>
      <c r="Q43" s="35"/>
      <c r="S43" s="1546"/>
      <c r="T43" s="67"/>
      <c r="U43" s="1112" t="str">
        <f t="shared" si="52"/>
        <v>Gehalt1</v>
      </c>
      <c r="V43" s="77"/>
      <c r="W43" s="77"/>
      <c r="X43" s="77"/>
      <c r="Y43" s="77"/>
      <c r="Z43" s="77"/>
      <c r="AA43" s="77"/>
      <c r="AB43" s="77"/>
      <c r="AC43" s="77"/>
      <c r="AD43" s="77"/>
      <c r="AE43" s="77"/>
      <c r="AF43" s="77"/>
      <c r="AG43" s="77"/>
      <c r="AH43" s="1011"/>
      <c r="BA43" s="71">
        <v>0.19</v>
      </c>
      <c r="BB43" s="72" t="s">
        <v>466</v>
      </c>
      <c r="BC43" s="1254">
        <f t="shared" si="50"/>
        <v>0</v>
      </c>
      <c r="BD43" s="1254">
        <f t="shared" si="50"/>
        <v>0</v>
      </c>
      <c r="BE43" s="1254">
        <f t="shared" si="50"/>
        <v>0</v>
      </c>
      <c r="BF43" s="1254">
        <f t="shared" si="50"/>
        <v>0</v>
      </c>
      <c r="BG43" s="1254">
        <f t="shared" si="50"/>
        <v>0</v>
      </c>
      <c r="BH43" s="1254">
        <f t="shared" si="50"/>
        <v>0</v>
      </c>
      <c r="BI43" s="1254">
        <f t="shared" si="50"/>
        <v>0</v>
      </c>
      <c r="BJ43" s="1254">
        <f t="shared" si="50"/>
        <v>0</v>
      </c>
      <c r="BK43" s="1254">
        <f t="shared" si="50"/>
        <v>0</v>
      </c>
      <c r="BL43" s="1254">
        <f t="shared" si="50"/>
        <v>0</v>
      </c>
      <c r="BM43" s="1254">
        <f t="shared" si="50"/>
        <v>0</v>
      </c>
      <c r="BN43" s="1254">
        <f t="shared" si="50"/>
        <v>0</v>
      </c>
      <c r="BO43" s="1216">
        <f>SUM(BC43:BN43)</f>
        <v>0</v>
      </c>
      <c r="BR43" s="71">
        <v>0.19</v>
      </c>
      <c r="BS43" s="72" t="s">
        <v>466</v>
      </c>
      <c r="BT43" s="1254">
        <f t="shared" si="51"/>
        <v>0</v>
      </c>
      <c r="BU43" s="1254">
        <f t="shared" si="51"/>
        <v>0</v>
      </c>
      <c r="BV43" s="1254">
        <f t="shared" si="51"/>
        <v>0</v>
      </c>
      <c r="BW43" s="1254">
        <f t="shared" si="51"/>
        <v>0</v>
      </c>
      <c r="BX43" s="1254">
        <f t="shared" si="51"/>
        <v>0</v>
      </c>
      <c r="BY43" s="1254">
        <f t="shared" si="51"/>
        <v>0</v>
      </c>
      <c r="BZ43" s="1254">
        <f t="shared" si="51"/>
        <v>0</v>
      </c>
      <c r="CA43" s="1254">
        <f t="shared" si="51"/>
        <v>0</v>
      </c>
      <c r="CB43" s="1254">
        <f t="shared" si="51"/>
        <v>0</v>
      </c>
      <c r="CC43" s="1254">
        <f t="shared" si="51"/>
        <v>0</v>
      </c>
      <c r="CD43" s="1254">
        <f t="shared" si="51"/>
        <v>0</v>
      </c>
      <c r="CE43" s="1254">
        <f t="shared" si="51"/>
        <v>0</v>
      </c>
      <c r="CF43" s="1216">
        <f>SUM(BT43:CE43)</f>
        <v>0</v>
      </c>
      <c r="CU43" s="922"/>
      <c r="CV43" s="922"/>
      <c r="CW43" s="987">
        <v>38</v>
      </c>
      <c r="CX43" s="991">
        <v>0.19</v>
      </c>
      <c r="CY43" s="919" t="s">
        <v>466</v>
      </c>
      <c r="CZ43" s="921" t="s">
        <v>629</v>
      </c>
      <c r="DA43" s="987">
        <v>38</v>
      </c>
      <c r="DB43" s="998">
        <f t="shared" si="10"/>
        <v>0.19</v>
      </c>
      <c r="DC43" s="994" t="str">
        <f t="shared" si="11"/>
        <v>Fahrzeugkosten (Tanken und Reparatur)</v>
      </c>
      <c r="DD43" s="994" t="str">
        <f t="shared" si="12"/>
        <v xml:space="preserve">vehicle's cost (fuel and repairs) </v>
      </c>
    </row>
    <row r="44" spans="1:108" x14ac:dyDescent="0.2">
      <c r="A44" s="70">
        <v>0</v>
      </c>
      <c r="B44" s="71">
        <f>IF($D$4&lt;&gt;1, A44,"")</f>
        <v>0</v>
      </c>
      <c r="C44" s="1413" t="str">
        <f t="shared" si="43"/>
        <v>Abrechenbare Kilometerkosten</v>
      </c>
      <c r="D44" s="1414"/>
      <c r="E44" s="1414"/>
      <c r="F44" s="1414"/>
      <c r="G44" s="1414"/>
      <c r="H44" s="1414"/>
      <c r="I44" s="1414"/>
      <c r="J44" s="1414"/>
      <c r="K44" s="1414"/>
      <c r="L44" s="1414"/>
      <c r="M44" s="1414"/>
      <c r="N44" s="1414"/>
      <c r="O44" s="1414"/>
      <c r="P44" s="1415">
        <f t="shared" si="48"/>
        <v>0</v>
      </c>
      <c r="Q44" s="35"/>
      <c r="S44" s="1546"/>
      <c r="T44" s="67"/>
      <c r="U44" s="1112" t="str">
        <f t="shared" si="52"/>
        <v xml:space="preserve"> Anzahl Mitarbeiter</v>
      </c>
      <c r="V44" s="77"/>
      <c r="W44" s="77"/>
      <c r="X44" s="77"/>
      <c r="Y44" s="77"/>
      <c r="Z44" s="77"/>
      <c r="AA44" s="77"/>
      <c r="AB44" s="77"/>
      <c r="AC44" s="77"/>
      <c r="AD44" s="77"/>
      <c r="AE44" s="77"/>
      <c r="AF44" s="77"/>
      <c r="AG44" s="1009"/>
      <c r="AH44" s="1011"/>
      <c r="BA44" s="71">
        <v>0</v>
      </c>
      <c r="BB44" s="72" t="s">
        <v>137</v>
      </c>
      <c r="BC44" s="1254">
        <f t="shared" si="50"/>
        <v>0</v>
      </c>
      <c r="BD44" s="1254">
        <f t="shared" si="50"/>
        <v>0</v>
      </c>
      <c r="BE44" s="1254">
        <f t="shared" si="50"/>
        <v>0</v>
      </c>
      <c r="BF44" s="1254">
        <f t="shared" si="50"/>
        <v>0</v>
      </c>
      <c r="BG44" s="1254">
        <f t="shared" si="50"/>
        <v>0</v>
      </c>
      <c r="BH44" s="1254">
        <f t="shared" si="50"/>
        <v>0</v>
      </c>
      <c r="BI44" s="1254">
        <f t="shared" si="50"/>
        <v>0</v>
      </c>
      <c r="BJ44" s="1254">
        <f t="shared" si="50"/>
        <v>0</v>
      </c>
      <c r="BK44" s="1254">
        <f t="shared" si="50"/>
        <v>0</v>
      </c>
      <c r="BL44" s="1254">
        <f t="shared" si="50"/>
        <v>0</v>
      </c>
      <c r="BM44" s="1254">
        <f t="shared" si="50"/>
        <v>0</v>
      </c>
      <c r="BN44" s="1254">
        <f t="shared" si="50"/>
        <v>0</v>
      </c>
      <c r="BO44" s="1216">
        <f>SUM(BC44:BN44)</f>
        <v>0</v>
      </c>
      <c r="BR44" s="71">
        <v>0</v>
      </c>
      <c r="BS44" s="72" t="s">
        <v>137</v>
      </c>
      <c r="BT44" s="1254">
        <f t="shared" si="51"/>
        <v>0</v>
      </c>
      <c r="BU44" s="1254">
        <f t="shared" si="51"/>
        <v>0</v>
      </c>
      <c r="BV44" s="1254">
        <f t="shared" si="51"/>
        <v>0</v>
      </c>
      <c r="BW44" s="1254">
        <f t="shared" si="51"/>
        <v>0</v>
      </c>
      <c r="BX44" s="1254">
        <f t="shared" si="51"/>
        <v>0</v>
      </c>
      <c r="BY44" s="1254">
        <f t="shared" si="51"/>
        <v>0</v>
      </c>
      <c r="BZ44" s="1254">
        <f t="shared" si="51"/>
        <v>0</v>
      </c>
      <c r="CA44" s="1254">
        <f t="shared" si="51"/>
        <v>0</v>
      </c>
      <c r="CB44" s="1254">
        <f t="shared" si="51"/>
        <v>0</v>
      </c>
      <c r="CC44" s="1254">
        <f t="shared" si="51"/>
        <v>0</v>
      </c>
      <c r="CD44" s="1254">
        <f t="shared" si="51"/>
        <v>0</v>
      </c>
      <c r="CE44" s="1254">
        <f t="shared" si="51"/>
        <v>0</v>
      </c>
      <c r="CF44" s="1216">
        <f>SUM(BT44:CE44)</f>
        <v>0</v>
      </c>
      <c r="CU44" s="922"/>
      <c r="CV44" s="922"/>
      <c r="CW44" s="987">
        <v>39</v>
      </c>
      <c r="CX44" s="991">
        <v>0</v>
      </c>
      <c r="CY44" s="923" t="s">
        <v>137</v>
      </c>
      <c r="CZ44" s="921" t="s">
        <v>628</v>
      </c>
      <c r="DA44" s="987">
        <v>39</v>
      </c>
      <c r="DB44" s="998">
        <f t="shared" si="10"/>
        <v>0</v>
      </c>
      <c r="DC44" s="994" t="str">
        <f t="shared" si="11"/>
        <v>Abrechenbare Kilometerkosten</v>
      </c>
      <c r="DD44" s="994" t="str">
        <f t="shared" si="12"/>
        <v>Deductible cost per kilometre</v>
      </c>
    </row>
    <row r="45" spans="1:108" x14ac:dyDescent="0.2">
      <c r="A45" s="1412">
        <v>0.19</v>
      </c>
      <c r="B45" s="71"/>
      <c r="C45" s="1416" t="s">
        <v>124</v>
      </c>
      <c r="D45" s="1417"/>
      <c r="E45" s="1417"/>
      <c r="F45" s="1417"/>
      <c r="G45" s="1417"/>
      <c r="H45" s="1417"/>
      <c r="I45" s="1417"/>
      <c r="J45" s="1417"/>
      <c r="K45" s="1417"/>
      <c r="L45" s="1417"/>
      <c r="M45" s="1417"/>
      <c r="N45" s="1417"/>
      <c r="O45" s="1417"/>
      <c r="P45" s="1415">
        <f t="shared" si="48"/>
        <v>0</v>
      </c>
      <c r="Q45" s="35"/>
      <c r="S45" s="1546"/>
      <c r="T45" s="67"/>
      <c r="U45" s="1112" t="str">
        <f t="shared" si="52"/>
        <v>Gehalt2</v>
      </c>
      <c r="V45" s="77"/>
      <c r="W45" s="77"/>
      <c r="X45" s="77"/>
      <c r="Y45" s="77"/>
      <c r="Z45" s="77"/>
      <c r="AA45" s="77"/>
      <c r="AB45" s="77"/>
      <c r="AC45" s="77"/>
      <c r="AD45" s="77"/>
      <c r="AE45" s="77"/>
      <c r="AF45" s="77"/>
      <c r="AG45" s="1009"/>
      <c r="AH45" s="1011"/>
      <c r="BA45" s="71"/>
      <c r="BB45" s="1100" t="s">
        <v>456</v>
      </c>
      <c r="BC45" s="1254">
        <f t="shared" si="50"/>
        <v>0</v>
      </c>
      <c r="BD45" s="1254">
        <f t="shared" si="50"/>
        <v>0</v>
      </c>
      <c r="BE45" s="1254">
        <f t="shared" si="50"/>
        <v>0</v>
      </c>
      <c r="BF45" s="1254">
        <f t="shared" si="50"/>
        <v>0</v>
      </c>
      <c r="BG45" s="1254">
        <f t="shared" si="50"/>
        <v>0</v>
      </c>
      <c r="BH45" s="1254">
        <f t="shared" si="50"/>
        <v>0</v>
      </c>
      <c r="BI45" s="1254">
        <f t="shared" si="50"/>
        <v>0</v>
      </c>
      <c r="BJ45" s="1254">
        <f t="shared" si="50"/>
        <v>0</v>
      </c>
      <c r="BK45" s="1254">
        <f t="shared" si="50"/>
        <v>0</v>
      </c>
      <c r="BL45" s="1254">
        <f t="shared" si="50"/>
        <v>0</v>
      </c>
      <c r="BM45" s="1254">
        <f t="shared" si="50"/>
        <v>0</v>
      </c>
      <c r="BN45" s="1254">
        <f t="shared" si="50"/>
        <v>0</v>
      </c>
      <c r="BO45" s="1216"/>
      <c r="BR45" s="71"/>
      <c r="BS45" s="1060" t="s">
        <v>456</v>
      </c>
      <c r="BT45" s="1254">
        <f t="shared" si="51"/>
        <v>0</v>
      </c>
      <c r="BU45" s="1254">
        <f t="shared" si="51"/>
        <v>0</v>
      </c>
      <c r="BV45" s="1254">
        <f t="shared" si="51"/>
        <v>0</v>
      </c>
      <c r="BW45" s="1254">
        <f t="shared" si="51"/>
        <v>0</v>
      </c>
      <c r="BX45" s="1254">
        <f t="shared" si="51"/>
        <v>0</v>
      </c>
      <c r="BY45" s="1254">
        <f t="shared" si="51"/>
        <v>0</v>
      </c>
      <c r="BZ45" s="1254">
        <f t="shared" si="51"/>
        <v>0</v>
      </c>
      <c r="CA45" s="1254">
        <f t="shared" si="51"/>
        <v>0</v>
      </c>
      <c r="CB45" s="1254">
        <f t="shared" si="51"/>
        <v>0</v>
      </c>
      <c r="CC45" s="1254">
        <f t="shared" si="51"/>
        <v>0</v>
      </c>
      <c r="CD45" s="1254">
        <f t="shared" si="51"/>
        <v>0</v>
      </c>
      <c r="CE45" s="1254">
        <f t="shared" si="51"/>
        <v>0</v>
      </c>
      <c r="CF45" s="1216"/>
      <c r="CU45" s="922"/>
      <c r="CV45" s="922"/>
      <c r="CW45" s="987">
        <v>40</v>
      </c>
      <c r="CX45" s="930">
        <f>$Q$2</f>
        <v>0.19</v>
      </c>
      <c r="CY45" s="920" t="s">
        <v>456</v>
      </c>
      <c r="CZ45" s="920" t="s">
        <v>458</v>
      </c>
      <c r="DA45" s="987">
        <v>40</v>
      </c>
      <c r="DB45" s="998">
        <f t="shared" si="10"/>
        <v>0.19</v>
      </c>
      <c r="DC45" s="994" t="str">
        <f t="shared" si="11"/>
        <v>Sonstiges</v>
      </c>
      <c r="DD45" s="994" t="str">
        <f t="shared" si="12"/>
        <v>Others</v>
      </c>
    </row>
    <row r="46" spans="1:108" ht="15" thickBot="1" x14ac:dyDescent="0.25">
      <c r="A46" s="926"/>
      <c r="B46" s="1475"/>
      <c r="C46" s="1476" t="str">
        <f t="shared" si="43"/>
        <v>Summe KFZ Kosten / Betriebliche Nutzung</v>
      </c>
      <c r="D46" s="1477">
        <f>SUM(D41:D45)</f>
        <v>0</v>
      </c>
      <c r="E46" s="1477">
        <f t="shared" ref="E46:O46" si="53">SUM(E41:E45)</f>
        <v>0</v>
      </c>
      <c r="F46" s="1477">
        <f t="shared" si="53"/>
        <v>0</v>
      </c>
      <c r="G46" s="1477">
        <f t="shared" si="53"/>
        <v>0</v>
      </c>
      <c r="H46" s="1477">
        <f t="shared" si="53"/>
        <v>0</v>
      </c>
      <c r="I46" s="1477">
        <f t="shared" si="53"/>
        <v>0</v>
      </c>
      <c r="J46" s="1477">
        <f t="shared" si="53"/>
        <v>0</v>
      </c>
      <c r="K46" s="1477">
        <f t="shared" si="53"/>
        <v>0</v>
      </c>
      <c r="L46" s="1477">
        <f t="shared" si="53"/>
        <v>0</v>
      </c>
      <c r="M46" s="1477">
        <f t="shared" si="53"/>
        <v>0</v>
      </c>
      <c r="N46" s="1477">
        <f t="shared" si="53"/>
        <v>0</v>
      </c>
      <c r="O46" s="1477">
        <f t="shared" si="53"/>
        <v>0</v>
      </c>
      <c r="P46" s="1478">
        <f t="shared" si="48"/>
        <v>0</v>
      </c>
      <c r="Q46" s="35"/>
      <c r="R46" s="95"/>
      <c r="S46" s="83"/>
      <c r="T46" s="67"/>
      <c r="U46" s="1112" t="str">
        <f t="shared" si="52"/>
        <v xml:space="preserve"> Anzahl Mitarbeiter</v>
      </c>
      <c r="V46" s="77"/>
      <c r="W46" s="77"/>
      <c r="X46" s="77"/>
      <c r="Y46" s="77"/>
      <c r="Z46" s="77"/>
      <c r="AA46" s="77"/>
      <c r="AB46" s="77"/>
      <c r="AC46" s="77"/>
      <c r="AD46" s="77"/>
      <c r="AE46" s="77"/>
      <c r="AF46" s="77"/>
      <c r="AG46" s="1009"/>
      <c r="AH46" s="1011"/>
      <c r="BA46" s="80"/>
      <c r="BB46" s="97" t="s">
        <v>592</v>
      </c>
      <c r="BC46" s="1218">
        <f>SUM(BC41:BC45)</f>
        <v>0</v>
      </c>
      <c r="BD46" s="1218">
        <f t="shared" ref="BD46:BN46" si="54">SUM(BD41:BD45)</f>
        <v>0</v>
      </c>
      <c r="BE46" s="1218">
        <f t="shared" si="54"/>
        <v>0</v>
      </c>
      <c r="BF46" s="1218">
        <f t="shared" si="54"/>
        <v>0</v>
      </c>
      <c r="BG46" s="1218">
        <f t="shared" si="54"/>
        <v>0</v>
      </c>
      <c r="BH46" s="1218">
        <f t="shared" si="54"/>
        <v>0</v>
      </c>
      <c r="BI46" s="1218">
        <f t="shared" si="54"/>
        <v>0</v>
      </c>
      <c r="BJ46" s="1218">
        <f t="shared" si="54"/>
        <v>0</v>
      </c>
      <c r="BK46" s="1218">
        <f t="shared" si="54"/>
        <v>0</v>
      </c>
      <c r="BL46" s="1218">
        <f t="shared" si="54"/>
        <v>0</v>
      </c>
      <c r="BM46" s="1218">
        <f t="shared" si="54"/>
        <v>0</v>
      </c>
      <c r="BN46" s="1218">
        <f t="shared" si="54"/>
        <v>0</v>
      </c>
      <c r="BO46" s="1222">
        <f>SUM(BC46:BN46)</f>
        <v>0</v>
      </c>
      <c r="BR46" s="80"/>
      <c r="BS46" s="97" t="s">
        <v>592</v>
      </c>
      <c r="BT46" s="1218">
        <f>SUM(BT41:BT45)</f>
        <v>0</v>
      </c>
      <c r="BU46" s="1218">
        <f t="shared" ref="BU46:CE46" si="55">SUM(BU41:BU45)</f>
        <v>0</v>
      </c>
      <c r="BV46" s="1218">
        <f t="shared" si="55"/>
        <v>0</v>
      </c>
      <c r="BW46" s="1218">
        <f t="shared" si="55"/>
        <v>0</v>
      </c>
      <c r="BX46" s="1218">
        <f t="shared" si="55"/>
        <v>0</v>
      </c>
      <c r="BY46" s="1218">
        <f t="shared" si="55"/>
        <v>0</v>
      </c>
      <c r="BZ46" s="1218">
        <f t="shared" si="55"/>
        <v>0</v>
      </c>
      <c r="CA46" s="1218">
        <f t="shared" si="55"/>
        <v>0</v>
      </c>
      <c r="CB46" s="1218">
        <f t="shared" si="55"/>
        <v>0</v>
      </c>
      <c r="CC46" s="1218">
        <f t="shared" si="55"/>
        <v>0</v>
      </c>
      <c r="CD46" s="1218">
        <f t="shared" si="55"/>
        <v>0</v>
      </c>
      <c r="CE46" s="1218">
        <f t="shared" si="55"/>
        <v>0</v>
      </c>
      <c r="CF46" s="1222">
        <f>SUM(BT46:CE46)</f>
        <v>0</v>
      </c>
      <c r="CU46" s="91"/>
      <c r="CV46" s="91"/>
      <c r="CW46" s="987">
        <v>41</v>
      </c>
      <c r="CX46" s="991"/>
      <c r="CY46" s="923" t="str">
        <f>"Summe "&amp;CY40</f>
        <v>Summe KFZ Kosten / Betriebliche Nutzung</v>
      </c>
      <c r="CZ46" s="921" t="s">
        <v>294</v>
      </c>
      <c r="DA46" s="987">
        <v>41</v>
      </c>
      <c r="DB46" s="998">
        <f t="shared" si="10"/>
        <v>0</v>
      </c>
      <c r="DC46" s="994" t="str">
        <f t="shared" si="11"/>
        <v>Summe KFZ Kosten / Betriebliche Nutzung</v>
      </c>
      <c r="DD46" s="994" t="str">
        <f t="shared" si="12"/>
        <v>Sum vehical costs / operational use)</v>
      </c>
    </row>
    <row r="47" spans="1:108" x14ac:dyDescent="0.2">
      <c r="A47" s="926"/>
      <c r="B47" s="188">
        <v>7</v>
      </c>
      <c r="C47" s="87" t="str">
        <f t="shared" si="43"/>
        <v>Marketing  u. Werbung</v>
      </c>
      <c r="D47" s="1220"/>
      <c r="E47" s="1220"/>
      <c r="F47" s="1220"/>
      <c r="G47" s="1220"/>
      <c r="H47" s="1220"/>
      <c r="I47" s="1220"/>
      <c r="J47" s="1220"/>
      <c r="K47" s="1220"/>
      <c r="L47" s="1220"/>
      <c r="M47" s="1220"/>
      <c r="N47" s="1220"/>
      <c r="O47" s="1220"/>
      <c r="P47" s="1221"/>
      <c r="Q47" s="35"/>
      <c r="S47" s="94"/>
      <c r="T47" s="67"/>
      <c r="U47" s="1112" t="str">
        <f t="shared" si="52"/>
        <v>Gehalt3</v>
      </c>
      <c r="V47" s="77"/>
      <c r="W47" s="77"/>
      <c r="X47" s="77"/>
      <c r="Y47" s="77"/>
      <c r="Z47" s="77"/>
      <c r="AA47" s="77"/>
      <c r="AB47" s="77"/>
      <c r="AC47" s="77"/>
      <c r="AD47" s="77"/>
      <c r="AE47" s="77"/>
      <c r="AF47" s="77"/>
      <c r="AG47" s="1009"/>
      <c r="AH47" s="1011"/>
      <c r="BA47" s="188">
        <v>7</v>
      </c>
      <c r="BB47" s="87" t="s">
        <v>125</v>
      </c>
      <c r="BC47" s="1220"/>
      <c r="BD47" s="1220"/>
      <c r="BE47" s="1220"/>
      <c r="BF47" s="1220"/>
      <c r="BG47" s="1220"/>
      <c r="BH47" s="1220"/>
      <c r="BI47" s="1220"/>
      <c r="BJ47" s="1220"/>
      <c r="BK47" s="1220"/>
      <c r="BL47" s="1220"/>
      <c r="BM47" s="1220"/>
      <c r="BN47" s="1220"/>
      <c r="BO47" s="1221"/>
      <c r="BR47" s="188">
        <v>7</v>
      </c>
      <c r="BS47" s="87" t="s">
        <v>125</v>
      </c>
      <c r="BT47" s="1220"/>
      <c r="BU47" s="1220"/>
      <c r="BV47" s="1220"/>
      <c r="BW47" s="1220"/>
      <c r="BX47" s="1220"/>
      <c r="BY47" s="1220"/>
      <c r="BZ47" s="1220"/>
      <c r="CA47" s="1220"/>
      <c r="CB47" s="1220"/>
      <c r="CC47" s="1220"/>
      <c r="CD47" s="1220"/>
      <c r="CE47" s="1220"/>
      <c r="CF47" s="1221"/>
      <c r="CU47" s="1004"/>
      <c r="CV47" s="1004"/>
      <c r="CW47" s="987">
        <v>42</v>
      </c>
      <c r="CX47" s="991"/>
      <c r="CY47" s="923" t="s">
        <v>125</v>
      </c>
      <c r="CZ47" s="921" t="s">
        <v>270</v>
      </c>
      <c r="DA47" s="987">
        <v>42</v>
      </c>
      <c r="DB47" s="998">
        <f t="shared" si="10"/>
        <v>0</v>
      </c>
      <c r="DC47" s="994" t="str">
        <f t="shared" si="11"/>
        <v>Marketing  u. Werbung</v>
      </c>
      <c r="DD47" s="994" t="str">
        <f t="shared" si="12"/>
        <v xml:space="preserve">Marketing &amp; advertising </v>
      </c>
    </row>
    <row r="48" spans="1:108" ht="15" thickBot="1" x14ac:dyDescent="0.25">
      <c r="A48" s="70">
        <f>$Q$2</f>
        <v>0.19</v>
      </c>
      <c r="B48" s="71">
        <f>IF($D$4&lt;&gt;1, A48,"")</f>
        <v>0.19</v>
      </c>
      <c r="C48" s="1413" t="str">
        <f t="shared" si="43"/>
        <v>Marktforschung</v>
      </c>
      <c r="D48" s="1414"/>
      <c r="E48" s="1414"/>
      <c r="F48" s="1414"/>
      <c r="G48" s="1414"/>
      <c r="H48" s="1414"/>
      <c r="I48" s="1414"/>
      <c r="J48" s="1414"/>
      <c r="K48" s="1414"/>
      <c r="L48" s="1414"/>
      <c r="M48" s="1414"/>
      <c r="N48" s="1414"/>
      <c r="O48" s="1414"/>
      <c r="P48" s="1415">
        <f t="shared" ref="P48:P59" si="56">SUM(D48:O48)</f>
        <v>0</v>
      </c>
      <c r="Q48" s="35"/>
      <c r="S48" s="1546"/>
      <c r="T48" s="67"/>
      <c r="U48" s="1113" t="str">
        <f t="shared" si="52"/>
        <v>Nebenkosten (%)</v>
      </c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1010"/>
      <c r="AH48" s="1011"/>
      <c r="BA48" s="71">
        <v>0.19</v>
      </c>
      <c r="BB48" s="72" t="s">
        <v>44</v>
      </c>
      <c r="BC48" s="1254">
        <f t="shared" ref="BC48:BN53" si="57">IF($A48=$Q$2,D48*IF(OR($D$4=0,$D$4=3),$A48,$A48/(1+$A48)),0)</f>
        <v>0</v>
      </c>
      <c r="BD48" s="1254">
        <f t="shared" si="57"/>
        <v>0</v>
      </c>
      <c r="BE48" s="1254">
        <f t="shared" si="57"/>
        <v>0</v>
      </c>
      <c r="BF48" s="1254">
        <f t="shared" si="57"/>
        <v>0</v>
      </c>
      <c r="BG48" s="1254">
        <f t="shared" si="57"/>
        <v>0</v>
      </c>
      <c r="BH48" s="1254">
        <f t="shared" si="57"/>
        <v>0</v>
      </c>
      <c r="BI48" s="1254">
        <f t="shared" si="57"/>
        <v>0</v>
      </c>
      <c r="BJ48" s="1254">
        <f t="shared" si="57"/>
        <v>0</v>
      </c>
      <c r="BK48" s="1254">
        <f t="shared" si="57"/>
        <v>0</v>
      </c>
      <c r="BL48" s="1254">
        <f t="shared" si="57"/>
        <v>0</v>
      </c>
      <c r="BM48" s="1254">
        <f t="shared" si="57"/>
        <v>0</v>
      </c>
      <c r="BN48" s="1254">
        <f t="shared" si="57"/>
        <v>0</v>
      </c>
      <c r="BO48" s="1216">
        <f t="shared" ref="BO48:BO59" si="58">SUM(BC48:BN48)</f>
        <v>0</v>
      </c>
      <c r="BR48" s="71">
        <v>0.19</v>
      </c>
      <c r="BS48" s="72" t="s">
        <v>44</v>
      </c>
      <c r="BT48" s="1254">
        <f t="shared" ref="BT48:CE53" si="59">IF($A48=$Q$3,D48*IF(OR($D$4=0,$D$4=3),$A48,$A48/(1+$A48)),0)</f>
        <v>0</v>
      </c>
      <c r="BU48" s="1254">
        <f t="shared" si="59"/>
        <v>0</v>
      </c>
      <c r="BV48" s="1254">
        <f t="shared" si="59"/>
        <v>0</v>
      </c>
      <c r="BW48" s="1254">
        <f t="shared" si="59"/>
        <v>0</v>
      </c>
      <c r="BX48" s="1254">
        <f t="shared" si="59"/>
        <v>0</v>
      </c>
      <c r="BY48" s="1254">
        <f t="shared" si="59"/>
        <v>0</v>
      </c>
      <c r="BZ48" s="1254">
        <f t="shared" si="59"/>
        <v>0</v>
      </c>
      <c r="CA48" s="1254">
        <f t="shared" si="59"/>
        <v>0</v>
      </c>
      <c r="CB48" s="1254">
        <f t="shared" si="59"/>
        <v>0</v>
      </c>
      <c r="CC48" s="1254">
        <f t="shared" si="59"/>
        <v>0</v>
      </c>
      <c r="CD48" s="1254">
        <f t="shared" si="59"/>
        <v>0</v>
      </c>
      <c r="CE48" s="1254">
        <f t="shared" si="59"/>
        <v>0</v>
      </c>
      <c r="CF48" s="1216">
        <f t="shared" ref="CF48:CF54" si="60">SUM(BT48:CE48)</f>
        <v>0</v>
      </c>
      <c r="CU48" s="1004"/>
      <c r="CV48" s="1004"/>
      <c r="CW48" s="987">
        <v>43</v>
      </c>
      <c r="CX48" s="991">
        <f>$Q$2</f>
        <v>0.19</v>
      </c>
      <c r="CY48" s="923" t="s">
        <v>44</v>
      </c>
      <c r="CZ48" s="921" t="s">
        <v>271</v>
      </c>
      <c r="DA48" s="987">
        <v>43</v>
      </c>
      <c r="DB48" s="998">
        <f t="shared" si="10"/>
        <v>0.19</v>
      </c>
      <c r="DC48" s="994" t="str">
        <f t="shared" si="11"/>
        <v>Marktforschung</v>
      </c>
      <c r="DD48" s="994" t="str">
        <f t="shared" si="12"/>
        <v>Market research</v>
      </c>
    </row>
    <row r="49" spans="1:108" ht="15.75" thickTop="1" thickBot="1" x14ac:dyDescent="0.25">
      <c r="A49" s="70">
        <f>$Q$2</f>
        <v>0.19</v>
      </c>
      <c r="B49" s="71">
        <f>IF($D$4&lt;&gt;1, A49,"")</f>
        <v>0.19</v>
      </c>
      <c r="C49" s="1413" t="str">
        <f t="shared" si="43"/>
        <v>Briefpapier, Visitenkarte, Stempel</v>
      </c>
      <c r="D49" s="1414"/>
      <c r="E49" s="1414"/>
      <c r="F49" s="1414"/>
      <c r="G49" s="1414"/>
      <c r="H49" s="1414"/>
      <c r="I49" s="1414"/>
      <c r="J49" s="1414"/>
      <c r="K49" s="1414"/>
      <c r="L49" s="1414"/>
      <c r="M49" s="1414"/>
      <c r="N49" s="1414"/>
      <c r="O49" s="1414"/>
      <c r="P49" s="1415">
        <f t="shared" si="56"/>
        <v>0</v>
      </c>
      <c r="Q49" s="35"/>
      <c r="S49" s="1546"/>
      <c r="T49" s="67"/>
      <c r="U49" s="275" t="str">
        <f t="shared" si="52"/>
        <v>Personalkosten</v>
      </c>
      <c r="V49" s="85">
        <f t="shared" ref="V49:AG49" si="61">((V42*V43)+(V44*V45)+(V46*V47))*(1+V48)</f>
        <v>0</v>
      </c>
      <c r="W49" s="85">
        <f t="shared" si="61"/>
        <v>0</v>
      </c>
      <c r="X49" s="85">
        <f t="shared" si="61"/>
        <v>0</v>
      </c>
      <c r="Y49" s="85">
        <f t="shared" si="61"/>
        <v>0</v>
      </c>
      <c r="Z49" s="85">
        <f t="shared" si="61"/>
        <v>0</v>
      </c>
      <c r="AA49" s="85">
        <f t="shared" si="61"/>
        <v>0</v>
      </c>
      <c r="AB49" s="85">
        <f t="shared" si="61"/>
        <v>0</v>
      </c>
      <c r="AC49" s="85">
        <f t="shared" si="61"/>
        <v>0</v>
      </c>
      <c r="AD49" s="85">
        <f t="shared" si="61"/>
        <v>0</v>
      </c>
      <c r="AE49" s="85">
        <f t="shared" si="61"/>
        <v>0</v>
      </c>
      <c r="AF49" s="85">
        <f t="shared" si="61"/>
        <v>0</v>
      </c>
      <c r="AG49" s="86">
        <f t="shared" si="61"/>
        <v>0</v>
      </c>
      <c r="AH49" s="1016">
        <f>SUM(V49:AG49)</f>
        <v>0</v>
      </c>
      <c r="BA49" s="71">
        <v>0.19</v>
      </c>
      <c r="BB49" s="72" t="s">
        <v>47</v>
      </c>
      <c r="BC49" s="1254">
        <f t="shared" si="57"/>
        <v>0</v>
      </c>
      <c r="BD49" s="1254">
        <f t="shared" si="57"/>
        <v>0</v>
      </c>
      <c r="BE49" s="1254">
        <f t="shared" si="57"/>
        <v>0</v>
      </c>
      <c r="BF49" s="1254">
        <f t="shared" si="57"/>
        <v>0</v>
      </c>
      <c r="BG49" s="1254">
        <f t="shared" si="57"/>
        <v>0</v>
      </c>
      <c r="BH49" s="1254">
        <f t="shared" si="57"/>
        <v>0</v>
      </c>
      <c r="BI49" s="1254">
        <f t="shared" si="57"/>
        <v>0</v>
      </c>
      <c r="BJ49" s="1254">
        <f t="shared" si="57"/>
        <v>0</v>
      </c>
      <c r="BK49" s="1254">
        <f t="shared" si="57"/>
        <v>0</v>
      </c>
      <c r="BL49" s="1254">
        <f t="shared" si="57"/>
        <v>0</v>
      </c>
      <c r="BM49" s="1254">
        <f t="shared" si="57"/>
        <v>0</v>
      </c>
      <c r="BN49" s="1254">
        <f t="shared" si="57"/>
        <v>0</v>
      </c>
      <c r="BO49" s="1216">
        <f t="shared" si="58"/>
        <v>0</v>
      </c>
      <c r="BR49" s="71">
        <v>0.19</v>
      </c>
      <c r="BS49" s="72" t="s">
        <v>47</v>
      </c>
      <c r="BT49" s="1254">
        <f t="shared" si="59"/>
        <v>0</v>
      </c>
      <c r="BU49" s="1254">
        <f t="shared" si="59"/>
        <v>0</v>
      </c>
      <c r="BV49" s="1254">
        <f t="shared" si="59"/>
        <v>0</v>
      </c>
      <c r="BW49" s="1254">
        <f t="shared" si="59"/>
        <v>0</v>
      </c>
      <c r="BX49" s="1254">
        <f t="shared" si="59"/>
        <v>0</v>
      </c>
      <c r="BY49" s="1254">
        <f t="shared" si="59"/>
        <v>0</v>
      </c>
      <c r="BZ49" s="1254">
        <f t="shared" si="59"/>
        <v>0</v>
      </c>
      <c r="CA49" s="1254">
        <f t="shared" si="59"/>
        <v>0</v>
      </c>
      <c r="CB49" s="1254">
        <f t="shared" si="59"/>
        <v>0</v>
      </c>
      <c r="CC49" s="1254">
        <f t="shared" si="59"/>
        <v>0</v>
      </c>
      <c r="CD49" s="1254">
        <f t="shared" si="59"/>
        <v>0</v>
      </c>
      <c r="CE49" s="1254">
        <f t="shared" si="59"/>
        <v>0</v>
      </c>
      <c r="CF49" s="1216">
        <f t="shared" si="60"/>
        <v>0</v>
      </c>
      <c r="CU49" s="1004"/>
      <c r="CV49" s="1004"/>
      <c r="CW49" s="987">
        <v>44</v>
      </c>
      <c r="CX49" s="991">
        <f>$Q$2</f>
        <v>0.19</v>
      </c>
      <c r="CY49" s="923" t="s">
        <v>47</v>
      </c>
      <c r="CZ49" s="921" t="s">
        <v>630</v>
      </c>
      <c r="DA49" s="987">
        <v>44</v>
      </c>
      <c r="DB49" s="998">
        <f t="shared" si="10"/>
        <v>0.19</v>
      </c>
      <c r="DC49" s="994" t="str">
        <f t="shared" si="11"/>
        <v>Briefpapier, Visitenkarte, Stempel</v>
      </c>
      <c r="DD49" s="994" t="str">
        <f t="shared" si="12"/>
        <v>Office supply, paper, business cards, stamps</v>
      </c>
    </row>
    <row r="50" spans="1:108" x14ac:dyDescent="0.2">
      <c r="A50" s="70">
        <f>$Q$2</f>
        <v>0.19</v>
      </c>
      <c r="B50" s="71">
        <f>IF($D$4&lt;&gt;1, A50,"")</f>
        <v>0.19</v>
      </c>
      <c r="C50" s="1413" t="str">
        <f t="shared" si="43"/>
        <v>Webseite, lfd. Webseitenpflege</v>
      </c>
      <c r="D50" s="1414"/>
      <c r="E50" s="1414"/>
      <c r="F50" s="1414"/>
      <c r="G50" s="1414"/>
      <c r="H50" s="1414"/>
      <c r="I50" s="1414"/>
      <c r="J50" s="1414"/>
      <c r="K50" s="1414"/>
      <c r="L50" s="1414"/>
      <c r="M50" s="1414"/>
      <c r="N50" s="1414"/>
      <c r="O50" s="1414"/>
      <c r="P50" s="1415">
        <f t="shared" si="56"/>
        <v>0</v>
      </c>
      <c r="Q50" s="35"/>
      <c r="S50" s="1546"/>
      <c r="T50" s="67"/>
      <c r="U50" s="34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1011"/>
      <c r="BA50" s="71">
        <v>0.19</v>
      </c>
      <c r="BB50" s="72" t="s">
        <v>230</v>
      </c>
      <c r="BC50" s="1254">
        <f t="shared" si="57"/>
        <v>0</v>
      </c>
      <c r="BD50" s="1254">
        <f t="shared" si="57"/>
        <v>0</v>
      </c>
      <c r="BE50" s="1254">
        <f t="shared" si="57"/>
        <v>0</v>
      </c>
      <c r="BF50" s="1254">
        <f t="shared" si="57"/>
        <v>0</v>
      </c>
      <c r="BG50" s="1254">
        <f t="shared" si="57"/>
        <v>0</v>
      </c>
      <c r="BH50" s="1254">
        <f t="shared" si="57"/>
        <v>0</v>
      </c>
      <c r="BI50" s="1254">
        <f t="shared" si="57"/>
        <v>0</v>
      </c>
      <c r="BJ50" s="1254">
        <f t="shared" si="57"/>
        <v>0</v>
      </c>
      <c r="BK50" s="1254">
        <f t="shared" si="57"/>
        <v>0</v>
      </c>
      <c r="BL50" s="1254">
        <f t="shared" si="57"/>
        <v>0</v>
      </c>
      <c r="BM50" s="1254">
        <f t="shared" si="57"/>
        <v>0</v>
      </c>
      <c r="BN50" s="1254">
        <f t="shared" si="57"/>
        <v>0</v>
      </c>
      <c r="BO50" s="1216">
        <f t="shared" si="58"/>
        <v>0</v>
      </c>
      <c r="BR50" s="71">
        <v>0.19</v>
      </c>
      <c r="BS50" s="72" t="s">
        <v>230</v>
      </c>
      <c r="BT50" s="1254">
        <f t="shared" si="59"/>
        <v>0</v>
      </c>
      <c r="BU50" s="1254">
        <f t="shared" si="59"/>
        <v>0</v>
      </c>
      <c r="BV50" s="1254">
        <f t="shared" si="59"/>
        <v>0</v>
      </c>
      <c r="BW50" s="1254">
        <f t="shared" si="59"/>
        <v>0</v>
      </c>
      <c r="BX50" s="1254">
        <f t="shared" si="59"/>
        <v>0</v>
      </c>
      <c r="BY50" s="1254">
        <f t="shared" si="59"/>
        <v>0</v>
      </c>
      <c r="BZ50" s="1254">
        <f t="shared" si="59"/>
        <v>0</v>
      </c>
      <c r="CA50" s="1254">
        <f t="shared" si="59"/>
        <v>0</v>
      </c>
      <c r="CB50" s="1254">
        <f t="shared" si="59"/>
        <v>0</v>
      </c>
      <c r="CC50" s="1254">
        <f t="shared" si="59"/>
        <v>0</v>
      </c>
      <c r="CD50" s="1254">
        <f t="shared" si="59"/>
        <v>0</v>
      </c>
      <c r="CE50" s="1254">
        <f t="shared" si="59"/>
        <v>0</v>
      </c>
      <c r="CF50" s="1216">
        <f t="shared" si="60"/>
        <v>0</v>
      </c>
      <c r="CU50" s="1004"/>
      <c r="CV50" s="1004"/>
      <c r="CW50" s="987">
        <v>45</v>
      </c>
      <c r="CX50" s="991">
        <f>$Q$2</f>
        <v>0.19</v>
      </c>
      <c r="CY50" s="923" t="s">
        <v>230</v>
      </c>
      <c r="CZ50" s="921" t="s">
        <v>631</v>
      </c>
      <c r="DA50" s="987">
        <v>45</v>
      </c>
      <c r="DB50" s="998">
        <f t="shared" si="10"/>
        <v>0.19</v>
      </c>
      <c r="DC50" s="994" t="str">
        <f t="shared" si="11"/>
        <v>Webseite, lfd. Webseitenpflege</v>
      </c>
      <c r="DD50" s="994" t="str">
        <f t="shared" si="12"/>
        <v>Homepage, current website maintenance</v>
      </c>
    </row>
    <row r="51" spans="1:108" x14ac:dyDescent="0.2">
      <c r="A51" s="70">
        <f>$Q$2</f>
        <v>0.19</v>
      </c>
      <c r="B51" s="71">
        <f>IF($D$4&lt;&gt;1, A51,"")</f>
        <v>0.19</v>
      </c>
      <c r="C51" s="1413" t="str">
        <f t="shared" si="43"/>
        <v>Flyer, Prospekte, Broschüren, Anzeigen</v>
      </c>
      <c r="D51" s="1414"/>
      <c r="E51" s="1414"/>
      <c r="F51" s="1414"/>
      <c r="G51" s="1414"/>
      <c r="H51" s="1414"/>
      <c r="I51" s="1414"/>
      <c r="J51" s="1414"/>
      <c r="K51" s="1414"/>
      <c r="L51" s="1414"/>
      <c r="M51" s="1414"/>
      <c r="N51" s="1414"/>
      <c r="O51" s="1414"/>
      <c r="P51" s="1415">
        <f t="shared" si="56"/>
        <v>0</v>
      </c>
      <c r="Q51" s="35"/>
      <c r="S51" s="1546"/>
      <c r="T51" s="67"/>
      <c r="U51" s="34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1011"/>
      <c r="BA51" s="71">
        <v>0.19</v>
      </c>
      <c r="BB51" s="72" t="s">
        <v>126</v>
      </c>
      <c r="BC51" s="1254">
        <f t="shared" si="57"/>
        <v>0</v>
      </c>
      <c r="BD51" s="1254">
        <f t="shared" si="57"/>
        <v>0</v>
      </c>
      <c r="BE51" s="1254">
        <f t="shared" si="57"/>
        <v>0</v>
      </c>
      <c r="BF51" s="1254">
        <f t="shared" si="57"/>
        <v>0</v>
      </c>
      <c r="BG51" s="1254">
        <f t="shared" si="57"/>
        <v>0</v>
      </c>
      <c r="BH51" s="1254">
        <f t="shared" si="57"/>
        <v>0</v>
      </c>
      <c r="BI51" s="1254">
        <f t="shared" si="57"/>
        <v>0</v>
      </c>
      <c r="BJ51" s="1254">
        <f t="shared" si="57"/>
        <v>0</v>
      </c>
      <c r="BK51" s="1254">
        <f t="shared" si="57"/>
        <v>0</v>
      </c>
      <c r="BL51" s="1254">
        <f t="shared" si="57"/>
        <v>0</v>
      </c>
      <c r="BM51" s="1254">
        <f t="shared" si="57"/>
        <v>0</v>
      </c>
      <c r="BN51" s="1254">
        <f t="shared" si="57"/>
        <v>0</v>
      </c>
      <c r="BO51" s="1216">
        <f t="shared" si="58"/>
        <v>0</v>
      </c>
      <c r="BR51" s="71">
        <v>0.19</v>
      </c>
      <c r="BS51" s="72" t="s">
        <v>126</v>
      </c>
      <c r="BT51" s="1254">
        <f t="shared" si="59"/>
        <v>0</v>
      </c>
      <c r="BU51" s="1254">
        <f t="shared" si="59"/>
        <v>0</v>
      </c>
      <c r="BV51" s="1254">
        <f t="shared" si="59"/>
        <v>0</v>
      </c>
      <c r="BW51" s="1254">
        <f t="shared" si="59"/>
        <v>0</v>
      </c>
      <c r="BX51" s="1254">
        <f t="shared" si="59"/>
        <v>0</v>
      </c>
      <c r="BY51" s="1254">
        <f t="shared" si="59"/>
        <v>0</v>
      </c>
      <c r="BZ51" s="1254">
        <f t="shared" si="59"/>
        <v>0</v>
      </c>
      <c r="CA51" s="1254">
        <f t="shared" si="59"/>
        <v>0</v>
      </c>
      <c r="CB51" s="1254">
        <f t="shared" si="59"/>
        <v>0</v>
      </c>
      <c r="CC51" s="1254">
        <f t="shared" si="59"/>
        <v>0</v>
      </c>
      <c r="CD51" s="1254">
        <f t="shared" si="59"/>
        <v>0</v>
      </c>
      <c r="CE51" s="1254">
        <f t="shared" si="59"/>
        <v>0</v>
      </c>
      <c r="CF51" s="1216">
        <f t="shared" si="60"/>
        <v>0</v>
      </c>
      <c r="CU51" s="1004"/>
      <c r="CV51" s="1004"/>
      <c r="CW51" s="987">
        <v>46</v>
      </c>
      <c r="CX51" s="991">
        <f>$Q$2</f>
        <v>0.19</v>
      </c>
      <c r="CY51" s="923" t="s">
        <v>126</v>
      </c>
      <c r="CZ51" s="921" t="s">
        <v>296</v>
      </c>
      <c r="DA51" s="987">
        <v>46</v>
      </c>
      <c r="DB51" s="998">
        <f t="shared" si="10"/>
        <v>0.19</v>
      </c>
      <c r="DC51" s="994" t="str">
        <f t="shared" si="11"/>
        <v>Flyer, Prospekte, Broschüren, Anzeigen</v>
      </c>
      <c r="DD51" s="994" t="str">
        <f t="shared" si="12"/>
        <v>Flyers, leaflets, booklets, ads</v>
      </c>
    </row>
    <row r="52" spans="1:108" ht="15" thickBot="1" x14ac:dyDescent="0.25">
      <c r="A52" s="70">
        <v>0.19</v>
      </c>
      <c r="B52" s="71">
        <f>IF($D$4&lt;&gt;1, A52,"")</f>
        <v>0.19</v>
      </c>
      <c r="C52" s="1413" t="str">
        <f t="shared" si="43"/>
        <v>Bewirtungskosten</v>
      </c>
      <c r="D52" s="1414"/>
      <c r="E52" s="1414"/>
      <c r="F52" s="1414"/>
      <c r="G52" s="1414"/>
      <c r="H52" s="1414"/>
      <c r="I52" s="1414"/>
      <c r="J52" s="1414"/>
      <c r="K52" s="1414"/>
      <c r="L52" s="1414"/>
      <c r="M52" s="1414"/>
      <c r="N52" s="1414"/>
      <c r="O52" s="1414"/>
      <c r="P52" s="1415">
        <f t="shared" si="56"/>
        <v>0</v>
      </c>
      <c r="Q52" s="35"/>
      <c r="S52" s="1546"/>
      <c r="T52" s="67"/>
      <c r="U52" s="34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1011"/>
      <c r="BA52" s="71">
        <v>0.19</v>
      </c>
      <c r="BB52" s="72" t="s">
        <v>467</v>
      </c>
      <c r="BC52" s="1254">
        <f t="shared" si="57"/>
        <v>0</v>
      </c>
      <c r="BD52" s="1254">
        <f t="shared" si="57"/>
        <v>0</v>
      </c>
      <c r="BE52" s="1254">
        <f t="shared" si="57"/>
        <v>0</v>
      </c>
      <c r="BF52" s="1254">
        <f t="shared" si="57"/>
        <v>0</v>
      </c>
      <c r="BG52" s="1254">
        <f t="shared" si="57"/>
        <v>0</v>
      </c>
      <c r="BH52" s="1254">
        <f t="shared" si="57"/>
        <v>0</v>
      </c>
      <c r="BI52" s="1254">
        <f t="shared" si="57"/>
        <v>0</v>
      </c>
      <c r="BJ52" s="1254">
        <f t="shared" si="57"/>
        <v>0</v>
      </c>
      <c r="BK52" s="1254">
        <f t="shared" si="57"/>
        <v>0</v>
      </c>
      <c r="BL52" s="1254">
        <f t="shared" si="57"/>
        <v>0</v>
      </c>
      <c r="BM52" s="1254">
        <f t="shared" si="57"/>
        <v>0</v>
      </c>
      <c r="BN52" s="1254">
        <f t="shared" si="57"/>
        <v>0</v>
      </c>
      <c r="BO52" s="1216">
        <f t="shared" si="58"/>
        <v>0</v>
      </c>
      <c r="BR52" s="71">
        <v>0.19</v>
      </c>
      <c r="BS52" s="72" t="s">
        <v>467</v>
      </c>
      <c r="BT52" s="1254">
        <f t="shared" si="59"/>
        <v>0</v>
      </c>
      <c r="BU52" s="1254">
        <f t="shared" si="59"/>
        <v>0</v>
      </c>
      <c r="BV52" s="1254">
        <f t="shared" si="59"/>
        <v>0</v>
      </c>
      <c r="BW52" s="1254">
        <f t="shared" si="59"/>
        <v>0</v>
      </c>
      <c r="BX52" s="1254">
        <f t="shared" si="59"/>
        <v>0</v>
      </c>
      <c r="BY52" s="1254">
        <f t="shared" si="59"/>
        <v>0</v>
      </c>
      <c r="BZ52" s="1254">
        <f t="shared" si="59"/>
        <v>0</v>
      </c>
      <c r="CA52" s="1254">
        <f t="shared" si="59"/>
        <v>0</v>
      </c>
      <c r="CB52" s="1254">
        <f t="shared" si="59"/>
        <v>0</v>
      </c>
      <c r="CC52" s="1254">
        <f t="shared" si="59"/>
        <v>0</v>
      </c>
      <c r="CD52" s="1254">
        <f t="shared" si="59"/>
        <v>0</v>
      </c>
      <c r="CE52" s="1254">
        <f t="shared" si="59"/>
        <v>0</v>
      </c>
      <c r="CF52" s="1216">
        <f t="shared" si="60"/>
        <v>0</v>
      </c>
      <c r="CU52" s="1004"/>
      <c r="CV52" s="1004"/>
      <c r="CW52" s="987">
        <v>47</v>
      </c>
      <c r="CX52" s="991">
        <v>0.19</v>
      </c>
      <c r="CY52" s="919" t="s">
        <v>467</v>
      </c>
      <c r="CZ52" s="921" t="s">
        <v>542</v>
      </c>
      <c r="DA52" s="987">
        <v>47</v>
      </c>
      <c r="DB52" s="998">
        <f t="shared" si="10"/>
        <v>0.19</v>
      </c>
      <c r="DC52" s="994" t="str">
        <f t="shared" si="11"/>
        <v>Bewirtungskosten</v>
      </c>
      <c r="DD52" s="994" t="str">
        <f t="shared" si="12"/>
        <v>Entertainment expenses</v>
      </c>
    </row>
    <row r="53" spans="1:108" ht="15" thickBot="1" x14ac:dyDescent="0.25">
      <c r="A53" s="1412">
        <v>0.19</v>
      </c>
      <c r="B53" s="71"/>
      <c r="C53" s="1416" t="s">
        <v>742</v>
      </c>
      <c r="D53" s="1417"/>
      <c r="E53" s="1417"/>
      <c r="F53" s="1417"/>
      <c r="G53" s="1417"/>
      <c r="H53" s="1417"/>
      <c r="I53" s="1417"/>
      <c r="J53" s="1417"/>
      <c r="K53" s="1417"/>
      <c r="L53" s="1417"/>
      <c r="M53" s="1417"/>
      <c r="N53" s="1417"/>
      <c r="O53" s="1417"/>
      <c r="P53" s="1418">
        <f t="shared" si="56"/>
        <v>0</v>
      </c>
      <c r="Q53" s="35"/>
      <c r="R53" s="96"/>
      <c r="S53" s="1546"/>
      <c r="T53" s="67"/>
      <c r="U53" s="56">
        <f ca="1">H81</f>
        <v>2021</v>
      </c>
      <c r="V53" s="57" t="str">
        <f t="shared" ref="V53:AG53" si="62">V17</f>
        <v>Jan.</v>
      </c>
      <c r="W53" s="57" t="str">
        <f t="shared" si="62"/>
        <v>Febr.</v>
      </c>
      <c r="X53" s="57" t="str">
        <f t="shared" si="62"/>
        <v>März</v>
      </c>
      <c r="Y53" s="57" t="str">
        <f t="shared" si="62"/>
        <v>April</v>
      </c>
      <c r="Z53" s="57" t="str">
        <f t="shared" si="62"/>
        <v>Mai</v>
      </c>
      <c r="AA53" s="57" t="str">
        <f t="shared" si="62"/>
        <v>Juni</v>
      </c>
      <c r="AB53" s="57" t="str">
        <f t="shared" si="62"/>
        <v>Juli</v>
      </c>
      <c r="AC53" s="57" t="str">
        <f t="shared" si="62"/>
        <v>Aug.</v>
      </c>
      <c r="AD53" s="57" t="str">
        <f t="shared" si="62"/>
        <v>Sept.</v>
      </c>
      <c r="AE53" s="57" t="str">
        <f t="shared" si="62"/>
        <v>Okt.</v>
      </c>
      <c r="AF53" s="57" t="str">
        <f t="shared" si="62"/>
        <v>Nov.</v>
      </c>
      <c r="AG53" s="212" t="str">
        <f t="shared" si="62"/>
        <v>Dez.</v>
      </c>
      <c r="AH53" s="1011"/>
      <c r="BA53" s="71"/>
      <c r="BB53" s="1100" t="s">
        <v>127</v>
      </c>
      <c r="BC53" s="1254">
        <f t="shared" si="57"/>
        <v>0</v>
      </c>
      <c r="BD53" s="1254">
        <f t="shared" si="57"/>
        <v>0</v>
      </c>
      <c r="BE53" s="1254">
        <f t="shared" si="57"/>
        <v>0</v>
      </c>
      <c r="BF53" s="1254">
        <f t="shared" si="57"/>
        <v>0</v>
      </c>
      <c r="BG53" s="1254">
        <f t="shared" si="57"/>
        <v>0</v>
      </c>
      <c r="BH53" s="1254">
        <f t="shared" si="57"/>
        <v>0</v>
      </c>
      <c r="BI53" s="1254">
        <f t="shared" si="57"/>
        <v>0</v>
      </c>
      <c r="BJ53" s="1254">
        <f t="shared" si="57"/>
        <v>0</v>
      </c>
      <c r="BK53" s="1254">
        <f t="shared" si="57"/>
        <v>0</v>
      </c>
      <c r="BL53" s="1254">
        <f t="shared" si="57"/>
        <v>0</v>
      </c>
      <c r="BM53" s="1254">
        <f t="shared" si="57"/>
        <v>0</v>
      </c>
      <c r="BN53" s="1254">
        <f t="shared" si="57"/>
        <v>0</v>
      </c>
      <c r="BO53" s="1216">
        <f t="shared" si="58"/>
        <v>0</v>
      </c>
      <c r="BR53" s="71"/>
      <c r="BS53" s="1060" t="s">
        <v>127</v>
      </c>
      <c r="BT53" s="1254">
        <f t="shared" si="59"/>
        <v>0</v>
      </c>
      <c r="BU53" s="1254">
        <f t="shared" si="59"/>
        <v>0</v>
      </c>
      <c r="BV53" s="1254">
        <f t="shared" si="59"/>
        <v>0</v>
      </c>
      <c r="BW53" s="1254">
        <f t="shared" si="59"/>
        <v>0</v>
      </c>
      <c r="BX53" s="1254">
        <f t="shared" si="59"/>
        <v>0</v>
      </c>
      <c r="BY53" s="1254">
        <f t="shared" si="59"/>
        <v>0</v>
      </c>
      <c r="BZ53" s="1254">
        <f t="shared" si="59"/>
        <v>0</v>
      </c>
      <c r="CA53" s="1254">
        <f t="shared" si="59"/>
        <v>0</v>
      </c>
      <c r="CB53" s="1254">
        <f t="shared" si="59"/>
        <v>0</v>
      </c>
      <c r="CC53" s="1254">
        <f t="shared" si="59"/>
        <v>0</v>
      </c>
      <c r="CD53" s="1254">
        <f t="shared" si="59"/>
        <v>0</v>
      </c>
      <c r="CE53" s="1254">
        <f t="shared" si="59"/>
        <v>0</v>
      </c>
      <c r="CF53" s="1216">
        <f t="shared" si="60"/>
        <v>0</v>
      </c>
      <c r="CU53" s="1004"/>
      <c r="CV53" s="1004"/>
      <c r="CW53" s="987">
        <v>48</v>
      </c>
      <c r="CX53" s="930">
        <f>$Q$2</f>
        <v>0.19</v>
      </c>
      <c r="CY53" s="920" t="s">
        <v>127</v>
      </c>
      <c r="CZ53" s="920" t="s">
        <v>632</v>
      </c>
      <c r="DA53" s="987">
        <v>48</v>
      </c>
      <c r="DB53" s="998">
        <f t="shared" si="10"/>
        <v>0.19</v>
      </c>
      <c r="DC53" s="994" t="str">
        <f t="shared" si="11"/>
        <v>Sonstiges, Messen, ...</v>
      </c>
      <c r="DD53" s="994" t="str">
        <f t="shared" si="12"/>
        <v>Others, exhibitions, ...</v>
      </c>
    </row>
    <row r="54" spans="1:108" ht="15" thickBot="1" x14ac:dyDescent="0.25">
      <c r="A54" s="926"/>
      <c r="B54" s="1475"/>
      <c r="C54" s="1476" t="str">
        <f t="shared" si="43"/>
        <v>Summe Marketing  u. Werbung</v>
      </c>
      <c r="D54" s="1477">
        <f>SUM(D48:D53)</f>
        <v>0</v>
      </c>
      <c r="E54" s="1477">
        <f t="shared" ref="E54:O54" si="63">SUM(E48:E53)</f>
        <v>0</v>
      </c>
      <c r="F54" s="1477">
        <f t="shared" si="63"/>
        <v>0</v>
      </c>
      <c r="G54" s="1477">
        <f t="shared" si="63"/>
        <v>0</v>
      </c>
      <c r="H54" s="1477">
        <f t="shared" si="63"/>
        <v>0</v>
      </c>
      <c r="I54" s="1477">
        <f t="shared" si="63"/>
        <v>0</v>
      </c>
      <c r="J54" s="1477">
        <f t="shared" si="63"/>
        <v>0</v>
      </c>
      <c r="K54" s="1477">
        <f t="shared" si="63"/>
        <v>0</v>
      </c>
      <c r="L54" s="1477">
        <f t="shared" si="63"/>
        <v>0</v>
      </c>
      <c r="M54" s="1477">
        <f t="shared" si="63"/>
        <v>0</v>
      </c>
      <c r="N54" s="1477">
        <f t="shared" si="63"/>
        <v>0</v>
      </c>
      <c r="O54" s="1477">
        <f t="shared" si="63"/>
        <v>0</v>
      </c>
      <c r="P54" s="1478">
        <f t="shared" si="56"/>
        <v>0</v>
      </c>
      <c r="Q54" s="35"/>
      <c r="S54" s="83"/>
      <c r="T54" s="67"/>
      <c r="U54" s="1111" t="str">
        <f t="shared" ref="U54:U61" si="64">U42</f>
        <v xml:space="preserve"> Anzahl Mitarbeiter</v>
      </c>
      <c r="V54" s="68"/>
      <c r="W54" s="68"/>
      <c r="X54" s="68"/>
      <c r="Y54" s="68"/>
      <c r="Z54" s="68"/>
      <c r="AA54" s="68"/>
      <c r="AB54" s="68"/>
      <c r="AC54" s="68"/>
      <c r="AD54" s="68"/>
      <c r="AE54" s="68"/>
      <c r="AF54" s="68"/>
      <c r="AG54" s="68"/>
      <c r="AH54" s="1011"/>
      <c r="BA54" s="80"/>
      <c r="BB54" s="97" t="s">
        <v>593</v>
      </c>
      <c r="BC54" s="1218">
        <f>SUM(BC48:BC53)</f>
        <v>0</v>
      </c>
      <c r="BD54" s="1218">
        <f t="shared" ref="BD54:BN54" si="65">SUM(BD48:BD53)</f>
        <v>0</v>
      </c>
      <c r="BE54" s="1218">
        <f t="shared" si="65"/>
        <v>0</v>
      </c>
      <c r="BF54" s="1218">
        <f t="shared" si="65"/>
        <v>0</v>
      </c>
      <c r="BG54" s="1218">
        <f t="shared" si="65"/>
        <v>0</v>
      </c>
      <c r="BH54" s="1218">
        <f t="shared" si="65"/>
        <v>0</v>
      </c>
      <c r="BI54" s="1218">
        <f t="shared" si="65"/>
        <v>0</v>
      </c>
      <c r="BJ54" s="1218">
        <f t="shared" si="65"/>
        <v>0</v>
      </c>
      <c r="BK54" s="1218">
        <f t="shared" si="65"/>
        <v>0</v>
      </c>
      <c r="BL54" s="1218">
        <f t="shared" si="65"/>
        <v>0</v>
      </c>
      <c r="BM54" s="1218">
        <f t="shared" si="65"/>
        <v>0</v>
      </c>
      <c r="BN54" s="1218">
        <f t="shared" si="65"/>
        <v>0</v>
      </c>
      <c r="BO54" s="1222">
        <f t="shared" si="58"/>
        <v>0</v>
      </c>
      <c r="BR54" s="80"/>
      <c r="BS54" s="97" t="s">
        <v>593</v>
      </c>
      <c r="BT54" s="1218">
        <f>SUM(BT48:BT53)</f>
        <v>0</v>
      </c>
      <c r="BU54" s="1218">
        <f t="shared" ref="BU54:CE54" si="66">SUM(BU48:BU53)</f>
        <v>0</v>
      </c>
      <c r="BV54" s="1218">
        <f t="shared" si="66"/>
        <v>0</v>
      </c>
      <c r="BW54" s="1218">
        <f t="shared" si="66"/>
        <v>0</v>
      </c>
      <c r="BX54" s="1218">
        <f t="shared" si="66"/>
        <v>0</v>
      </c>
      <c r="BY54" s="1218">
        <f t="shared" si="66"/>
        <v>0</v>
      </c>
      <c r="BZ54" s="1218">
        <f t="shared" si="66"/>
        <v>0</v>
      </c>
      <c r="CA54" s="1218">
        <f t="shared" si="66"/>
        <v>0</v>
      </c>
      <c r="CB54" s="1218">
        <f t="shared" si="66"/>
        <v>0</v>
      </c>
      <c r="CC54" s="1218">
        <f t="shared" si="66"/>
        <v>0</v>
      </c>
      <c r="CD54" s="1218">
        <f t="shared" si="66"/>
        <v>0</v>
      </c>
      <c r="CE54" s="1218">
        <f t="shared" si="66"/>
        <v>0</v>
      </c>
      <c r="CF54" s="1222">
        <f t="shared" si="60"/>
        <v>0</v>
      </c>
      <c r="CU54" s="1004"/>
      <c r="CV54" s="1004"/>
      <c r="CW54" s="987">
        <v>49</v>
      </c>
      <c r="CX54" s="991"/>
      <c r="CY54" s="923" t="str">
        <f>"Summe "&amp;CY47</f>
        <v>Summe Marketing  u. Werbung</v>
      </c>
      <c r="CZ54" s="921" t="s">
        <v>295</v>
      </c>
      <c r="DA54" s="987">
        <v>49</v>
      </c>
      <c r="DB54" s="998">
        <f t="shared" si="10"/>
        <v>0</v>
      </c>
      <c r="DC54" s="994" t="str">
        <f t="shared" si="11"/>
        <v>Summe Marketing  u. Werbung</v>
      </c>
      <c r="DD54" s="994" t="str">
        <f t="shared" si="12"/>
        <v xml:space="preserve">Sum marketing &amp; advertising </v>
      </c>
    </row>
    <row r="55" spans="1:108" x14ac:dyDescent="0.2">
      <c r="A55" s="926"/>
      <c r="B55" s="188">
        <v>8</v>
      </c>
      <c r="C55" s="87" t="str">
        <f t="shared" si="43"/>
        <v>Rechts- und Beratungskosten</v>
      </c>
      <c r="D55" s="1220"/>
      <c r="E55" s="1220"/>
      <c r="F55" s="1220"/>
      <c r="G55" s="1220"/>
      <c r="H55" s="1220"/>
      <c r="I55" s="1220"/>
      <c r="J55" s="1220"/>
      <c r="K55" s="1220"/>
      <c r="L55" s="1220"/>
      <c r="M55" s="1220"/>
      <c r="N55" s="1220"/>
      <c r="O55" s="1220"/>
      <c r="P55" s="1221"/>
      <c r="Q55" s="35"/>
      <c r="S55" s="94"/>
      <c r="T55" s="67"/>
      <c r="U55" s="1112" t="str">
        <f t="shared" si="64"/>
        <v>Gehalt1</v>
      </c>
      <c r="V55" s="77"/>
      <c r="W55" s="77"/>
      <c r="X55" s="77"/>
      <c r="Y55" s="77"/>
      <c r="Z55" s="77"/>
      <c r="AA55" s="77"/>
      <c r="AB55" s="77"/>
      <c r="AC55" s="77"/>
      <c r="AD55" s="77"/>
      <c r="AE55" s="77"/>
      <c r="AF55" s="77"/>
      <c r="AG55" s="77"/>
      <c r="AH55" s="1011"/>
      <c r="BA55" s="188">
        <v>8</v>
      </c>
      <c r="BB55" s="87" t="s">
        <v>468</v>
      </c>
      <c r="BC55" s="1220"/>
      <c r="BD55" s="1220"/>
      <c r="BE55" s="1220"/>
      <c r="BF55" s="1220"/>
      <c r="BG55" s="1220"/>
      <c r="BH55" s="1220"/>
      <c r="BI55" s="1220"/>
      <c r="BJ55" s="1220"/>
      <c r="BK55" s="1220"/>
      <c r="BL55" s="1220"/>
      <c r="BM55" s="1220"/>
      <c r="BN55" s="1220"/>
      <c r="BO55" s="1221"/>
      <c r="BR55" s="188">
        <v>8</v>
      </c>
      <c r="BS55" s="87" t="s">
        <v>468</v>
      </c>
      <c r="BT55" s="1220"/>
      <c r="BU55" s="1220"/>
      <c r="BV55" s="1220"/>
      <c r="BW55" s="1220"/>
      <c r="BX55" s="1220"/>
      <c r="BY55" s="1220"/>
      <c r="BZ55" s="1220"/>
      <c r="CA55" s="1220"/>
      <c r="CB55" s="1220"/>
      <c r="CC55" s="1220"/>
      <c r="CD55" s="1220"/>
      <c r="CE55" s="1220"/>
      <c r="CF55" s="1221"/>
      <c r="CU55" s="1004"/>
      <c r="CV55" s="1004"/>
      <c r="CW55" s="987">
        <v>50</v>
      </c>
      <c r="CX55" s="991"/>
      <c r="CY55" s="193" t="s">
        <v>468</v>
      </c>
      <c r="CZ55" s="921" t="s">
        <v>633</v>
      </c>
      <c r="DA55" s="987">
        <v>50</v>
      </c>
      <c r="DB55" s="998">
        <f t="shared" si="10"/>
        <v>0</v>
      </c>
      <c r="DC55" s="994" t="str">
        <f t="shared" si="11"/>
        <v>Rechts- und Beratungskosten</v>
      </c>
      <c r="DD55" s="994" t="str">
        <f t="shared" si="12"/>
        <v>Legal and accountancy fees</v>
      </c>
    </row>
    <row r="56" spans="1:108" x14ac:dyDescent="0.2">
      <c r="A56" s="70">
        <v>0.19</v>
      </c>
      <c r="B56" s="71">
        <f>IF($D$4&lt;&gt;1, A56,"")</f>
        <v>0.19</v>
      </c>
      <c r="C56" s="1413" t="str">
        <f t="shared" si="43"/>
        <v>Buchhaltung</v>
      </c>
      <c r="D56" s="1414"/>
      <c r="E56" s="1414"/>
      <c r="F56" s="1414"/>
      <c r="G56" s="1414"/>
      <c r="H56" s="1414"/>
      <c r="I56" s="1414"/>
      <c r="J56" s="1414"/>
      <c r="K56" s="1414"/>
      <c r="L56" s="1414"/>
      <c r="M56" s="1414"/>
      <c r="N56" s="1414"/>
      <c r="O56" s="1414"/>
      <c r="P56" s="1415">
        <f t="shared" si="56"/>
        <v>0</v>
      </c>
      <c r="Q56" s="35"/>
      <c r="S56" s="1546"/>
      <c r="T56" s="67"/>
      <c r="U56" s="1112" t="str">
        <f t="shared" si="64"/>
        <v xml:space="preserve"> Anzahl Mitarbeiter</v>
      </c>
      <c r="V56" s="77"/>
      <c r="W56" s="77"/>
      <c r="X56" s="77"/>
      <c r="Y56" s="77"/>
      <c r="Z56" s="77"/>
      <c r="AA56" s="77"/>
      <c r="AB56" s="77"/>
      <c r="AC56" s="77"/>
      <c r="AD56" s="77"/>
      <c r="AE56" s="77"/>
      <c r="AF56" s="77"/>
      <c r="AG56" s="1009"/>
      <c r="AH56" s="1011"/>
      <c r="BA56" s="71">
        <v>0.19</v>
      </c>
      <c r="BB56" s="72" t="s">
        <v>469</v>
      </c>
      <c r="BC56" s="1254">
        <f t="shared" ref="BC56:BN58" si="67">IF($A56=$Q$2,D56*IF(OR($D$4=0,$D$4=3),$A56,$A56/(1+$A56)),0)</f>
        <v>0</v>
      </c>
      <c r="BD56" s="1254">
        <f t="shared" si="67"/>
        <v>0</v>
      </c>
      <c r="BE56" s="1254">
        <f t="shared" si="67"/>
        <v>0</v>
      </c>
      <c r="BF56" s="1254">
        <f t="shared" si="67"/>
        <v>0</v>
      </c>
      <c r="BG56" s="1254">
        <f t="shared" si="67"/>
        <v>0</v>
      </c>
      <c r="BH56" s="1254">
        <f t="shared" si="67"/>
        <v>0</v>
      </c>
      <c r="BI56" s="1254">
        <f t="shared" si="67"/>
        <v>0</v>
      </c>
      <c r="BJ56" s="1254">
        <f t="shared" si="67"/>
        <v>0</v>
      </c>
      <c r="BK56" s="1254">
        <f t="shared" si="67"/>
        <v>0</v>
      </c>
      <c r="BL56" s="1254">
        <f t="shared" si="67"/>
        <v>0</v>
      </c>
      <c r="BM56" s="1254">
        <f t="shared" si="67"/>
        <v>0</v>
      </c>
      <c r="BN56" s="1254">
        <f t="shared" si="67"/>
        <v>0</v>
      </c>
      <c r="BO56" s="1216">
        <f t="shared" si="58"/>
        <v>0</v>
      </c>
      <c r="BR56" s="71">
        <v>0.19</v>
      </c>
      <c r="BS56" s="72" t="s">
        <v>469</v>
      </c>
      <c r="BT56" s="1254">
        <f t="shared" ref="BT56:CE58" si="68">IF($A56=$Q$3,D56*IF(OR($D$4=0,$D$4=3),$A56,$A56/(1+$A56)),0)</f>
        <v>0</v>
      </c>
      <c r="BU56" s="1254">
        <f t="shared" si="68"/>
        <v>0</v>
      </c>
      <c r="BV56" s="1254">
        <f t="shared" si="68"/>
        <v>0</v>
      </c>
      <c r="BW56" s="1254">
        <f t="shared" si="68"/>
        <v>0</v>
      </c>
      <c r="BX56" s="1254">
        <f t="shared" si="68"/>
        <v>0</v>
      </c>
      <c r="BY56" s="1254">
        <f t="shared" si="68"/>
        <v>0</v>
      </c>
      <c r="BZ56" s="1254">
        <f t="shared" si="68"/>
        <v>0</v>
      </c>
      <c r="CA56" s="1254">
        <f t="shared" si="68"/>
        <v>0</v>
      </c>
      <c r="CB56" s="1254">
        <f t="shared" si="68"/>
        <v>0</v>
      </c>
      <c r="CC56" s="1254">
        <f t="shared" si="68"/>
        <v>0</v>
      </c>
      <c r="CD56" s="1254">
        <f t="shared" si="68"/>
        <v>0</v>
      </c>
      <c r="CE56" s="1254">
        <f t="shared" si="68"/>
        <v>0</v>
      </c>
      <c r="CF56" s="1216">
        <f>SUM(BT56:CE56)</f>
        <v>0</v>
      </c>
      <c r="CU56" s="1004"/>
      <c r="CV56" s="1004"/>
      <c r="CW56" s="987">
        <v>51</v>
      </c>
      <c r="CX56" s="991">
        <v>0.19</v>
      </c>
      <c r="CY56" s="919" t="s">
        <v>469</v>
      </c>
      <c r="CZ56" s="921" t="s">
        <v>472</v>
      </c>
      <c r="DA56" s="987">
        <v>51</v>
      </c>
      <c r="DB56" s="998">
        <f t="shared" si="10"/>
        <v>0.19</v>
      </c>
      <c r="DC56" s="994" t="str">
        <f t="shared" si="11"/>
        <v>Buchhaltung</v>
      </c>
      <c r="DD56" s="994" t="str">
        <f t="shared" si="12"/>
        <v xml:space="preserve">Bookkeeping </v>
      </c>
    </row>
    <row r="57" spans="1:108" x14ac:dyDescent="0.2">
      <c r="A57" s="70">
        <v>0.19</v>
      </c>
      <c r="B57" s="71">
        <f>IF($D$4&lt;&gt;1, A57,"")</f>
        <v>0.19</v>
      </c>
      <c r="C57" s="1413" t="str">
        <f t="shared" si="43"/>
        <v>Steuerberatung, Abschluss, Prüfung</v>
      </c>
      <c r="D57" s="1414"/>
      <c r="E57" s="1414"/>
      <c r="F57" s="1414"/>
      <c r="G57" s="1414"/>
      <c r="H57" s="1414"/>
      <c r="I57" s="1414"/>
      <c r="J57" s="1414"/>
      <c r="K57" s="1414"/>
      <c r="L57" s="1414"/>
      <c r="M57" s="1414"/>
      <c r="N57" s="1414"/>
      <c r="O57" s="1414"/>
      <c r="P57" s="1415">
        <f t="shared" si="56"/>
        <v>0</v>
      </c>
      <c r="Q57" s="35"/>
      <c r="S57" s="1546"/>
      <c r="T57" s="67"/>
      <c r="U57" s="1112" t="str">
        <f t="shared" si="64"/>
        <v>Gehalt2</v>
      </c>
      <c r="V57" s="77"/>
      <c r="W57" s="77"/>
      <c r="X57" s="77"/>
      <c r="Y57" s="77"/>
      <c r="Z57" s="77"/>
      <c r="AA57" s="77"/>
      <c r="AB57" s="77"/>
      <c r="AC57" s="77"/>
      <c r="AD57" s="77"/>
      <c r="AE57" s="77"/>
      <c r="AF57" s="77"/>
      <c r="AG57" s="1009"/>
      <c r="AH57" s="1011"/>
      <c r="BA57" s="71">
        <v>0.19</v>
      </c>
      <c r="BB57" s="72" t="s">
        <v>470</v>
      </c>
      <c r="BC57" s="1254">
        <f t="shared" si="67"/>
        <v>0</v>
      </c>
      <c r="BD57" s="1254">
        <f t="shared" si="67"/>
        <v>0</v>
      </c>
      <c r="BE57" s="1254">
        <f t="shared" si="67"/>
        <v>0</v>
      </c>
      <c r="BF57" s="1254">
        <f t="shared" si="67"/>
        <v>0</v>
      </c>
      <c r="BG57" s="1254">
        <f t="shared" si="67"/>
        <v>0</v>
      </c>
      <c r="BH57" s="1254">
        <f t="shared" si="67"/>
        <v>0</v>
      </c>
      <c r="BI57" s="1254">
        <f t="shared" si="67"/>
        <v>0</v>
      </c>
      <c r="BJ57" s="1254">
        <f t="shared" si="67"/>
        <v>0</v>
      </c>
      <c r="BK57" s="1254">
        <f t="shared" si="67"/>
        <v>0</v>
      </c>
      <c r="BL57" s="1254">
        <f t="shared" si="67"/>
        <v>0</v>
      </c>
      <c r="BM57" s="1254">
        <f t="shared" si="67"/>
        <v>0</v>
      </c>
      <c r="BN57" s="1254">
        <f t="shared" si="67"/>
        <v>0</v>
      </c>
      <c r="BO57" s="1216">
        <f t="shared" si="58"/>
        <v>0</v>
      </c>
      <c r="BR57" s="71">
        <v>0.19</v>
      </c>
      <c r="BS57" s="72" t="s">
        <v>470</v>
      </c>
      <c r="BT57" s="1254">
        <f t="shared" si="68"/>
        <v>0</v>
      </c>
      <c r="BU57" s="1254">
        <f t="shared" si="68"/>
        <v>0</v>
      </c>
      <c r="BV57" s="1254">
        <f t="shared" si="68"/>
        <v>0</v>
      </c>
      <c r="BW57" s="1254">
        <f t="shared" si="68"/>
        <v>0</v>
      </c>
      <c r="BX57" s="1254">
        <f t="shared" si="68"/>
        <v>0</v>
      </c>
      <c r="BY57" s="1254">
        <f t="shared" si="68"/>
        <v>0</v>
      </c>
      <c r="BZ57" s="1254">
        <f t="shared" si="68"/>
        <v>0</v>
      </c>
      <c r="CA57" s="1254">
        <f t="shared" si="68"/>
        <v>0</v>
      </c>
      <c r="CB57" s="1254">
        <f t="shared" si="68"/>
        <v>0</v>
      </c>
      <c r="CC57" s="1254">
        <f t="shared" si="68"/>
        <v>0</v>
      </c>
      <c r="CD57" s="1254">
        <f t="shared" si="68"/>
        <v>0</v>
      </c>
      <c r="CE57" s="1254">
        <f t="shared" si="68"/>
        <v>0</v>
      </c>
      <c r="CF57" s="1216">
        <f>SUM(BT57:CE57)</f>
        <v>0</v>
      </c>
      <c r="CU57" s="1004"/>
      <c r="CV57" s="1004"/>
      <c r="CW57" s="987">
        <v>52</v>
      </c>
      <c r="CX57" s="991">
        <v>0.19</v>
      </c>
      <c r="CY57" s="919" t="s">
        <v>470</v>
      </c>
      <c r="CZ57" s="921" t="s">
        <v>634</v>
      </c>
      <c r="DA57" s="987">
        <v>52</v>
      </c>
      <c r="DB57" s="998">
        <f t="shared" si="10"/>
        <v>0.19</v>
      </c>
      <c r="DC57" s="994" t="str">
        <f t="shared" si="11"/>
        <v>Steuerberatung, Abschluss, Prüfung</v>
      </c>
      <c r="DD57" s="994" t="str">
        <f t="shared" si="12"/>
        <v>Tax advice, annual accounts, accounts audit</v>
      </c>
    </row>
    <row r="58" spans="1:108" x14ac:dyDescent="0.2">
      <c r="A58" s="1412">
        <v>0.19</v>
      </c>
      <c r="B58" s="71"/>
      <c r="C58" s="1416" t="s">
        <v>456</v>
      </c>
      <c r="D58" s="1417"/>
      <c r="E58" s="1417"/>
      <c r="F58" s="1417"/>
      <c r="G58" s="1417"/>
      <c r="H58" s="1417"/>
      <c r="I58" s="1417"/>
      <c r="J58" s="1417"/>
      <c r="K58" s="1417"/>
      <c r="L58" s="1417"/>
      <c r="M58" s="1417"/>
      <c r="N58" s="1417"/>
      <c r="O58" s="1417"/>
      <c r="P58" s="1418">
        <f t="shared" si="56"/>
        <v>0</v>
      </c>
      <c r="Q58" s="35"/>
      <c r="S58" s="1546"/>
      <c r="T58" s="67"/>
      <c r="U58" s="1112" t="str">
        <f t="shared" si="64"/>
        <v xml:space="preserve"> Anzahl Mitarbeiter</v>
      </c>
      <c r="V58" s="77"/>
      <c r="W58" s="77"/>
      <c r="X58" s="77"/>
      <c r="Y58" s="77"/>
      <c r="Z58" s="77"/>
      <c r="AA58" s="77"/>
      <c r="AB58" s="77"/>
      <c r="AC58" s="77"/>
      <c r="AD58" s="77"/>
      <c r="AE58" s="77"/>
      <c r="AF58" s="77"/>
      <c r="AG58" s="1009"/>
      <c r="AH58" s="1011"/>
      <c r="BA58" s="71"/>
      <c r="BB58" s="1100" t="s">
        <v>456</v>
      </c>
      <c r="BC58" s="1254">
        <f t="shared" si="67"/>
        <v>0</v>
      </c>
      <c r="BD58" s="1254">
        <f t="shared" si="67"/>
        <v>0</v>
      </c>
      <c r="BE58" s="1254">
        <f t="shared" si="67"/>
        <v>0</v>
      </c>
      <c r="BF58" s="1254">
        <f t="shared" si="67"/>
        <v>0</v>
      </c>
      <c r="BG58" s="1254">
        <f t="shared" si="67"/>
        <v>0</v>
      </c>
      <c r="BH58" s="1254">
        <f t="shared" si="67"/>
        <v>0</v>
      </c>
      <c r="BI58" s="1254">
        <f t="shared" si="67"/>
        <v>0</v>
      </c>
      <c r="BJ58" s="1254">
        <f t="shared" si="67"/>
        <v>0</v>
      </c>
      <c r="BK58" s="1254">
        <f t="shared" si="67"/>
        <v>0</v>
      </c>
      <c r="BL58" s="1254">
        <f t="shared" si="67"/>
        <v>0</v>
      </c>
      <c r="BM58" s="1254">
        <f t="shared" si="67"/>
        <v>0</v>
      </c>
      <c r="BN58" s="1254">
        <f t="shared" si="67"/>
        <v>0</v>
      </c>
      <c r="BO58" s="1216">
        <f t="shared" si="58"/>
        <v>0</v>
      </c>
      <c r="BR58" s="71"/>
      <c r="BS58" s="1060" t="s">
        <v>456</v>
      </c>
      <c r="BT58" s="1254">
        <f t="shared" si="68"/>
        <v>0</v>
      </c>
      <c r="BU58" s="1254">
        <f t="shared" si="68"/>
        <v>0</v>
      </c>
      <c r="BV58" s="1254">
        <f t="shared" si="68"/>
        <v>0</v>
      </c>
      <c r="BW58" s="1254">
        <f t="shared" si="68"/>
        <v>0</v>
      </c>
      <c r="BX58" s="1254">
        <f t="shared" si="68"/>
        <v>0</v>
      </c>
      <c r="BY58" s="1254">
        <f t="shared" si="68"/>
        <v>0</v>
      </c>
      <c r="BZ58" s="1254">
        <f t="shared" si="68"/>
        <v>0</v>
      </c>
      <c r="CA58" s="1254">
        <f t="shared" si="68"/>
        <v>0</v>
      </c>
      <c r="CB58" s="1254">
        <f t="shared" si="68"/>
        <v>0</v>
      </c>
      <c r="CC58" s="1254">
        <f t="shared" si="68"/>
        <v>0</v>
      </c>
      <c r="CD58" s="1254">
        <f t="shared" si="68"/>
        <v>0</v>
      </c>
      <c r="CE58" s="1254">
        <f t="shared" si="68"/>
        <v>0</v>
      </c>
      <c r="CF58" s="1216">
        <f>SUM(BT58:CE58)</f>
        <v>0</v>
      </c>
      <c r="CU58" s="1004"/>
      <c r="CV58" s="1004"/>
      <c r="CW58" s="987">
        <v>53</v>
      </c>
      <c r="CX58" s="930">
        <v>7.0000000000000007E-2</v>
      </c>
      <c r="CY58" s="920" t="s">
        <v>456</v>
      </c>
      <c r="CZ58" s="920" t="s">
        <v>458</v>
      </c>
      <c r="DA58" s="987">
        <v>53</v>
      </c>
      <c r="DB58" s="998">
        <f t="shared" si="10"/>
        <v>7.0000000000000007E-2</v>
      </c>
      <c r="DC58" s="994" t="str">
        <f t="shared" si="11"/>
        <v>Sonstiges</v>
      </c>
      <c r="DD58" s="994" t="str">
        <f t="shared" si="12"/>
        <v>Others</v>
      </c>
    </row>
    <row r="59" spans="1:108" ht="15" thickBot="1" x14ac:dyDescent="0.25">
      <c r="A59" s="926"/>
      <c r="B59" s="1475"/>
      <c r="C59" s="1476" t="str">
        <f t="shared" si="43"/>
        <v>Summe Rechts- und Beratungskosten</v>
      </c>
      <c r="D59" s="1477">
        <f>SUM(D56:D58)</f>
        <v>0</v>
      </c>
      <c r="E59" s="1477">
        <f t="shared" ref="E59:O59" si="69">SUM(E56:E58)</f>
        <v>0</v>
      </c>
      <c r="F59" s="1477">
        <f t="shared" si="69"/>
        <v>0</v>
      </c>
      <c r="G59" s="1477">
        <f t="shared" si="69"/>
        <v>0</v>
      </c>
      <c r="H59" s="1477">
        <f t="shared" si="69"/>
        <v>0</v>
      </c>
      <c r="I59" s="1477">
        <f t="shared" si="69"/>
        <v>0</v>
      </c>
      <c r="J59" s="1477">
        <f t="shared" si="69"/>
        <v>0</v>
      </c>
      <c r="K59" s="1477">
        <f t="shared" si="69"/>
        <v>0</v>
      </c>
      <c r="L59" s="1477">
        <f t="shared" si="69"/>
        <v>0</v>
      </c>
      <c r="M59" s="1477">
        <f t="shared" si="69"/>
        <v>0</v>
      </c>
      <c r="N59" s="1477">
        <f t="shared" si="69"/>
        <v>0</v>
      </c>
      <c r="O59" s="1477">
        <f t="shared" si="69"/>
        <v>0</v>
      </c>
      <c r="P59" s="1478">
        <f t="shared" si="56"/>
        <v>0</v>
      </c>
      <c r="Q59" s="35"/>
      <c r="S59" s="83"/>
      <c r="T59" s="67"/>
      <c r="U59" s="1112" t="str">
        <f t="shared" si="64"/>
        <v>Gehalt3</v>
      </c>
      <c r="V59" s="77"/>
      <c r="W59" s="77"/>
      <c r="X59" s="77"/>
      <c r="Y59" s="77"/>
      <c r="Z59" s="77"/>
      <c r="AA59" s="77"/>
      <c r="AB59" s="77"/>
      <c r="AC59" s="77"/>
      <c r="AD59" s="77"/>
      <c r="AE59" s="77"/>
      <c r="AF59" s="77"/>
      <c r="AG59" s="1009"/>
      <c r="AH59" s="1011"/>
      <c r="BA59" s="80"/>
      <c r="BB59" s="97" t="s">
        <v>471</v>
      </c>
      <c r="BC59" s="1218">
        <f>SUM(BC56:BC58)</f>
        <v>0</v>
      </c>
      <c r="BD59" s="1218">
        <f t="shared" ref="BD59:BN59" si="70">SUM(BD56:BD58)</f>
        <v>0</v>
      </c>
      <c r="BE59" s="1218">
        <f t="shared" si="70"/>
        <v>0</v>
      </c>
      <c r="BF59" s="1218">
        <f t="shared" si="70"/>
        <v>0</v>
      </c>
      <c r="BG59" s="1218">
        <f t="shared" si="70"/>
        <v>0</v>
      </c>
      <c r="BH59" s="1218">
        <f t="shared" si="70"/>
        <v>0</v>
      </c>
      <c r="BI59" s="1218">
        <f t="shared" si="70"/>
        <v>0</v>
      </c>
      <c r="BJ59" s="1218">
        <f t="shared" si="70"/>
        <v>0</v>
      </c>
      <c r="BK59" s="1218">
        <f t="shared" si="70"/>
        <v>0</v>
      </c>
      <c r="BL59" s="1218">
        <f t="shared" si="70"/>
        <v>0</v>
      </c>
      <c r="BM59" s="1218">
        <f t="shared" si="70"/>
        <v>0</v>
      </c>
      <c r="BN59" s="1218">
        <f t="shared" si="70"/>
        <v>0</v>
      </c>
      <c r="BO59" s="1222">
        <f t="shared" si="58"/>
        <v>0</v>
      </c>
      <c r="BR59" s="80"/>
      <c r="BS59" s="97" t="s">
        <v>471</v>
      </c>
      <c r="BT59" s="1218">
        <f>SUM(BT56:BT58)</f>
        <v>0</v>
      </c>
      <c r="BU59" s="1218">
        <f t="shared" ref="BU59:CE59" si="71">SUM(BU56:BU58)</f>
        <v>0</v>
      </c>
      <c r="BV59" s="1218">
        <f t="shared" si="71"/>
        <v>0</v>
      </c>
      <c r="BW59" s="1218">
        <f t="shared" si="71"/>
        <v>0</v>
      </c>
      <c r="BX59" s="1218">
        <f t="shared" si="71"/>
        <v>0</v>
      </c>
      <c r="BY59" s="1218">
        <f t="shared" si="71"/>
        <v>0</v>
      </c>
      <c r="BZ59" s="1218">
        <f t="shared" si="71"/>
        <v>0</v>
      </c>
      <c r="CA59" s="1218">
        <f t="shared" si="71"/>
        <v>0</v>
      </c>
      <c r="CB59" s="1218">
        <f t="shared" si="71"/>
        <v>0</v>
      </c>
      <c r="CC59" s="1218">
        <f t="shared" si="71"/>
        <v>0</v>
      </c>
      <c r="CD59" s="1218">
        <f t="shared" si="71"/>
        <v>0</v>
      </c>
      <c r="CE59" s="1218">
        <f t="shared" si="71"/>
        <v>0</v>
      </c>
      <c r="CF59" s="1222">
        <f>SUM(BT59:CE59)</f>
        <v>0</v>
      </c>
      <c r="CU59" s="1004"/>
      <c r="CV59" s="1004"/>
      <c r="CW59" s="987">
        <v>54</v>
      </c>
      <c r="CX59" s="991"/>
      <c r="CY59" s="93" t="s">
        <v>471</v>
      </c>
      <c r="CZ59" s="921" t="s">
        <v>473</v>
      </c>
      <c r="DA59" s="987">
        <v>54</v>
      </c>
      <c r="DB59" s="998">
        <f t="shared" si="10"/>
        <v>0</v>
      </c>
      <c r="DC59" s="994" t="str">
        <f t="shared" si="11"/>
        <v>Summe Rechts- und Beratungskosten</v>
      </c>
      <c r="DD59" s="994" t="str">
        <f t="shared" si="12"/>
        <v>Sum legislation and consultancy fees</v>
      </c>
    </row>
    <row r="60" spans="1:108" ht="15" thickBot="1" x14ac:dyDescent="0.25">
      <c r="A60" s="926"/>
      <c r="B60" s="188">
        <v>9</v>
      </c>
      <c r="C60" s="62" t="str">
        <f t="shared" si="43"/>
        <v>Verschiedenes</v>
      </c>
      <c r="D60" s="1220"/>
      <c r="E60" s="1220"/>
      <c r="F60" s="1220"/>
      <c r="G60" s="1220"/>
      <c r="H60" s="1220"/>
      <c r="I60" s="1220"/>
      <c r="J60" s="1220"/>
      <c r="K60" s="1220"/>
      <c r="L60" s="1220"/>
      <c r="M60" s="1220"/>
      <c r="N60" s="1220"/>
      <c r="O60" s="1220"/>
      <c r="P60" s="1221"/>
      <c r="Q60" s="35"/>
      <c r="S60" s="90"/>
      <c r="T60" s="67"/>
      <c r="U60" s="1113" t="str">
        <f t="shared" si="64"/>
        <v>Nebenkosten (%)</v>
      </c>
      <c r="V60" s="1013"/>
      <c r="W60" s="1013"/>
      <c r="X60" s="1013"/>
      <c r="Y60" s="1013"/>
      <c r="Z60" s="1013"/>
      <c r="AA60" s="1013"/>
      <c r="AB60" s="1013"/>
      <c r="AC60" s="1013"/>
      <c r="AD60" s="1013"/>
      <c r="AE60" s="1013"/>
      <c r="AF60" s="1013"/>
      <c r="AG60" s="1014"/>
      <c r="AH60" s="1011"/>
      <c r="BA60" s="188">
        <v>9</v>
      </c>
      <c r="BB60" s="62" t="s">
        <v>34</v>
      </c>
      <c r="BC60" s="1220"/>
      <c r="BD60" s="1220"/>
      <c r="BE60" s="1220"/>
      <c r="BF60" s="1220"/>
      <c r="BG60" s="1220"/>
      <c r="BH60" s="1220"/>
      <c r="BI60" s="1220"/>
      <c r="BJ60" s="1220"/>
      <c r="BK60" s="1220"/>
      <c r="BL60" s="1220"/>
      <c r="BM60" s="1220"/>
      <c r="BN60" s="1220"/>
      <c r="BO60" s="1221"/>
      <c r="BR60" s="188">
        <v>9</v>
      </c>
      <c r="BS60" s="62" t="s">
        <v>34</v>
      </c>
      <c r="BT60" s="1220"/>
      <c r="BU60" s="1220"/>
      <c r="BV60" s="1220"/>
      <c r="BW60" s="1220"/>
      <c r="BX60" s="1220"/>
      <c r="BY60" s="1220"/>
      <c r="BZ60" s="1220"/>
      <c r="CA60" s="1220"/>
      <c r="CB60" s="1220"/>
      <c r="CC60" s="1220"/>
      <c r="CD60" s="1220"/>
      <c r="CE60" s="1220"/>
      <c r="CF60" s="1221"/>
      <c r="CU60" s="922"/>
      <c r="CV60" s="922"/>
      <c r="CW60" s="987">
        <v>55</v>
      </c>
      <c r="CX60" s="991"/>
      <c r="CY60" s="193" t="s">
        <v>34</v>
      </c>
      <c r="CZ60" s="921" t="s">
        <v>290</v>
      </c>
      <c r="DA60" s="987">
        <v>55</v>
      </c>
      <c r="DB60" s="998">
        <f t="shared" si="10"/>
        <v>0</v>
      </c>
      <c r="DC60" s="994" t="str">
        <f t="shared" si="11"/>
        <v>Verschiedenes</v>
      </c>
      <c r="DD60" s="994" t="str">
        <f t="shared" si="12"/>
        <v>Miscellaneous</v>
      </c>
    </row>
    <row r="61" spans="1:108" ht="15" thickBot="1" x14ac:dyDescent="0.25">
      <c r="A61" s="70">
        <v>0</v>
      </c>
      <c r="B61" s="71" t="str">
        <f>IF($D$4=-1, A61,"")</f>
        <v/>
      </c>
      <c r="C61" s="1413" t="str">
        <f t="shared" si="43"/>
        <v>Finanzaufwand / Zinsen *)</v>
      </c>
      <c r="D61" s="1419">
        <f>'7 Finanzierung|Financing'!D37</f>
        <v>0</v>
      </c>
      <c r="E61" s="1419">
        <f>'7 Finanzierung|Financing'!E37</f>
        <v>0</v>
      </c>
      <c r="F61" s="1419">
        <f>'7 Finanzierung|Financing'!F37</f>
        <v>0</v>
      </c>
      <c r="G61" s="1419">
        <f>'7 Finanzierung|Financing'!G37</f>
        <v>0</v>
      </c>
      <c r="H61" s="1419">
        <f>'7 Finanzierung|Financing'!H37</f>
        <v>0</v>
      </c>
      <c r="I61" s="1419">
        <f>'7 Finanzierung|Financing'!I37</f>
        <v>0</v>
      </c>
      <c r="J61" s="1419">
        <f>'7 Finanzierung|Financing'!J37</f>
        <v>0</v>
      </c>
      <c r="K61" s="1419">
        <f>'7 Finanzierung|Financing'!K37</f>
        <v>0</v>
      </c>
      <c r="L61" s="1419">
        <f>'7 Finanzierung|Financing'!L37</f>
        <v>0</v>
      </c>
      <c r="M61" s="1419">
        <f>'7 Finanzierung|Financing'!M37</f>
        <v>0</v>
      </c>
      <c r="N61" s="1419">
        <f>'7 Finanzierung|Financing'!N37</f>
        <v>0</v>
      </c>
      <c r="O61" s="1419">
        <f>'7 Finanzierung|Financing'!O37</f>
        <v>0</v>
      </c>
      <c r="P61" s="1420">
        <f t="shared" ref="P61:P66" si="72">SUM(D61:O61)</f>
        <v>0</v>
      </c>
      <c r="Q61" s="35"/>
      <c r="S61" s="1546"/>
      <c r="T61" s="67"/>
      <c r="U61" s="275" t="str">
        <f t="shared" si="64"/>
        <v>Personalkosten</v>
      </c>
      <c r="V61" s="1012">
        <f t="shared" ref="V61:AG61" si="73">((V54*V55)+(V56*V57)+(V58*V59))*(1+V60)</f>
        <v>0</v>
      </c>
      <c r="W61" s="1012">
        <f t="shared" si="73"/>
        <v>0</v>
      </c>
      <c r="X61" s="1012">
        <f t="shared" si="73"/>
        <v>0</v>
      </c>
      <c r="Y61" s="1012">
        <f t="shared" si="73"/>
        <v>0</v>
      </c>
      <c r="Z61" s="1012">
        <f t="shared" si="73"/>
        <v>0</v>
      </c>
      <c r="AA61" s="1012">
        <f t="shared" si="73"/>
        <v>0</v>
      </c>
      <c r="AB61" s="1012">
        <f t="shared" si="73"/>
        <v>0</v>
      </c>
      <c r="AC61" s="1012">
        <f t="shared" si="73"/>
        <v>0</v>
      </c>
      <c r="AD61" s="1012">
        <f t="shared" si="73"/>
        <v>0</v>
      </c>
      <c r="AE61" s="1012">
        <f t="shared" si="73"/>
        <v>0</v>
      </c>
      <c r="AF61" s="1012">
        <f t="shared" si="73"/>
        <v>0</v>
      </c>
      <c r="AG61" s="1015">
        <f t="shared" si="73"/>
        <v>0</v>
      </c>
      <c r="AH61" s="1016">
        <f>SUM(V61:AG61)</f>
        <v>0</v>
      </c>
      <c r="BA61" s="71" t="s">
        <v>590</v>
      </c>
      <c r="BB61" s="72" t="s">
        <v>474</v>
      </c>
      <c r="BC61" s="1254">
        <f t="shared" ref="BC61:BN65" si="74">IF($A61=$Q$2,D61*IF(OR($D$4=0,$D$4=3),$A61,$A61/(1+$A61)),0)</f>
        <v>0</v>
      </c>
      <c r="BD61" s="1254">
        <f t="shared" si="74"/>
        <v>0</v>
      </c>
      <c r="BE61" s="1254">
        <f t="shared" si="74"/>
        <v>0</v>
      </c>
      <c r="BF61" s="1254">
        <f t="shared" si="74"/>
        <v>0</v>
      </c>
      <c r="BG61" s="1254">
        <f t="shared" si="74"/>
        <v>0</v>
      </c>
      <c r="BH61" s="1254">
        <f t="shared" si="74"/>
        <v>0</v>
      </c>
      <c r="BI61" s="1254">
        <f t="shared" si="74"/>
        <v>0</v>
      </c>
      <c r="BJ61" s="1254">
        <f t="shared" si="74"/>
        <v>0</v>
      </c>
      <c r="BK61" s="1254">
        <f t="shared" si="74"/>
        <v>0</v>
      </c>
      <c r="BL61" s="1254">
        <f t="shared" si="74"/>
        <v>0</v>
      </c>
      <c r="BM61" s="1254">
        <f t="shared" si="74"/>
        <v>0</v>
      </c>
      <c r="BN61" s="1254">
        <f t="shared" si="74"/>
        <v>0</v>
      </c>
      <c r="BO61" s="1224">
        <f t="shared" ref="BO61:BO66" si="75">SUM(BC61:BN61)</f>
        <v>0</v>
      </c>
      <c r="BR61" s="71" t="s">
        <v>590</v>
      </c>
      <c r="BS61" s="72" t="s">
        <v>474</v>
      </c>
      <c r="BT61" s="1254">
        <f t="shared" ref="BT61:CE65" si="76">IF($A61=$Q$3,D61*IF(OR($D$4=0,$D$4=3),$A61,$A61/(1+$A61)),0)</f>
        <v>0</v>
      </c>
      <c r="BU61" s="1254">
        <f t="shared" si="76"/>
        <v>0</v>
      </c>
      <c r="BV61" s="1254">
        <f t="shared" si="76"/>
        <v>0</v>
      </c>
      <c r="BW61" s="1254">
        <f t="shared" si="76"/>
        <v>0</v>
      </c>
      <c r="BX61" s="1254">
        <f t="shared" si="76"/>
        <v>0</v>
      </c>
      <c r="BY61" s="1254">
        <f t="shared" si="76"/>
        <v>0</v>
      </c>
      <c r="BZ61" s="1254">
        <f t="shared" si="76"/>
        <v>0</v>
      </c>
      <c r="CA61" s="1254">
        <f t="shared" si="76"/>
        <v>0</v>
      </c>
      <c r="CB61" s="1254">
        <f t="shared" si="76"/>
        <v>0</v>
      </c>
      <c r="CC61" s="1254">
        <f t="shared" si="76"/>
        <v>0</v>
      </c>
      <c r="CD61" s="1254">
        <f t="shared" si="76"/>
        <v>0</v>
      </c>
      <c r="CE61" s="1254">
        <f t="shared" si="76"/>
        <v>0</v>
      </c>
      <c r="CF61" s="1224">
        <f t="shared" ref="CF61:CF66" si="77">SUM(BT61:CE61)</f>
        <v>0</v>
      </c>
      <c r="CU61" s="922"/>
      <c r="CV61" s="922"/>
      <c r="CW61" s="987">
        <v>56</v>
      </c>
      <c r="CX61" s="991">
        <v>0</v>
      </c>
      <c r="CY61" s="924" t="s">
        <v>474</v>
      </c>
      <c r="CZ61" s="921" t="s">
        <v>635</v>
      </c>
      <c r="DA61" s="987">
        <v>56</v>
      </c>
      <c r="DB61" s="998">
        <f t="shared" si="10"/>
        <v>0</v>
      </c>
      <c r="DC61" s="994" t="str">
        <f t="shared" si="11"/>
        <v>Finanzaufwand / Zinsen *)</v>
      </c>
      <c r="DD61" s="994" t="str">
        <f t="shared" si="12"/>
        <v>Finance costs /  interest *)</v>
      </c>
    </row>
    <row r="62" spans="1:108" x14ac:dyDescent="0.2">
      <c r="A62" s="70">
        <f>$Q$2</f>
        <v>0.19</v>
      </c>
      <c r="B62" s="71">
        <f>IF($D$4&lt;&gt;1, A62,"")</f>
        <v>0.19</v>
      </c>
      <c r="C62" s="1413" t="str">
        <f t="shared" si="43"/>
        <v>Reisekosten</v>
      </c>
      <c r="D62" s="1414"/>
      <c r="E62" s="1414"/>
      <c r="F62" s="1414"/>
      <c r="G62" s="1414"/>
      <c r="H62" s="1414"/>
      <c r="I62" s="1414"/>
      <c r="J62" s="1414"/>
      <c r="K62" s="1414"/>
      <c r="L62" s="1414"/>
      <c r="M62" s="1414"/>
      <c r="N62" s="1414"/>
      <c r="O62" s="1414"/>
      <c r="P62" s="1415">
        <f t="shared" si="72"/>
        <v>0</v>
      </c>
      <c r="Q62" s="35"/>
      <c r="S62" s="1546"/>
      <c r="T62" s="67"/>
      <c r="U62" s="34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1011"/>
      <c r="BA62" s="71">
        <v>0.19</v>
      </c>
      <c r="BB62" s="72" t="s">
        <v>121</v>
      </c>
      <c r="BC62" s="1254">
        <f t="shared" si="74"/>
        <v>0</v>
      </c>
      <c r="BD62" s="1254">
        <f t="shared" si="74"/>
        <v>0</v>
      </c>
      <c r="BE62" s="1254">
        <f t="shared" si="74"/>
        <v>0</v>
      </c>
      <c r="BF62" s="1254">
        <f t="shared" si="74"/>
        <v>0</v>
      </c>
      <c r="BG62" s="1254">
        <f t="shared" si="74"/>
        <v>0</v>
      </c>
      <c r="BH62" s="1254">
        <f t="shared" si="74"/>
        <v>0</v>
      </c>
      <c r="BI62" s="1254">
        <f t="shared" si="74"/>
        <v>0</v>
      </c>
      <c r="BJ62" s="1254">
        <f t="shared" si="74"/>
        <v>0</v>
      </c>
      <c r="BK62" s="1254">
        <f t="shared" si="74"/>
        <v>0</v>
      </c>
      <c r="BL62" s="1254">
        <f t="shared" si="74"/>
        <v>0</v>
      </c>
      <c r="BM62" s="1254">
        <f t="shared" si="74"/>
        <v>0</v>
      </c>
      <c r="BN62" s="1254">
        <f t="shared" si="74"/>
        <v>0</v>
      </c>
      <c r="BO62" s="1216">
        <f t="shared" si="75"/>
        <v>0</v>
      </c>
      <c r="BR62" s="71">
        <v>0.19</v>
      </c>
      <c r="BS62" s="72" t="s">
        <v>121</v>
      </c>
      <c r="BT62" s="1254">
        <f t="shared" si="76"/>
        <v>0</v>
      </c>
      <c r="BU62" s="1254">
        <f t="shared" si="76"/>
        <v>0</v>
      </c>
      <c r="BV62" s="1254">
        <f t="shared" si="76"/>
        <v>0</v>
      </c>
      <c r="BW62" s="1254">
        <f t="shared" si="76"/>
        <v>0</v>
      </c>
      <c r="BX62" s="1254">
        <f t="shared" si="76"/>
        <v>0</v>
      </c>
      <c r="BY62" s="1254">
        <f t="shared" si="76"/>
        <v>0</v>
      </c>
      <c r="BZ62" s="1254">
        <f t="shared" si="76"/>
        <v>0</v>
      </c>
      <c r="CA62" s="1254">
        <f t="shared" si="76"/>
        <v>0</v>
      </c>
      <c r="CB62" s="1254">
        <f t="shared" si="76"/>
        <v>0</v>
      </c>
      <c r="CC62" s="1254">
        <f t="shared" si="76"/>
        <v>0</v>
      </c>
      <c r="CD62" s="1254">
        <f t="shared" si="76"/>
        <v>0</v>
      </c>
      <c r="CE62" s="1254">
        <f t="shared" si="76"/>
        <v>0</v>
      </c>
      <c r="CF62" s="1216">
        <f t="shared" si="77"/>
        <v>0</v>
      </c>
      <c r="CU62" s="91"/>
      <c r="CV62" s="91"/>
      <c r="CW62" s="987">
        <v>57</v>
      </c>
      <c r="CX62" s="991">
        <f>$Q$2</f>
        <v>0.19</v>
      </c>
      <c r="CY62" s="919" t="s">
        <v>121</v>
      </c>
      <c r="CZ62" s="921" t="s">
        <v>264</v>
      </c>
      <c r="DA62" s="987">
        <v>57</v>
      </c>
      <c r="DB62" s="998">
        <f t="shared" si="10"/>
        <v>0.19</v>
      </c>
      <c r="DC62" s="994" t="str">
        <f t="shared" si="11"/>
        <v>Reisekosten</v>
      </c>
      <c r="DD62" s="994" t="str">
        <f t="shared" si="12"/>
        <v>Travel expenses</v>
      </c>
    </row>
    <row r="63" spans="1:108" x14ac:dyDescent="0.2">
      <c r="A63" s="70">
        <v>7.0000000000000007E-2</v>
      </c>
      <c r="B63" s="71">
        <f>IF($D$4&lt;&gt;1, A63,"")</f>
        <v>7.0000000000000007E-2</v>
      </c>
      <c r="C63" s="1413" t="str">
        <f t="shared" si="43"/>
        <v>Fachliteratur, Bücher</v>
      </c>
      <c r="D63" s="1414"/>
      <c r="E63" s="1414"/>
      <c r="F63" s="1414"/>
      <c r="G63" s="1414"/>
      <c r="H63" s="1414"/>
      <c r="I63" s="1414"/>
      <c r="J63" s="1414"/>
      <c r="K63" s="1414"/>
      <c r="L63" s="1414"/>
      <c r="M63" s="1414"/>
      <c r="N63" s="1414"/>
      <c r="O63" s="1414"/>
      <c r="P63" s="1415">
        <f t="shared" si="72"/>
        <v>0</v>
      </c>
      <c r="Q63" s="35"/>
      <c r="S63" s="1546"/>
      <c r="T63" s="67"/>
      <c r="U63" s="34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1011"/>
      <c r="BA63" s="71">
        <v>7.0000000000000007E-2</v>
      </c>
      <c r="BB63" s="72" t="s">
        <v>123</v>
      </c>
      <c r="BC63" s="1254">
        <f t="shared" si="74"/>
        <v>0</v>
      </c>
      <c r="BD63" s="1254">
        <f t="shared" si="74"/>
        <v>0</v>
      </c>
      <c r="BE63" s="1254">
        <f t="shared" si="74"/>
        <v>0</v>
      </c>
      <c r="BF63" s="1254">
        <f t="shared" si="74"/>
        <v>0</v>
      </c>
      <c r="BG63" s="1254">
        <f t="shared" si="74"/>
        <v>0</v>
      </c>
      <c r="BH63" s="1254">
        <f t="shared" si="74"/>
        <v>0</v>
      </c>
      <c r="BI63" s="1254">
        <f t="shared" si="74"/>
        <v>0</v>
      </c>
      <c r="BJ63" s="1254">
        <f t="shared" si="74"/>
        <v>0</v>
      </c>
      <c r="BK63" s="1254">
        <f t="shared" si="74"/>
        <v>0</v>
      </c>
      <c r="BL63" s="1254">
        <f t="shared" si="74"/>
        <v>0</v>
      </c>
      <c r="BM63" s="1254">
        <f t="shared" si="74"/>
        <v>0</v>
      </c>
      <c r="BN63" s="1254">
        <f t="shared" si="74"/>
        <v>0</v>
      </c>
      <c r="BO63" s="1216">
        <f t="shared" si="75"/>
        <v>0</v>
      </c>
      <c r="BR63" s="71">
        <v>7.0000000000000007E-2</v>
      </c>
      <c r="BS63" s="72" t="s">
        <v>123</v>
      </c>
      <c r="BT63" s="1254">
        <f t="shared" si="76"/>
        <v>0</v>
      </c>
      <c r="BU63" s="1254">
        <f t="shared" si="76"/>
        <v>0</v>
      </c>
      <c r="BV63" s="1254">
        <f t="shared" si="76"/>
        <v>0</v>
      </c>
      <c r="BW63" s="1254">
        <f t="shared" si="76"/>
        <v>0</v>
      </c>
      <c r="BX63" s="1254">
        <f t="shared" si="76"/>
        <v>0</v>
      </c>
      <c r="BY63" s="1254">
        <f t="shared" si="76"/>
        <v>0</v>
      </c>
      <c r="BZ63" s="1254">
        <f t="shared" si="76"/>
        <v>0</v>
      </c>
      <c r="CA63" s="1254">
        <f t="shared" si="76"/>
        <v>0</v>
      </c>
      <c r="CB63" s="1254">
        <f t="shared" si="76"/>
        <v>0</v>
      </c>
      <c r="CC63" s="1254">
        <f t="shared" si="76"/>
        <v>0</v>
      </c>
      <c r="CD63" s="1254">
        <f t="shared" si="76"/>
        <v>0</v>
      </c>
      <c r="CE63" s="1254">
        <f t="shared" si="76"/>
        <v>0</v>
      </c>
      <c r="CF63" s="1216">
        <f t="shared" si="77"/>
        <v>0</v>
      </c>
      <c r="CU63" s="1004"/>
      <c r="CV63" s="1004"/>
      <c r="CW63" s="987">
        <v>58</v>
      </c>
      <c r="CX63" s="991">
        <v>7.0000000000000007E-2</v>
      </c>
      <c r="CY63" s="919" t="s">
        <v>123</v>
      </c>
      <c r="CZ63" s="921" t="s">
        <v>636</v>
      </c>
      <c r="DA63" s="987">
        <v>58</v>
      </c>
      <c r="DB63" s="998">
        <f t="shared" si="10"/>
        <v>7.0000000000000007E-2</v>
      </c>
      <c r="DC63" s="994" t="str">
        <f t="shared" si="11"/>
        <v>Fachliteratur, Bücher</v>
      </c>
      <c r="DD63" s="994" t="str">
        <f t="shared" si="12"/>
        <v>Business literature</v>
      </c>
    </row>
    <row r="64" spans="1:108" x14ac:dyDescent="0.2">
      <c r="A64" s="70">
        <v>0.19</v>
      </c>
      <c r="B64" s="71">
        <f>IF($D$4&lt;&gt;1, A64,"")</f>
        <v>0.19</v>
      </c>
      <c r="C64" s="1413" t="str">
        <f t="shared" si="43"/>
        <v>Schulungen</v>
      </c>
      <c r="D64" s="1414"/>
      <c r="E64" s="1414"/>
      <c r="F64" s="1414"/>
      <c r="G64" s="1414"/>
      <c r="H64" s="1414"/>
      <c r="I64" s="1414"/>
      <c r="J64" s="1414"/>
      <c r="K64" s="1414"/>
      <c r="L64" s="1414"/>
      <c r="M64" s="1414"/>
      <c r="N64" s="1414"/>
      <c r="O64" s="1414"/>
      <c r="P64" s="1415">
        <f t="shared" si="72"/>
        <v>0</v>
      </c>
      <c r="Q64" s="35"/>
      <c r="S64" s="1546"/>
      <c r="T64" s="67"/>
      <c r="U64" s="34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1011"/>
      <c r="BA64" s="71">
        <v>0.19</v>
      </c>
      <c r="BB64" s="72" t="s">
        <v>475</v>
      </c>
      <c r="BC64" s="1254">
        <f t="shared" si="74"/>
        <v>0</v>
      </c>
      <c r="BD64" s="1254">
        <f t="shared" si="74"/>
        <v>0</v>
      </c>
      <c r="BE64" s="1254">
        <f t="shared" si="74"/>
        <v>0</v>
      </c>
      <c r="BF64" s="1254">
        <f t="shared" si="74"/>
        <v>0</v>
      </c>
      <c r="BG64" s="1254">
        <f t="shared" si="74"/>
        <v>0</v>
      </c>
      <c r="BH64" s="1254">
        <f t="shared" si="74"/>
        <v>0</v>
      </c>
      <c r="BI64" s="1254">
        <f t="shared" si="74"/>
        <v>0</v>
      </c>
      <c r="BJ64" s="1254">
        <f t="shared" si="74"/>
        <v>0</v>
      </c>
      <c r="BK64" s="1254">
        <f t="shared" si="74"/>
        <v>0</v>
      </c>
      <c r="BL64" s="1254">
        <f t="shared" si="74"/>
        <v>0</v>
      </c>
      <c r="BM64" s="1254">
        <f t="shared" si="74"/>
        <v>0</v>
      </c>
      <c r="BN64" s="1254">
        <f t="shared" si="74"/>
        <v>0</v>
      </c>
      <c r="BO64" s="1216">
        <f t="shared" si="75"/>
        <v>0</v>
      </c>
      <c r="BR64" s="71">
        <v>0.19</v>
      </c>
      <c r="BS64" s="72" t="s">
        <v>475</v>
      </c>
      <c r="BT64" s="1254">
        <f t="shared" si="76"/>
        <v>0</v>
      </c>
      <c r="BU64" s="1254">
        <f t="shared" si="76"/>
        <v>0</v>
      </c>
      <c r="BV64" s="1254">
        <f t="shared" si="76"/>
        <v>0</v>
      </c>
      <c r="BW64" s="1254">
        <f t="shared" si="76"/>
        <v>0</v>
      </c>
      <c r="BX64" s="1254">
        <f t="shared" si="76"/>
        <v>0</v>
      </c>
      <c r="BY64" s="1254">
        <f t="shared" si="76"/>
        <v>0</v>
      </c>
      <c r="BZ64" s="1254">
        <f t="shared" si="76"/>
        <v>0</v>
      </c>
      <c r="CA64" s="1254">
        <f t="shared" si="76"/>
        <v>0</v>
      </c>
      <c r="CB64" s="1254">
        <f t="shared" si="76"/>
        <v>0</v>
      </c>
      <c r="CC64" s="1254">
        <f t="shared" si="76"/>
        <v>0</v>
      </c>
      <c r="CD64" s="1254">
        <f t="shared" si="76"/>
        <v>0</v>
      </c>
      <c r="CE64" s="1254">
        <f t="shared" si="76"/>
        <v>0</v>
      </c>
      <c r="CF64" s="1216">
        <f t="shared" si="77"/>
        <v>0</v>
      </c>
      <c r="CU64" s="1004"/>
      <c r="CV64" s="1004"/>
      <c r="CW64" s="987">
        <v>59</v>
      </c>
      <c r="CX64" s="991">
        <v>0.19</v>
      </c>
      <c r="CY64" s="919" t="s">
        <v>475</v>
      </c>
      <c r="CZ64" s="38" t="s">
        <v>637</v>
      </c>
      <c r="DA64" s="987">
        <v>59</v>
      </c>
      <c r="DB64" s="998">
        <f t="shared" si="10"/>
        <v>0.19</v>
      </c>
      <c r="DC64" s="994" t="str">
        <f t="shared" si="11"/>
        <v>Schulungen</v>
      </c>
      <c r="DD64" s="994" t="str">
        <f t="shared" si="12"/>
        <v>Training</v>
      </c>
    </row>
    <row r="65" spans="1:122" x14ac:dyDescent="0.2">
      <c r="A65" s="1412">
        <v>0</v>
      </c>
      <c r="B65" s="71"/>
      <c r="C65" s="1416" t="s">
        <v>743</v>
      </c>
      <c r="D65" s="1417"/>
      <c r="E65" s="1417"/>
      <c r="F65" s="1417"/>
      <c r="G65" s="1417"/>
      <c r="H65" s="1417"/>
      <c r="I65" s="1417"/>
      <c r="J65" s="1417"/>
      <c r="K65" s="1417"/>
      <c r="L65" s="1417"/>
      <c r="M65" s="1417"/>
      <c r="N65" s="1417"/>
      <c r="O65" s="1417"/>
      <c r="P65" s="1418">
        <f t="shared" si="72"/>
        <v>0</v>
      </c>
      <c r="Q65" s="35"/>
      <c r="S65" s="1546"/>
      <c r="T65" s="67"/>
      <c r="U65" s="34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1011"/>
      <c r="BA65" s="71"/>
      <c r="BB65" s="1100" t="s">
        <v>456</v>
      </c>
      <c r="BC65" s="1254">
        <f t="shared" si="74"/>
        <v>0</v>
      </c>
      <c r="BD65" s="1254">
        <f t="shared" si="74"/>
        <v>0</v>
      </c>
      <c r="BE65" s="1254">
        <f t="shared" si="74"/>
        <v>0</v>
      </c>
      <c r="BF65" s="1254">
        <f t="shared" si="74"/>
        <v>0</v>
      </c>
      <c r="BG65" s="1254">
        <f t="shared" si="74"/>
        <v>0</v>
      </c>
      <c r="BH65" s="1254">
        <f t="shared" si="74"/>
        <v>0</v>
      </c>
      <c r="BI65" s="1254">
        <f t="shared" si="74"/>
        <v>0</v>
      </c>
      <c r="BJ65" s="1254">
        <f t="shared" si="74"/>
        <v>0</v>
      </c>
      <c r="BK65" s="1254">
        <f t="shared" si="74"/>
        <v>0</v>
      </c>
      <c r="BL65" s="1254">
        <f t="shared" si="74"/>
        <v>0</v>
      </c>
      <c r="BM65" s="1254">
        <f t="shared" si="74"/>
        <v>0</v>
      </c>
      <c r="BN65" s="1254">
        <f t="shared" si="74"/>
        <v>0</v>
      </c>
      <c r="BO65" s="1217">
        <f t="shared" si="75"/>
        <v>0</v>
      </c>
      <c r="BR65" s="71"/>
      <c r="BS65" s="1060" t="s">
        <v>456</v>
      </c>
      <c r="BT65" s="1254">
        <f t="shared" si="76"/>
        <v>0</v>
      </c>
      <c r="BU65" s="1254">
        <f t="shared" si="76"/>
        <v>0</v>
      </c>
      <c r="BV65" s="1254">
        <f t="shared" si="76"/>
        <v>0</v>
      </c>
      <c r="BW65" s="1254">
        <f t="shared" si="76"/>
        <v>0</v>
      </c>
      <c r="BX65" s="1254">
        <f t="shared" si="76"/>
        <v>0</v>
      </c>
      <c r="BY65" s="1254">
        <f t="shared" si="76"/>
        <v>0</v>
      </c>
      <c r="BZ65" s="1254">
        <f t="shared" si="76"/>
        <v>0</v>
      </c>
      <c r="CA65" s="1254">
        <f t="shared" si="76"/>
        <v>0</v>
      </c>
      <c r="CB65" s="1254">
        <f t="shared" si="76"/>
        <v>0</v>
      </c>
      <c r="CC65" s="1254">
        <f t="shared" si="76"/>
        <v>0</v>
      </c>
      <c r="CD65" s="1254">
        <f t="shared" si="76"/>
        <v>0</v>
      </c>
      <c r="CE65" s="1254">
        <f t="shared" si="76"/>
        <v>0</v>
      </c>
      <c r="CF65" s="1217">
        <f t="shared" si="77"/>
        <v>0</v>
      </c>
      <c r="CU65" s="1004"/>
      <c r="CV65" s="1004"/>
      <c r="CW65" s="987">
        <v>60</v>
      </c>
      <c r="CX65" s="930">
        <v>7.0000000000000007E-2</v>
      </c>
      <c r="CY65" s="920" t="s">
        <v>456</v>
      </c>
      <c r="CZ65" s="920" t="s">
        <v>458</v>
      </c>
      <c r="DA65" s="987">
        <v>60</v>
      </c>
      <c r="DB65" s="998">
        <f t="shared" si="10"/>
        <v>7.0000000000000007E-2</v>
      </c>
      <c r="DC65" s="994" t="str">
        <f t="shared" si="11"/>
        <v>Sonstiges</v>
      </c>
      <c r="DD65" s="994" t="str">
        <f t="shared" si="12"/>
        <v>Others</v>
      </c>
    </row>
    <row r="66" spans="1:122" ht="15" thickBot="1" x14ac:dyDescent="0.25">
      <c r="A66" s="926"/>
      <c r="B66" s="92"/>
      <c r="C66" s="97" t="str">
        <f t="shared" si="43"/>
        <v>Summe Verschiedenes</v>
      </c>
      <c r="D66" s="1225">
        <f>SUM(D61:D65)</f>
        <v>0</v>
      </c>
      <c r="E66" s="1226">
        <f t="shared" ref="E66:O66" si="78">SUM(E61:E65)</f>
        <v>0</v>
      </c>
      <c r="F66" s="1226">
        <f t="shared" si="78"/>
        <v>0</v>
      </c>
      <c r="G66" s="1226">
        <f t="shared" si="78"/>
        <v>0</v>
      </c>
      <c r="H66" s="1226">
        <f t="shared" si="78"/>
        <v>0</v>
      </c>
      <c r="I66" s="1226">
        <f t="shared" si="78"/>
        <v>0</v>
      </c>
      <c r="J66" s="1226">
        <f t="shared" si="78"/>
        <v>0</v>
      </c>
      <c r="K66" s="1226">
        <f t="shared" si="78"/>
        <v>0</v>
      </c>
      <c r="L66" s="1226">
        <f t="shared" si="78"/>
        <v>0</v>
      </c>
      <c r="M66" s="1226">
        <f t="shared" si="78"/>
        <v>0</v>
      </c>
      <c r="N66" s="1226">
        <f t="shared" si="78"/>
        <v>0</v>
      </c>
      <c r="O66" s="1226">
        <f t="shared" si="78"/>
        <v>0</v>
      </c>
      <c r="P66" s="1227">
        <f t="shared" si="72"/>
        <v>0</v>
      </c>
      <c r="Q66" s="35"/>
      <c r="S66" s="83"/>
      <c r="T66" s="67"/>
      <c r="U66" s="34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1011"/>
      <c r="BA66" s="92"/>
      <c r="BB66" s="97" t="s">
        <v>476</v>
      </c>
      <c r="BC66" s="1218">
        <f>SUM(BC61:BC65)</f>
        <v>0</v>
      </c>
      <c r="BD66" s="1218">
        <f t="shared" ref="BD66:BN66" si="79">SUM(BD61:BD65)</f>
        <v>0</v>
      </c>
      <c r="BE66" s="1218">
        <f t="shared" si="79"/>
        <v>0</v>
      </c>
      <c r="BF66" s="1218">
        <f t="shared" si="79"/>
        <v>0</v>
      </c>
      <c r="BG66" s="1218">
        <f t="shared" si="79"/>
        <v>0</v>
      </c>
      <c r="BH66" s="1218">
        <f t="shared" si="79"/>
        <v>0</v>
      </c>
      <c r="BI66" s="1218">
        <f t="shared" si="79"/>
        <v>0</v>
      </c>
      <c r="BJ66" s="1218">
        <f t="shared" si="79"/>
        <v>0</v>
      </c>
      <c r="BK66" s="1218">
        <f t="shared" si="79"/>
        <v>0</v>
      </c>
      <c r="BL66" s="1218">
        <f t="shared" si="79"/>
        <v>0</v>
      </c>
      <c r="BM66" s="1218">
        <f t="shared" si="79"/>
        <v>0</v>
      </c>
      <c r="BN66" s="1218">
        <f t="shared" si="79"/>
        <v>0</v>
      </c>
      <c r="BO66" s="1227">
        <f t="shared" si="75"/>
        <v>0</v>
      </c>
      <c r="BR66" s="92"/>
      <c r="BS66" s="97" t="s">
        <v>476</v>
      </c>
      <c r="BT66" s="1218">
        <f>SUM(BT61:BT65)</f>
        <v>0</v>
      </c>
      <c r="BU66" s="1218">
        <f t="shared" ref="BU66:CE66" si="80">SUM(BU61:BU65)</f>
        <v>0</v>
      </c>
      <c r="BV66" s="1218">
        <f t="shared" si="80"/>
        <v>0</v>
      </c>
      <c r="BW66" s="1218">
        <f t="shared" si="80"/>
        <v>0</v>
      </c>
      <c r="BX66" s="1218">
        <f t="shared" si="80"/>
        <v>0</v>
      </c>
      <c r="BY66" s="1218">
        <f t="shared" si="80"/>
        <v>0</v>
      </c>
      <c r="BZ66" s="1218">
        <f t="shared" si="80"/>
        <v>0</v>
      </c>
      <c r="CA66" s="1218">
        <f t="shared" si="80"/>
        <v>0</v>
      </c>
      <c r="CB66" s="1218">
        <f t="shared" si="80"/>
        <v>0</v>
      </c>
      <c r="CC66" s="1218">
        <f t="shared" si="80"/>
        <v>0</v>
      </c>
      <c r="CD66" s="1218">
        <f t="shared" si="80"/>
        <v>0</v>
      </c>
      <c r="CE66" s="1218">
        <f t="shared" si="80"/>
        <v>0</v>
      </c>
      <c r="CF66" s="1227">
        <f t="shared" si="77"/>
        <v>0</v>
      </c>
      <c r="CU66" s="1004"/>
      <c r="CV66" s="1004"/>
      <c r="CW66" s="987">
        <v>61</v>
      </c>
      <c r="CX66" s="991"/>
      <c r="CY66" s="97" t="s">
        <v>476</v>
      </c>
      <c r="CZ66" s="921" t="s">
        <v>285</v>
      </c>
      <c r="DA66" s="987">
        <v>61</v>
      </c>
      <c r="DB66" s="998">
        <f t="shared" si="10"/>
        <v>0</v>
      </c>
      <c r="DC66" s="994" t="str">
        <f t="shared" si="11"/>
        <v>Summe Verschiedenes</v>
      </c>
      <c r="DD66" s="994" t="str">
        <f t="shared" si="12"/>
        <v>Sum miscellaneous</v>
      </c>
    </row>
    <row r="67" spans="1:122" s="58" customFormat="1" ht="16.5" thickTop="1" thickBot="1" x14ac:dyDescent="0.25">
      <c r="A67" s="925"/>
      <c r="B67" s="101"/>
      <c r="C67" s="102" t="str">
        <f t="shared" si="43"/>
        <v>Summe Betriebskosten I</v>
      </c>
      <c r="D67" s="1228">
        <f>SUM(D6:D66)/2</f>
        <v>0</v>
      </c>
      <c r="E67" s="1228">
        <f t="shared" ref="E67:O67" si="81">SUM(E6:E66)/2</f>
        <v>0</v>
      </c>
      <c r="F67" s="1228">
        <f t="shared" si="81"/>
        <v>0</v>
      </c>
      <c r="G67" s="1228">
        <f t="shared" si="81"/>
        <v>0</v>
      </c>
      <c r="H67" s="1228">
        <f t="shared" si="81"/>
        <v>0</v>
      </c>
      <c r="I67" s="1228">
        <f t="shared" si="81"/>
        <v>0</v>
      </c>
      <c r="J67" s="1228">
        <f t="shared" si="81"/>
        <v>0</v>
      </c>
      <c r="K67" s="1228">
        <f t="shared" si="81"/>
        <v>0</v>
      </c>
      <c r="L67" s="1228">
        <f t="shared" si="81"/>
        <v>0</v>
      </c>
      <c r="M67" s="1228">
        <f t="shared" si="81"/>
        <v>0</v>
      </c>
      <c r="N67" s="1228">
        <f t="shared" si="81"/>
        <v>0</v>
      </c>
      <c r="O67" s="1228">
        <f t="shared" si="81"/>
        <v>0</v>
      </c>
      <c r="P67" s="1229">
        <f>SUM(P6:P66)/2</f>
        <v>0</v>
      </c>
      <c r="Q67" s="1495" t="str">
        <f>IF(P67&lt;&gt;SUM(P7:P66)/2,"Fehler melden","")</f>
        <v/>
      </c>
      <c r="R67" s="55"/>
      <c r="S67" s="90"/>
      <c r="T67" s="10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  <c r="AG67" s="55"/>
      <c r="AH67" s="1011"/>
      <c r="AI67" s="55"/>
      <c r="AJ67" s="55"/>
      <c r="AK67" s="55"/>
      <c r="AL67" s="55"/>
      <c r="AM67" s="55"/>
      <c r="AN67" s="55"/>
      <c r="AO67" s="55"/>
      <c r="AP67" s="55"/>
      <c r="AQ67" s="55"/>
      <c r="AR67" s="55"/>
      <c r="AS67" s="55"/>
      <c r="AT67" s="55"/>
      <c r="AU67" s="55"/>
      <c r="AV67" s="55"/>
      <c r="AW67" s="55"/>
      <c r="AX67" s="55"/>
      <c r="AY67" s="55"/>
      <c r="AZ67" s="55"/>
      <c r="BA67" s="1253"/>
      <c r="BB67" s="110" t="str">
        <f>"Summe MwSt "&amp;$Q$2*100&amp;"%"</f>
        <v>Summe MwSt 19%</v>
      </c>
      <c r="BC67" s="1232">
        <f>SUM(BC6:BC66)/2</f>
        <v>0</v>
      </c>
      <c r="BD67" s="1232">
        <f t="shared" ref="BD67:BO67" si="82">SUM(BD6:BD66)/2</f>
        <v>0</v>
      </c>
      <c r="BE67" s="1232">
        <f t="shared" si="82"/>
        <v>0</v>
      </c>
      <c r="BF67" s="1232">
        <f t="shared" si="82"/>
        <v>0</v>
      </c>
      <c r="BG67" s="1232">
        <f t="shared" si="82"/>
        <v>0</v>
      </c>
      <c r="BH67" s="1232">
        <f t="shared" si="82"/>
        <v>0</v>
      </c>
      <c r="BI67" s="1232">
        <f t="shared" si="82"/>
        <v>0</v>
      </c>
      <c r="BJ67" s="1232">
        <f t="shared" si="82"/>
        <v>0</v>
      </c>
      <c r="BK67" s="1232">
        <f t="shared" si="82"/>
        <v>0</v>
      </c>
      <c r="BL67" s="1232">
        <f t="shared" si="82"/>
        <v>0</v>
      </c>
      <c r="BM67" s="1232">
        <f t="shared" si="82"/>
        <v>0</v>
      </c>
      <c r="BN67" s="1232">
        <f t="shared" si="82"/>
        <v>0</v>
      </c>
      <c r="BO67" s="1233">
        <f t="shared" si="82"/>
        <v>0</v>
      </c>
      <c r="BP67" s="155"/>
      <c r="BQ67" s="155"/>
      <c r="BR67" s="1253"/>
      <c r="BS67" s="110" t="str">
        <f>"Summe MwSt "&amp;$Q$3*100&amp;"%"</f>
        <v>Summe MwSt 7%</v>
      </c>
      <c r="BT67" s="1232">
        <f>SUM(BT6:BT66)/2</f>
        <v>0</v>
      </c>
      <c r="BU67" s="1232">
        <f t="shared" ref="BU67:CF67" si="83">SUM(BU6:BU66)/2</f>
        <v>0</v>
      </c>
      <c r="BV67" s="1232">
        <f t="shared" si="83"/>
        <v>0</v>
      </c>
      <c r="BW67" s="1232">
        <f t="shared" si="83"/>
        <v>0</v>
      </c>
      <c r="BX67" s="1232">
        <f t="shared" si="83"/>
        <v>0</v>
      </c>
      <c r="BY67" s="1232">
        <f t="shared" si="83"/>
        <v>0</v>
      </c>
      <c r="BZ67" s="1232">
        <f t="shared" si="83"/>
        <v>0</v>
      </c>
      <c r="CA67" s="1232">
        <f t="shared" si="83"/>
        <v>0</v>
      </c>
      <c r="CB67" s="1232">
        <f t="shared" si="83"/>
        <v>0</v>
      </c>
      <c r="CC67" s="1232">
        <f t="shared" si="83"/>
        <v>0</v>
      </c>
      <c r="CD67" s="1232">
        <f t="shared" si="83"/>
        <v>0</v>
      </c>
      <c r="CE67" s="1232">
        <f t="shared" si="83"/>
        <v>0</v>
      </c>
      <c r="CF67" s="1233">
        <f t="shared" si="83"/>
        <v>0</v>
      </c>
      <c r="CG67" s="55"/>
      <c r="CU67" s="1004"/>
      <c r="CV67" s="1004"/>
      <c r="CW67" s="985"/>
      <c r="CX67" s="990"/>
      <c r="CY67" s="951" t="s">
        <v>45</v>
      </c>
      <c r="CZ67" s="1066" t="s">
        <v>280</v>
      </c>
      <c r="DA67" s="1294"/>
      <c r="DB67" s="173"/>
      <c r="DC67" s="636"/>
      <c r="DD67" s="636"/>
      <c r="DE67" s="345"/>
      <c r="DF67" s="345"/>
      <c r="DG67" s="345"/>
      <c r="DH67" s="345"/>
      <c r="DI67" s="345"/>
      <c r="DJ67" s="345"/>
      <c r="DK67" s="345"/>
      <c r="DL67" s="345"/>
      <c r="DM67" s="345"/>
      <c r="DN67" s="345"/>
      <c r="DO67" s="345"/>
      <c r="DP67" s="345"/>
      <c r="DQ67" s="345"/>
      <c r="DR67" s="345"/>
    </row>
    <row r="68" spans="1:122" ht="15" thickBot="1" x14ac:dyDescent="0.25">
      <c r="B68" s="61"/>
      <c r="C68" s="106" t="str">
        <f t="shared" si="43"/>
        <v>Abschreibungen (aus "3 Anschaffungen|Investment")</v>
      </c>
      <c r="D68" s="1230">
        <f>'3 Anschaffungen|Investment'!E32</f>
        <v>0</v>
      </c>
      <c r="E68" s="1230">
        <f>'3 Anschaffungen|Investment'!F32</f>
        <v>0</v>
      </c>
      <c r="F68" s="1230">
        <f>'3 Anschaffungen|Investment'!G32</f>
        <v>0</v>
      </c>
      <c r="G68" s="1230">
        <f>'3 Anschaffungen|Investment'!H32</f>
        <v>0</v>
      </c>
      <c r="H68" s="1230">
        <f>'3 Anschaffungen|Investment'!I32</f>
        <v>0</v>
      </c>
      <c r="I68" s="1230">
        <f>'3 Anschaffungen|Investment'!J32</f>
        <v>0</v>
      </c>
      <c r="J68" s="1230">
        <f>'3 Anschaffungen|Investment'!K32</f>
        <v>0</v>
      </c>
      <c r="K68" s="1230">
        <f>'3 Anschaffungen|Investment'!L32</f>
        <v>0</v>
      </c>
      <c r="L68" s="1230">
        <f>'3 Anschaffungen|Investment'!M32</f>
        <v>0</v>
      </c>
      <c r="M68" s="1230">
        <f>'3 Anschaffungen|Investment'!N32</f>
        <v>0</v>
      </c>
      <c r="N68" s="1230">
        <f>'3 Anschaffungen|Investment'!O32</f>
        <v>0</v>
      </c>
      <c r="O68" s="1230">
        <f>'3 Anschaffungen|Investment'!P32</f>
        <v>0</v>
      </c>
      <c r="P68" s="1231">
        <f>SUM(D68:O68)</f>
        <v>0</v>
      </c>
      <c r="Q68" s="35"/>
      <c r="S68" s="90"/>
      <c r="T68" s="105"/>
      <c r="U68" s="34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1011"/>
      <c r="BA68" s="34"/>
      <c r="BB68" s="34"/>
      <c r="BC68" s="34"/>
      <c r="BD68" s="34"/>
      <c r="BE68" s="34"/>
      <c r="BF68" s="34"/>
      <c r="BG68" s="34"/>
      <c r="BH68" s="34"/>
      <c r="BI68" s="34"/>
      <c r="BJ68" s="34"/>
      <c r="BK68" s="34"/>
      <c r="BL68" s="34"/>
      <c r="BM68" s="34"/>
      <c r="BN68" s="34"/>
      <c r="BO68" s="34"/>
      <c r="CU68" s="1004"/>
      <c r="CV68" s="1004"/>
      <c r="CY68" s="957" t="s">
        <v>667</v>
      </c>
      <c r="CZ68" s="921" t="s">
        <v>666</v>
      </c>
      <c r="DA68" s="1294"/>
      <c r="DC68" s="636"/>
      <c r="DD68" s="636"/>
    </row>
    <row r="69" spans="1:122" s="58" customFormat="1" ht="16.5" thickTop="1" thickBot="1" x14ac:dyDescent="0.25">
      <c r="A69" s="925"/>
      <c r="B69" s="109"/>
      <c r="C69" s="110" t="str">
        <f t="shared" si="43"/>
        <v>Summe Betriebskosten II</v>
      </c>
      <c r="D69" s="1232">
        <f>SUM(D67:D68)</f>
        <v>0</v>
      </c>
      <c r="E69" s="1232">
        <f t="shared" ref="E69:P69" si="84">SUM(E67:E68)</f>
        <v>0</v>
      </c>
      <c r="F69" s="1232">
        <f>SUM(F67:F68)</f>
        <v>0</v>
      </c>
      <c r="G69" s="1232">
        <f t="shared" si="84"/>
        <v>0</v>
      </c>
      <c r="H69" s="1232">
        <f t="shared" si="84"/>
        <v>0</v>
      </c>
      <c r="I69" s="1232">
        <f t="shared" si="84"/>
        <v>0</v>
      </c>
      <c r="J69" s="1232">
        <f t="shared" si="84"/>
        <v>0</v>
      </c>
      <c r="K69" s="1232">
        <f t="shared" si="84"/>
        <v>0</v>
      </c>
      <c r="L69" s="1232">
        <f t="shared" si="84"/>
        <v>0</v>
      </c>
      <c r="M69" s="1232">
        <f t="shared" si="84"/>
        <v>0</v>
      </c>
      <c r="N69" s="1232">
        <f t="shared" si="84"/>
        <v>0</v>
      </c>
      <c r="O69" s="1232">
        <f t="shared" si="84"/>
        <v>0</v>
      </c>
      <c r="P69" s="1233">
        <f t="shared" si="84"/>
        <v>0</v>
      </c>
      <c r="Q69" s="35"/>
      <c r="R69" s="55"/>
      <c r="S69" s="90"/>
      <c r="T69" s="10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  <c r="AF69" s="55"/>
      <c r="AG69" s="55"/>
      <c r="AH69" s="1011"/>
      <c r="AI69" s="55"/>
      <c r="AJ69" s="55"/>
      <c r="AK69" s="55"/>
      <c r="AL69" s="55"/>
      <c r="AM69" s="55"/>
      <c r="AN69" s="55"/>
      <c r="AO69" s="55"/>
      <c r="AP69" s="55"/>
      <c r="AQ69" s="55"/>
      <c r="AR69" s="55"/>
      <c r="AS69" s="55"/>
      <c r="AT69" s="55"/>
      <c r="AU69" s="55"/>
      <c r="AV69" s="55"/>
      <c r="AW69" s="55"/>
      <c r="AX69" s="55"/>
      <c r="AY69" s="55"/>
      <c r="AZ69" s="34"/>
      <c r="BA69" s="34"/>
      <c r="BB69" s="34"/>
      <c r="BC69" s="34"/>
      <c r="BD69" s="34"/>
      <c r="BE69" s="34"/>
      <c r="BF69" s="34"/>
      <c r="BG69" s="34"/>
      <c r="BH69" s="34"/>
      <c r="BI69" s="34"/>
      <c r="BJ69" s="34"/>
      <c r="BK69" s="34"/>
      <c r="BL69" s="34"/>
      <c r="BM69" s="34"/>
      <c r="BN69" s="34"/>
      <c r="BO69" s="34"/>
      <c r="BP69" s="155"/>
      <c r="BQ69" s="155"/>
      <c r="BR69" s="155"/>
      <c r="BS69" s="155"/>
      <c r="BT69" s="55"/>
      <c r="BU69" s="55"/>
      <c r="BV69" s="55"/>
      <c r="BW69" s="55"/>
      <c r="BX69" s="55"/>
      <c r="BY69" s="55"/>
      <c r="BZ69" s="55"/>
      <c r="CA69" s="55"/>
      <c r="CB69" s="55"/>
      <c r="CC69" s="55"/>
      <c r="CD69" s="55"/>
      <c r="CE69" s="55"/>
      <c r="CF69" s="55"/>
      <c r="CG69" s="55"/>
      <c r="CU69" s="1004"/>
      <c r="CV69" s="1004"/>
      <c r="CW69" s="985"/>
      <c r="CX69" s="990"/>
      <c r="CY69" s="952" t="str">
        <f>"Summe Betriebskosten II"</f>
        <v>Summe Betriebskosten II</v>
      </c>
      <c r="CZ69" s="921" t="s">
        <v>449</v>
      </c>
      <c r="DA69" s="1294"/>
      <c r="DB69" s="173"/>
      <c r="DC69" s="636"/>
      <c r="DD69" s="636"/>
      <c r="DE69" s="345"/>
      <c r="DF69" s="345"/>
      <c r="DG69" s="345"/>
      <c r="DH69" s="345"/>
      <c r="DI69" s="345"/>
      <c r="DJ69" s="345"/>
      <c r="DK69" s="345"/>
      <c r="DL69" s="345"/>
      <c r="DM69" s="345"/>
      <c r="DN69" s="345"/>
      <c r="DO69" s="345"/>
      <c r="DP69" s="345"/>
      <c r="DQ69" s="345"/>
      <c r="DR69" s="345"/>
    </row>
    <row r="70" spans="1:122" x14ac:dyDescent="0.2">
      <c r="C70" s="32" t="str">
        <f t="shared" si="43"/>
        <v>*) wird aus Tabelle "Finanzierung" übernommen (auf ganze Euro gerundet!)</v>
      </c>
      <c r="D70" s="34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5"/>
      <c r="Q70" s="35"/>
      <c r="S70" s="90"/>
      <c r="U70" s="34"/>
      <c r="V70" s="37"/>
      <c r="W70" s="37"/>
      <c r="X70" s="37"/>
      <c r="Y70" s="37"/>
      <c r="Z70" s="37"/>
      <c r="AA70" s="37"/>
      <c r="AB70" s="37"/>
      <c r="AC70" s="37"/>
      <c r="AD70" s="37"/>
      <c r="AE70" s="37"/>
      <c r="AF70" s="37"/>
      <c r="AG70" s="37"/>
      <c r="AH70" s="1011"/>
      <c r="BA70" s="190"/>
      <c r="BB70" s="190"/>
      <c r="BO70" s="35"/>
      <c r="CU70" s="922"/>
      <c r="CV70" s="922"/>
      <c r="CY70" s="958" t="s">
        <v>108</v>
      </c>
      <c r="CZ70" s="922" t="s">
        <v>639</v>
      </c>
      <c r="DC70" s="197"/>
      <c r="DD70" s="197"/>
    </row>
    <row r="71" spans="1:122" x14ac:dyDescent="0.2">
      <c r="C71" s="34"/>
      <c r="D71" s="34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5"/>
      <c r="Q71" s="35"/>
      <c r="S71" s="113"/>
      <c r="U71" s="55"/>
      <c r="V71" s="37"/>
      <c r="W71" s="37"/>
      <c r="X71" s="37"/>
      <c r="Y71" s="37"/>
      <c r="Z71" s="37"/>
      <c r="AA71" s="37"/>
      <c r="AB71" s="37"/>
      <c r="AC71" s="37"/>
      <c r="AD71" s="37"/>
      <c r="AE71" s="37"/>
      <c r="AF71" s="37"/>
      <c r="AG71" s="37"/>
      <c r="AH71" s="37"/>
      <c r="BA71" s="190"/>
      <c r="BO71" s="67"/>
      <c r="CU71" s="39"/>
      <c r="CV71" s="39"/>
      <c r="CZ71" s="922"/>
      <c r="DC71" s="203"/>
      <c r="DD71" s="203"/>
    </row>
    <row r="72" spans="1:122" s="58" customFormat="1" ht="18.75" thickBot="1" x14ac:dyDescent="0.25">
      <c r="A72" s="925"/>
      <c r="B72" s="114"/>
      <c r="C72" s="115" t="str">
        <f>IF($C$2="English",CZ72,CY72)</f>
        <v>4a  Anhang: Ausweis der MwSt in EURO aus der Differenz zwischen den Tabellen 4a und 4c</v>
      </c>
      <c r="D72" s="116"/>
      <c r="E72" s="116"/>
      <c r="F72" s="116"/>
      <c r="G72" s="116"/>
      <c r="H72" s="116"/>
      <c r="I72" s="116"/>
      <c r="J72" s="116"/>
      <c r="K72" s="116"/>
      <c r="L72" s="116"/>
      <c r="M72" s="116"/>
      <c r="N72" s="116"/>
      <c r="O72" s="116"/>
      <c r="P72" s="105"/>
      <c r="Q72" s="35"/>
      <c r="R72" s="55"/>
      <c r="S72" s="117"/>
      <c r="T72" s="105"/>
      <c r="U72" s="55"/>
      <c r="V72" s="118"/>
      <c r="W72" s="118"/>
      <c r="X72" s="118"/>
      <c r="Y72" s="118"/>
      <c r="Z72" s="118"/>
      <c r="AA72" s="118"/>
      <c r="AB72" s="118"/>
      <c r="AC72" s="118"/>
      <c r="AD72" s="118"/>
      <c r="AE72" s="118"/>
      <c r="AF72" s="118"/>
      <c r="AG72" s="118"/>
      <c r="AH72" s="118"/>
      <c r="AI72" s="55"/>
      <c r="AJ72" s="55"/>
      <c r="AK72" s="55"/>
      <c r="AL72" s="55"/>
      <c r="AM72" s="55"/>
      <c r="AN72" s="55"/>
      <c r="AO72" s="55"/>
      <c r="AP72" s="55"/>
      <c r="AQ72" s="55"/>
      <c r="AR72" s="55"/>
      <c r="AS72" s="55"/>
      <c r="AT72" s="55"/>
      <c r="AU72" s="55"/>
      <c r="AV72" s="55"/>
      <c r="AW72" s="55"/>
      <c r="AX72" s="55"/>
      <c r="AY72" s="55"/>
      <c r="AZ72" s="55"/>
      <c r="BA72" s="1250"/>
      <c r="BB72" s="115"/>
      <c r="BC72" s="116"/>
      <c r="BD72" s="116"/>
      <c r="BE72" s="116"/>
      <c r="BF72" s="116"/>
      <c r="BG72" s="116"/>
      <c r="BH72" s="116"/>
      <c r="BI72" s="116"/>
      <c r="BJ72" s="116"/>
      <c r="BK72" s="116"/>
      <c r="BL72" s="116"/>
      <c r="BM72" s="116"/>
      <c r="BN72" s="67"/>
      <c r="BO72" s="67"/>
      <c r="BP72" s="67"/>
      <c r="BQ72" s="155"/>
      <c r="BR72" s="155"/>
      <c r="BS72" s="155"/>
      <c r="BT72" s="55"/>
      <c r="BU72" s="55"/>
      <c r="BV72" s="55"/>
      <c r="BW72" s="55"/>
      <c r="BX72" s="55"/>
      <c r="BY72" s="55"/>
      <c r="BZ72" s="55"/>
      <c r="CA72" s="55"/>
      <c r="CB72" s="55"/>
      <c r="CC72" s="55"/>
      <c r="CD72" s="55"/>
      <c r="CE72" s="55"/>
      <c r="CF72" s="55"/>
      <c r="CG72" s="55"/>
      <c r="CU72" s="39"/>
      <c r="CV72" s="39"/>
      <c r="CW72" s="985"/>
      <c r="CX72" s="990"/>
      <c r="CY72" s="959" t="s">
        <v>210</v>
      </c>
      <c r="CZ72" s="39" t="s">
        <v>638</v>
      </c>
      <c r="DA72" s="174"/>
      <c r="DB72" s="173"/>
      <c r="DC72" s="203"/>
      <c r="DD72" s="203"/>
      <c r="DE72" s="345"/>
      <c r="DF72" s="345"/>
      <c r="DG72" s="345"/>
      <c r="DH72" s="345"/>
      <c r="DI72" s="345"/>
      <c r="DJ72" s="345"/>
      <c r="DK72" s="345"/>
      <c r="DL72" s="345"/>
      <c r="DM72" s="345"/>
      <c r="DN72" s="345"/>
      <c r="DO72" s="345"/>
      <c r="DP72" s="345"/>
      <c r="DQ72" s="345"/>
      <c r="DR72" s="345"/>
    </row>
    <row r="73" spans="1:122" s="58" customFormat="1" x14ac:dyDescent="0.2">
      <c r="A73" s="925"/>
      <c r="B73" s="114"/>
      <c r="C73" s="119" t="str">
        <f>IF($C$2="Deutsch",CY74,IF($C$2="English",CZ74,DB74))&amp; "  "  &amp; $Q$2*100 &amp;"%"</f>
        <v>Summe der angefallenen MwSt  19%</v>
      </c>
      <c r="D73" s="120">
        <f>BC67</f>
        <v>0</v>
      </c>
      <c r="E73" s="120">
        <f t="shared" ref="E73:O73" si="85">BD67</f>
        <v>0</v>
      </c>
      <c r="F73" s="120">
        <f t="shared" si="85"/>
        <v>0</v>
      </c>
      <c r="G73" s="120">
        <f t="shared" si="85"/>
        <v>0</v>
      </c>
      <c r="H73" s="120">
        <f t="shared" si="85"/>
        <v>0</v>
      </c>
      <c r="I73" s="120">
        <f t="shared" si="85"/>
        <v>0</v>
      </c>
      <c r="J73" s="120">
        <f t="shared" si="85"/>
        <v>0</v>
      </c>
      <c r="K73" s="120">
        <f t="shared" si="85"/>
        <v>0</v>
      </c>
      <c r="L73" s="120">
        <f t="shared" si="85"/>
        <v>0</v>
      </c>
      <c r="M73" s="120">
        <f t="shared" si="85"/>
        <v>0</v>
      </c>
      <c r="N73" s="120">
        <f t="shared" si="85"/>
        <v>0</v>
      </c>
      <c r="O73" s="120">
        <f t="shared" si="85"/>
        <v>0</v>
      </c>
      <c r="P73" s="121">
        <f>SUM(D73:O73)</f>
        <v>0</v>
      </c>
      <c r="Q73" s="35"/>
      <c r="R73" s="55"/>
      <c r="S73" s="937"/>
      <c r="T73" s="55"/>
      <c r="U73" s="55"/>
      <c r="V73" s="118"/>
      <c r="W73" s="118"/>
      <c r="X73" s="118"/>
      <c r="Y73" s="118"/>
      <c r="Z73" s="118"/>
      <c r="AA73" s="118"/>
      <c r="AB73" s="118"/>
      <c r="AC73" s="118"/>
      <c r="AD73" s="118"/>
      <c r="AE73" s="118"/>
      <c r="AF73" s="118"/>
      <c r="AG73" s="118"/>
      <c r="AH73" s="118"/>
      <c r="AI73" s="55"/>
      <c r="AJ73" s="55"/>
      <c r="AK73" s="55"/>
      <c r="AL73" s="55"/>
      <c r="AM73" s="55"/>
      <c r="AN73" s="55"/>
      <c r="AO73" s="55"/>
      <c r="AP73" s="55"/>
      <c r="AQ73" s="55"/>
      <c r="AR73" s="55"/>
      <c r="AS73" s="55"/>
      <c r="AT73" s="55"/>
      <c r="AU73" s="55"/>
      <c r="AV73" s="55"/>
      <c r="AW73" s="55"/>
      <c r="AX73" s="55"/>
      <c r="AY73" s="55"/>
      <c r="AZ73" s="55"/>
      <c r="BA73" s="1250"/>
      <c r="BB73" s="1251"/>
      <c r="BC73" s="1252"/>
      <c r="BD73" s="1252"/>
      <c r="BE73" s="1252"/>
      <c r="BF73" s="1252"/>
      <c r="BG73" s="1252"/>
      <c r="BH73" s="1252"/>
      <c r="BI73" s="1252"/>
      <c r="BJ73" s="1252"/>
      <c r="BK73" s="1252"/>
      <c r="BL73" s="1252"/>
      <c r="BM73" s="1252"/>
      <c r="BN73" s="67"/>
      <c r="BO73" s="67"/>
      <c r="BP73" s="67"/>
      <c r="BQ73" s="155"/>
      <c r="BR73" s="155"/>
      <c r="BS73" s="155"/>
      <c r="BT73" s="55"/>
      <c r="BU73" s="55"/>
      <c r="BV73" s="55"/>
      <c r="BW73" s="55"/>
      <c r="BX73" s="55"/>
      <c r="BY73" s="55"/>
      <c r="BZ73" s="55"/>
      <c r="CA73" s="55"/>
      <c r="CB73" s="55"/>
      <c r="CC73" s="55"/>
      <c r="CD73" s="55"/>
      <c r="CE73" s="55"/>
      <c r="CF73" s="55"/>
      <c r="CG73" s="55"/>
      <c r="CU73" s="39"/>
      <c r="CV73" s="39"/>
      <c r="CW73" s="985"/>
      <c r="CX73" s="990"/>
      <c r="CY73" s="960" t="s">
        <v>259</v>
      </c>
      <c r="CZ73" s="39" t="s">
        <v>300</v>
      </c>
      <c r="DA73" s="174"/>
      <c r="DB73" s="173"/>
      <c r="DC73" s="203"/>
      <c r="DD73" s="203"/>
      <c r="DE73" s="345"/>
      <c r="DF73" s="345"/>
      <c r="DG73" s="345"/>
      <c r="DH73" s="345"/>
      <c r="DI73" s="345"/>
      <c r="DJ73" s="345"/>
      <c r="DK73" s="345"/>
      <c r="DL73" s="345"/>
      <c r="DM73" s="345"/>
      <c r="DN73" s="345"/>
      <c r="DO73" s="345"/>
      <c r="DP73" s="345"/>
      <c r="DQ73" s="345"/>
      <c r="DR73" s="345"/>
    </row>
    <row r="74" spans="1:122" s="58" customFormat="1" ht="15" thickBot="1" x14ac:dyDescent="0.25">
      <c r="A74" s="925"/>
      <c r="B74" s="114"/>
      <c r="C74" s="123" t="str">
        <f>IF($C$2="Deutsch",CY74,IF($C$2="English",CZ74,DB74))&amp; "  "  &amp; $Q$3*100 &amp;"%"</f>
        <v>Summe der angefallenen MwSt  7%</v>
      </c>
      <c r="D74" s="124">
        <f>BT67</f>
        <v>0</v>
      </c>
      <c r="E74" s="124">
        <f t="shared" ref="E74:O74" si="86">BU67</f>
        <v>0</v>
      </c>
      <c r="F74" s="124">
        <f t="shared" si="86"/>
        <v>0</v>
      </c>
      <c r="G74" s="124">
        <f t="shared" si="86"/>
        <v>0</v>
      </c>
      <c r="H74" s="124">
        <f t="shared" si="86"/>
        <v>0</v>
      </c>
      <c r="I74" s="124">
        <f t="shared" si="86"/>
        <v>0</v>
      </c>
      <c r="J74" s="124">
        <f t="shared" si="86"/>
        <v>0</v>
      </c>
      <c r="K74" s="124">
        <f t="shared" si="86"/>
        <v>0</v>
      </c>
      <c r="L74" s="124">
        <f t="shared" si="86"/>
        <v>0</v>
      </c>
      <c r="M74" s="124">
        <f t="shared" si="86"/>
        <v>0</v>
      </c>
      <c r="N74" s="124">
        <f t="shared" si="86"/>
        <v>0</v>
      </c>
      <c r="O74" s="124">
        <f t="shared" si="86"/>
        <v>0</v>
      </c>
      <c r="P74" s="125">
        <f>SUM(D74:O74)</f>
        <v>0</v>
      </c>
      <c r="Q74" s="35"/>
      <c r="R74" s="55"/>
      <c r="S74" s="122"/>
      <c r="T74" s="55"/>
      <c r="U74" s="55"/>
      <c r="V74" s="118"/>
      <c r="W74" s="118"/>
      <c r="X74" s="118"/>
      <c r="Y74" s="118"/>
      <c r="Z74" s="118"/>
      <c r="AA74" s="118"/>
      <c r="AB74" s="118"/>
      <c r="AC74" s="118"/>
      <c r="AD74" s="118"/>
      <c r="AE74" s="118"/>
      <c r="AF74" s="118"/>
      <c r="AG74" s="118"/>
      <c r="AH74" s="118"/>
      <c r="AI74" s="55"/>
      <c r="AJ74" s="55"/>
      <c r="AK74" s="55"/>
      <c r="AL74" s="55"/>
      <c r="AM74" s="55"/>
      <c r="AN74" s="55"/>
      <c r="AO74" s="55"/>
      <c r="AP74" s="55"/>
      <c r="AQ74" s="55"/>
      <c r="AR74" s="55"/>
      <c r="AS74" s="55"/>
      <c r="AT74" s="55"/>
      <c r="AU74" s="55"/>
      <c r="AV74" s="55"/>
      <c r="AW74" s="55"/>
      <c r="AX74" s="55"/>
      <c r="AY74" s="55"/>
      <c r="AZ74" s="55"/>
      <c r="BA74" s="1250"/>
      <c r="BB74" s="1251"/>
      <c r="BC74" s="1252"/>
      <c r="BD74" s="1252"/>
      <c r="BE74" s="1252"/>
      <c r="BF74" s="1252"/>
      <c r="BG74" s="1252"/>
      <c r="BH74" s="1252"/>
      <c r="BI74" s="1252"/>
      <c r="BJ74" s="1252"/>
      <c r="BK74" s="1252"/>
      <c r="BL74" s="1252"/>
      <c r="BM74" s="1252"/>
      <c r="BN74" s="67"/>
      <c r="BO74" s="67"/>
      <c r="BP74" s="67"/>
      <c r="BQ74" s="155"/>
      <c r="BR74" s="155"/>
      <c r="BS74" s="155"/>
      <c r="BT74" s="55"/>
      <c r="BU74" s="55"/>
      <c r="BV74" s="55"/>
      <c r="BW74" s="55"/>
      <c r="BX74" s="55"/>
      <c r="BY74" s="55"/>
      <c r="BZ74" s="55"/>
      <c r="CA74" s="55"/>
      <c r="CB74" s="55"/>
      <c r="CC74" s="55"/>
      <c r="CD74" s="55"/>
      <c r="CE74" s="55"/>
      <c r="CF74" s="55"/>
      <c r="CG74" s="55"/>
      <c r="CU74" s="39"/>
      <c r="CV74" s="39"/>
      <c r="CW74" s="985"/>
      <c r="CX74" s="990"/>
      <c r="CY74" s="960" t="s">
        <v>259</v>
      </c>
      <c r="CZ74" s="39" t="s">
        <v>300</v>
      </c>
      <c r="DA74" s="174"/>
      <c r="DB74" s="173"/>
      <c r="DC74" s="203"/>
      <c r="DD74" s="203"/>
      <c r="DE74" s="345"/>
      <c r="DF74" s="345"/>
      <c r="DG74" s="345"/>
      <c r="DH74" s="345"/>
      <c r="DI74" s="345"/>
      <c r="DJ74" s="345"/>
      <c r="DK74" s="345"/>
      <c r="DL74" s="345"/>
      <c r="DM74" s="345"/>
      <c r="DN74" s="345"/>
      <c r="DO74" s="345"/>
      <c r="DP74" s="345"/>
      <c r="DQ74" s="345"/>
      <c r="DR74" s="345"/>
    </row>
    <row r="75" spans="1:122" s="58" customFormat="1" ht="15.75" thickTop="1" thickBot="1" x14ac:dyDescent="0.25">
      <c r="A75" s="925"/>
      <c r="B75" s="114"/>
      <c r="C75" s="126" t="str">
        <f>IF($C$2="Deutsch",CY75,IF($C$2="English",CZ75,DB75))</f>
        <v>Gesamtsumme angefallener MwSt</v>
      </c>
      <c r="D75" s="127">
        <f>D74+D73</f>
        <v>0</v>
      </c>
      <c r="E75" s="127">
        <f t="shared" ref="E75:O75" si="87">E74+E73</f>
        <v>0</v>
      </c>
      <c r="F75" s="127">
        <f t="shared" si="87"/>
        <v>0</v>
      </c>
      <c r="G75" s="127">
        <f t="shared" si="87"/>
        <v>0</v>
      </c>
      <c r="H75" s="127">
        <f t="shared" si="87"/>
        <v>0</v>
      </c>
      <c r="I75" s="127">
        <f t="shared" si="87"/>
        <v>0</v>
      </c>
      <c r="J75" s="127">
        <f t="shared" si="87"/>
        <v>0</v>
      </c>
      <c r="K75" s="127">
        <f t="shared" si="87"/>
        <v>0</v>
      </c>
      <c r="L75" s="127">
        <f t="shared" si="87"/>
        <v>0</v>
      </c>
      <c r="M75" s="127">
        <f t="shared" si="87"/>
        <v>0</v>
      </c>
      <c r="N75" s="127">
        <f t="shared" si="87"/>
        <v>0</v>
      </c>
      <c r="O75" s="127">
        <f t="shared" si="87"/>
        <v>0</v>
      </c>
      <c r="P75" s="128">
        <f>SUM(D75:O75)</f>
        <v>0</v>
      </c>
      <c r="Q75" s="35"/>
      <c r="R75" s="55"/>
      <c r="S75" s="122"/>
      <c r="T75" s="55"/>
      <c r="U75" s="55"/>
      <c r="V75" s="118"/>
      <c r="W75" s="118"/>
      <c r="X75" s="118"/>
      <c r="Y75" s="118"/>
      <c r="Z75" s="118"/>
      <c r="AA75" s="118"/>
      <c r="AB75" s="118"/>
      <c r="AC75" s="118"/>
      <c r="AD75" s="118"/>
      <c r="AE75" s="118"/>
      <c r="AF75" s="118"/>
      <c r="AG75" s="118"/>
      <c r="AH75" s="118"/>
      <c r="AI75" s="55"/>
      <c r="AJ75" s="55"/>
      <c r="AK75" s="55"/>
      <c r="AL75" s="55"/>
      <c r="AM75" s="55"/>
      <c r="AN75" s="55"/>
      <c r="AO75" s="55"/>
      <c r="AP75" s="55"/>
      <c r="AQ75" s="55"/>
      <c r="AR75" s="55"/>
      <c r="AS75" s="55"/>
      <c r="AT75" s="55"/>
      <c r="AU75" s="55"/>
      <c r="AV75" s="55"/>
      <c r="AW75" s="55"/>
      <c r="AX75" s="55"/>
      <c r="AY75" s="55"/>
      <c r="AZ75" s="55"/>
      <c r="BA75" s="1250"/>
      <c r="BB75" s="1251"/>
      <c r="BC75" s="1252"/>
      <c r="BD75" s="1252"/>
      <c r="BE75" s="1252"/>
      <c r="BF75" s="1252"/>
      <c r="BG75" s="1252"/>
      <c r="BH75" s="1252"/>
      <c r="BI75" s="1252"/>
      <c r="BJ75" s="1252"/>
      <c r="BK75" s="1252"/>
      <c r="BL75" s="1252"/>
      <c r="BM75" s="1252"/>
      <c r="BN75" s="67"/>
      <c r="BO75" s="67"/>
      <c r="BP75" s="67"/>
      <c r="BQ75" s="155"/>
      <c r="BR75" s="155"/>
      <c r="BS75" s="155"/>
      <c r="BT75" s="55"/>
      <c r="BU75" s="55"/>
      <c r="BV75" s="55"/>
      <c r="BW75" s="55"/>
      <c r="BX75" s="55"/>
      <c r="BY75" s="55"/>
      <c r="BZ75" s="55"/>
      <c r="CA75" s="55"/>
      <c r="CB75" s="55"/>
      <c r="CC75" s="55"/>
      <c r="CD75" s="55"/>
      <c r="CE75" s="55"/>
      <c r="CF75" s="55"/>
      <c r="CG75" s="55"/>
      <c r="CU75" s="39"/>
      <c r="CV75" s="39"/>
      <c r="CW75" s="985"/>
      <c r="CX75" s="990"/>
      <c r="CY75" s="961" t="s">
        <v>141</v>
      </c>
      <c r="CZ75" s="39" t="s">
        <v>301</v>
      </c>
      <c r="DA75" s="174"/>
      <c r="DB75" s="173"/>
      <c r="DC75" s="203"/>
      <c r="DD75" s="203"/>
      <c r="DE75" s="345"/>
      <c r="DF75" s="345"/>
      <c r="DG75" s="345"/>
      <c r="DH75" s="345"/>
      <c r="DI75" s="345"/>
      <c r="DJ75" s="345"/>
      <c r="DK75" s="345"/>
      <c r="DL75" s="345"/>
      <c r="DM75" s="345"/>
      <c r="DN75" s="345"/>
      <c r="DO75" s="345"/>
      <c r="DP75" s="345"/>
      <c r="DQ75" s="345"/>
      <c r="DR75" s="345"/>
    </row>
    <row r="76" spans="1:122" s="135" customFormat="1" x14ac:dyDescent="0.2">
      <c r="A76" s="927"/>
      <c r="B76" s="129"/>
      <c r="C76" s="130"/>
      <c r="D76" s="130"/>
      <c r="E76" s="130"/>
      <c r="F76" s="130"/>
      <c r="G76" s="33" t="str">
        <f ca="1">IF($C$2="English",G78,G77)</f>
        <v>Betriebskosten II für das Jahr 2017 (ohne MwSt)</v>
      </c>
      <c r="H76" s="33"/>
      <c r="I76" s="33"/>
      <c r="J76" s="33" t="str">
        <f ca="1">IF($C$2="English",J78,J77)</f>
        <v>Betriebskosten II für die Jahre 2017 - 2021 (ohne MwSt)</v>
      </c>
      <c r="K76" s="33"/>
      <c r="L76" s="33"/>
      <c r="M76" s="33"/>
      <c r="N76" s="130"/>
      <c r="O76" s="130"/>
      <c r="P76" s="131"/>
      <c r="Q76" s="131"/>
      <c r="R76" s="132"/>
      <c r="S76" s="940"/>
      <c r="T76" s="130"/>
      <c r="U76" s="132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7"/>
      <c r="BB76" s="137"/>
      <c r="BC76" s="137"/>
      <c r="BD76" s="137"/>
      <c r="BE76" s="137"/>
      <c r="BF76" s="137"/>
      <c r="BG76" s="137"/>
      <c r="BH76" s="137"/>
      <c r="BI76" s="137"/>
      <c r="BJ76" s="137"/>
      <c r="BK76" s="137"/>
      <c r="BL76" s="137"/>
      <c r="BM76" s="137"/>
      <c r="BN76" s="67"/>
      <c r="BO76" s="67"/>
      <c r="BP76" s="67"/>
      <c r="BQ76" s="137"/>
      <c r="BR76" s="137"/>
      <c r="BS76" s="137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U76" s="1005"/>
      <c r="CV76" s="1005"/>
      <c r="CW76" s="910"/>
      <c r="CX76" s="993"/>
      <c r="CY76" s="962"/>
      <c r="CZ76" s="907"/>
      <c r="DA76" s="1295"/>
      <c r="DB76" s="999"/>
      <c r="DC76" s="639"/>
      <c r="DD76" s="639"/>
      <c r="DE76" s="638"/>
      <c r="DF76" s="638"/>
      <c r="DG76" s="638"/>
      <c r="DH76" s="638"/>
      <c r="DI76" s="638"/>
      <c r="DJ76" s="638"/>
      <c r="DK76" s="638"/>
      <c r="DL76" s="638"/>
      <c r="DM76" s="638"/>
      <c r="DN76" s="638"/>
      <c r="DO76" s="638"/>
      <c r="DP76" s="638"/>
      <c r="DQ76" s="638"/>
      <c r="DR76" s="638"/>
    </row>
    <row r="77" spans="1:122" s="135" customFormat="1" ht="15" x14ac:dyDescent="0.2">
      <c r="A77" s="927"/>
      <c r="B77" s="129"/>
      <c r="C77" s="130"/>
      <c r="D77" s="130"/>
      <c r="E77" s="130"/>
      <c r="F77" s="130"/>
      <c r="G77" s="33" t="str">
        <f ca="1">"Betriebskosten II für das Jahr " &amp;'1 Pers.Ausgaben|Pers Expenses'!C4&amp;" (" &amp; 'Deckblatt Gruender|Data Founder'!J1 &amp;  ")"</f>
        <v>Betriebskosten II für das Jahr 2017 (ohne MwSt)</v>
      </c>
      <c r="H77" s="33"/>
      <c r="I77" s="33"/>
      <c r="J77" s="33" t="str">
        <f ca="1">"Betriebskosten II für die Jahre " &amp;'1 Pers.Ausgaben|Pers Expenses'!$C$4 &amp; " - " &amp; '1 Pers.Ausgaben|Pers Expenses'!$C$4+4&amp; " (" &amp; 'Deckblatt Gruender|Data Founder'!$J$1 &amp; ")"</f>
        <v>Betriebskosten II für die Jahre 2017 - 2021 (ohne MwSt)</v>
      </c>
      <c r="K77" s="33"/>
      <c r="L77" s="33"/>
      <c r="M77" s="33"/>
      <c r="N77" s="130"/>
      <c r="O77" s="130"/>
      <c r="P77" s="131"/>
      <c r="Q77" s="131"/>
      <c r="R77" s="132"/>
      <c r="S77" s="136"/>
      <c r="T77" s="137"/>
      <c r="U77" s="137"/>
      <c r="V77" s="138"/>
      <c r="W77" s="138"/>
      <c r="X77" s="138"/>
      <c r="Y77" s="138"/>
      <c r="Z77" s="138"/>
      <c r="AA77" s="138"/>
      <c r="AB77" s="138"/>
      <c r="AC77" s="138"/>
      <c r="AD77" s="138"/>
      <c r="AE77" s="138"/>
      <c r="AF77" s="138"/>
      <c r="AG77" s="138"/>
      <c r="AH77" s="138"/>
      <c r="AI77" s="137"/>
      <c r="AJ77" s="137"/>
      <c r="AK77" s="137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7"/>
      <c r="BB77" s="137"/>
      <c r="BC77" s="137"/>
      <c r="BD77" s="137"/>
      <c r="BE77" s="137"/>
      <c r="BF77" s="137"/>
      <c r="BG77" s="137"/>
      <c r="BH77" s="137"/>
      <c r="BI77" s="137"/>
      <c r="BJ77" s="137"/>
      <c r="BK77" s="137"/>
      <c r="BL77" s="137"/>
      <c r="BM77" s="137"/>
      <c r="BN77" s="67"/>
      <c r="BO77" s="67"/>
      <c r="BP77" s="67"/>
      <c r="BQ77" s="137"/>
      <c r="BR77" s="137"/>
      <c r="BS77" s="137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U77" s="962"/>
      <c r="CV77" s="962"/>
      <c r="CW77" s="910"/>
      <c r="CX77" s="993"/>
      <c r="CY77" s="962"/>
      <c r="CZ77" s="955"/>
      <c r="DA77" s="1295"/>
      <c r="DB77" s="999"/>
      <c r="DC77" s="637"/>
      <c r="DD77" s="637"/>
      <c r="DE77" s="638"/>
      <c r="DF77" s="638"/>
      <c r="DG77" s="638"/>
      <c r="DH77" s="638"/>
      <c r="DI77" s="638"/>
      <c r="DJ77" s="638"/>
      <c r="DK77" s="638"/>
      <c r="DL77" s="638"/>
      <c r="DM77" s="638"/>
      <c r="DN77" s="638"/>
      <c r="DO77" s="638"/>
      <c r="DP77" s="638"/>
      <c r="DQ77" s="638"/>
      <c r="DR77" s="638"/>
    </row>
    <row r="78" spans="1:122" s="135" customFormat="1" x14ac:dyDescent="0.2">
      <c r="A78" s="927"/>
      <c r="B78" s="129"/>
      <c r="C78" s="130"/>
      <c r="D78" s="130"/>
      <c r="E78" s="130"/>
      <c r="F78" s="130"/>
      <c r="G78" s="33" t="str">
        <f ca="1">"Operation Expenses II for Year "&amp;'1 Pers.Ausgaben|Pers Expenses'!C4&amp;" ("&amp;'Deckblatt Gruender|Data Founder'!K1&amp;")"</f>
        <v>Operation Expenses II for Year 2017 (w/o VAT)</v>
      </c>
      <c r="H78" s="33"/>
      <c r="I78" s="33"/>
      <c r="J78" s="33" t="str">
        <f ca="1">"Operation Expense II  for Years " &amp;'1 Pers.Ausgaben|Pers Expenses'!$C$4 &amp; " - " &amp; '1 Pers.Ausgaben|Pers Expenses'!$C$4+4 &amp;" (" &amp; 'Deckblatt Gruender|Data Founder'!$K$1 &amp; ")"</f>
        <v>Operation Expense II  for Years 2017 - 2021 (w/o VAT)</v>
      </c>
      <c r="K78" s="33"/>
      <c r="L78" s="33"/>
      <c r="M78" s="33"/>
      <c r="N78" s="130"/>
      <c r="O78" s="130"/>
      <c r="P78" s="131"/>
      <c r="Q78" s="131"/>
      <c r="R78" s="132"/>
      <c r="S78" s="133"/>
      <c r="T78" s="130"/>
      <c r="U78" s="132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7"/>
      <c r="BB78" s="137"/>
      <c r="BC78" s="137"/>
      <c r="BD78" s="137"/>
      <c r="BE78" s="137"/>
      <c r="BF78" s="137"/>
      <c r="BG78" s="137"/>
      <c r="BH78" s="137"/>
      <c r="BI78" s="137"/>
      <c r="BJ78" s="137"/>
      <c r="BK78" s="137"/>
      <c r="BL78" s="137"/>
      <c r="BM78" s="137"/>
      <c r="BN78" s="137"/>
      <c r="BO78" s="131"/>
      <c r="BP78" s="137"/>
      <c r="BQ78" s="137"/>
      <c r="BR78" s="137"/>
      <c r="BS78" s="137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U78" s="1005"/>
      <c r="CV78" s="1005"/>
      <c r="CW78" s="910"/>
      <c r="CX78" s="993"/>
      <c r="CY78" s="962"/>
      <c r="CZ78" s="922"/>
      <c r="DA78" s="1295"/>
      <c r="DB78" s="999"/>
      <c r="DC78" s="639"/>
      <c r="DD78" s="639"/>
      <c r="DE78" s="638"/>
      <c r="DF78" s="638"/>
      <c r="DG78" s="638"/>
      <c r="DH78" s="638"/>
      <c r="DI78" s="638"/>
      <c r="DJ78" s="638"/>
      <c r="DK78" s="638"/>
      <c r="DL78" s="638"/>
      <c r="DM78" s="638"/>
      <c r="DN78" s="638"/>
      <c r="DO78" s="638"/>
      <c r="DP78" s="638"/>
      <c r="DQ78" s="638"/>
      <c r="DR78" s="638"/>
    </row>
    <row r="79" spans="1:122" ht="24.75" x14ac:dyDescent="0.2">
      <c r="B79" s="40" t="str">
        <f ca="1">IF($C$2="English",CZ79,CY79)</f>
        <v xml:space="preserve">4b Betriebskosten für die Jahre 2017 - 2021 in EUR (ohne MwSt) </v>
      </c>
      <c r="C79" s="34"/>
      <c r="D79" s="34"/>
      <c r="E79" s="34"/>
      <c r="F79" s="34"/>
      <c r="G79" s="33"/>
      <c r="H79" s="33"/>
      <c r="I79" s="33"/>
      <c r="J79" s="139"/>
      <c r="K79" s="33"/>
      <c r="L79" s="33"/>
      <c r="M79" s="45"/>
      <c r="N79" s="41"/>
      <c r="O79" s="41"/>
      <c r="P79" s="140"/>
      <c r="Q79" s="35"/>
      <c r="S79" s="113"/>
      <c r="U79" s="42" t="str">
        <f>IF($C$2="English",DD79,DC79)</f>
        <v>Nebenrechnung für andere Positionen</v>
      </c>
      <c r="V79" s="37"/>
      <c r="W79" s="37"/>
      <c r="X79" s="37"/>
      <c r="Y79" s="37"/>
      <c r="Z79" s="37"/>
      <c r="AA79" s="37"/>
      <c r="AB79" s="37"/>
      <c r="AC79" s="37"/>
      <c r="AD79" s="37"/>
      <c r="AE79" s="37"/>
      <c r="AF79" s="37"/>
      <c r="AG79" s="37"/>
      <c r="AH79" s="37"/>
      <c r="BO79" s="140"/>
      <c r="CU79" s="1006" t="s">
        <v>182</v>
      </c>
      <c r="CV79" s="1006" t="s">
        <v>503</v>
      </c>
      <c r="CY79" s="963" t="str">
        <f ca="1">"4b Betriebskosten für die Jahre " &amp;'1 Pers.Ausgaben|Pers Expenses'!$C$4&amp; " - " &amp; '1 Pers.Ausgaben|Pers Expenses'!$C$4+4 &amp;" in EUR" &amp; " (" &amp; IF(OR($D$4=1,$D$4=2),"mit MwSt","ohne MwSt")&amp; ") "</f>
        <v xml:space="preserve">4b Betriebskosten für die Jahre 2017 - 2021 in EUR (ohne MwSt) </v>
      </c>
      <c r="CZ79" s="410" t="str">
        <f ca="1">"4b Operating Expense for Years  " &amp;'1 Pers.Ausgaben|Pers Expenses'!$C$4&amp; " - " &amp; '1 Pers.Ausgaben|Pers Expenses'!$C$4+4 &amp;" in EUR" &amp; "  (" &amp; IF(OR($D$4=1,$D$4=2),"incl. VAT","w/o VAT")&amp; ") "&amp; ") "</f>
        <v xml:space="preserve">4b Operating Expense for Years  2017 - 2021 in EUR  (w/o VAT) ) </v>
      </c>
      <c r="DC79" s="640" t="s">
        <v>182</v>
      </c>
      <c r="DD79" s="640" t="s">
        <v>319</v>
      </c>
    </row>
    <row r="80" spans="1:122" ht="15" thickBot="1" x14ac:dyDescent="0.25">
      <c r="B80" s="44" t="str">
        <f>B4</f>
        <v xml:space="preserve">   ┌   MwSt-Satz der jeweiligen Kostenart</v>
      </c>
      <c r="C80" s="34"/>
      <c r="D80" s="33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5"/>
      <c r="Q80" s="35"/>
      <c r="S80" s="113"/>
      <c r="U80" s="34"/>
      <c r="V80" s="37"/>
      <c r="W80" s="37"/>
      <c r="X80" s="37"/>
      <c r="Y80" s="37"/>
      <c r="Z80" s="37"/>
      <c r="AA80" s="37"/>
      <c r="AB80" s="37"/>
      <c r="AC80" s="37"/>
      <c r="AD80" s="37"/>
      <c r="AE80" s="37"/>
      <c r="AF80" s="37"/>
      <c r="AG80" s="37"/>
      <c r="AH80" s="37"/>
      <c r="BO80" s="35"/>
      <c r="CU80" s="922"/>
      <c r="CV80" s="922"/>
      <c r="CY80" s="922" t="str">
        <f>IF($D$4=-1,"    ┌   MwSt-Satz der jeweiligen Kostenart","")</f>
        <v/>
      </c>
      <c r="CZ80" s="283"/>
      <c r="DC80" s="197"/>
      <c r="DD80" s="197"/>
    </row>
    <row r="81" spans="1:122" s="58" customFormat="1" ht="15" thickBot="1" x14ac:dyDescent="0.25">
      <c r="A81" s="925"/>
      <c r="B81" s="49" t="str">
        <f>B5</f>
        <v>No.</v>
      </c>
      <c r="C81" s="50" t="str">
        <f>C5</f>
        <v>Kostenart</v>
      </c>
      <c r="D81" s="51">
        <f ca="1">'1 Pers.Ausgaben|Pers Expenses'!$C$4</f>
        <v>2017</v>
      </c>
      <c r="E81" s="51">
        <f ca="1">D81+1</f>
        <v>2018</v>
      </c>
      <c r="F81" s="51">
        <f ca="1">E81+1</f>
        <v>2019</v>
      </c>
      <c r="G81" s="51">
        <f ca="1">F81+1</f>
        <v>2020</v>
      </c>
      <c r="H81" s="51">
        <f ca="1">G81+1</f>
        <v>2021</v>
      </c>
      <c r="I81" s="142"/>
      <c r="J81" s="55"/>
      <c r="K81" s="55"/>
      <c r="L81" s="55"/>
      <c r="M81" s="55"/>
      <c r="N81" s="55"/>
      <c r="O81" s="55"/>
      <c r="P81" s="55"/>
      <c r="Q81" s="35"/>
      <c r="R81" s="55"/>
      <c r="S81" s="113"/>
      <c r="T81" s="55"/>
      <c r="U81" s="56">
        <f ca="1">U5</f>
        <v>2017</v>
      </c>
      <c r="V81" s="57" t="str">
        <f t="shared" ref="V81:AG81" si="88">V53</f>
        <v>Jan.</v>
      </c>
      <c r="W81" s="57" t="str">
        <f t="shared" si="88"/>
        <v>Febr.</v>
      </c>
      <c r="X81" s="57" t="str">
        <f t="shared" si="88"/>
        <v>März</v>
      </c>
      <c r="Y81" s="57" t="str">
        <f t="shared" si="88"/>
        <v>April</v>
      </c>
      <c r="Z81" s="57" t="str">
        <f t="shared" si="88"/>
        <v>Mai</v>
      </c>
      <c r="AA81" s="57" t="str">
        <f t="shared" si="88"/>
        <v>Juni</v>
      </c>
      <c r="AB81" s="57" t="str">
        <f t="shared" si="88"/>
        <v>Juli</v>
      </c>
      <c r="AC81" s="57" t="str">
        <f t="shared" si="88"/>
        <v>Aug.</v>
      </c>
      <c r="AD81" s="57" t="str">
        <f t="shared" si="88"/>
        <v>Sept.</v>
      </c>
      <c r="AE81" s="57" t="str">
        <f t="shared" si="88"/>
        <v>Okt.</v>
      </c>
      <c r="AF81" s="57" t="str">
        <f t="shared" si="88"/>
        <v>Nov.</v>
      </c>
      <c r="AG81" s="57" t="str">
        <f t="shared" si="88"/>
        <v>Dez.</v>
      </c>
      <c r="AH81" s="37"/>
      <c r="AI81" s="55"/>
      <c r="AJ81" s="55"/>
      <c r="AK81" s="55"/>
      <c r="AL81" s="55"/>
      <c r="AM81" s="55"/>
      <c r="AN81" s="55"/>
      <c r="AO81" s="55"/>
      <c r="AP81" s="55"/>
      <c r="AQ81" s="55"/>
      <c r="AR81" s="55"/>
      <c r="AS81" s="55"/>
      <c r="AT81" s="55"/>
      <c r="AU81" s="55"/>
      <c r="AV81" s="55"/>
      <c r="AW81" s="55"/>
      <c r="AX81" s="55"/>
      <c r="AY81" s="55"/>
      <c r="AZ81" s="55"/>
      <c r="BA81" s="49" t="str">
        <f>BA5</f>
        <v>No.</v>
      </c>
      <c r="BB81" s="50" t="str">
        <f>"MwSt "&amp;$Q$2*100&amp;"%"</f>
        <v>MwSt 19%</v>
      </c>
      <c r="BC81" s="51">
        <f ca="1">'1 Pers.Ausgaben|Pers Expenses'!$C$4</f>
        <v>2017</v>
      </c>
      <c r="BD81" s="51">
        <f ca="1">BC81+1</f>
        <v>2018</v>
      </c>
      <c r="BE81" s="51">
        <f ca="1">BD81+1</f>
        <v>2019</v>
      </c>
      <c r="BF81" s="51">
        <f ca="1">BE81+1</f>
        <v>2020</v>
      </c>
      <c r="BG81" s="52">
        <f ca="1">BF81+1</f>
        <v>2021</v>
      </c>
      <c r="BH81" s="155"/>
      <c r="BI81" s="155"/>
      <c r="BJ81" s="155"/>
      <c r="BK81" s="155"/>
      <c r="BL81" s="155"/>
      <c r="BM81" s="155"/>
      <c r="BN81" s="155"/>
      <c r="BO81" s="55"/>
      <c r="BP81" s="155"/>
      <c r="BQ81" s="155"/>
      <c r="BR81" s="49" t="str">
        <f>BR5</f>
        <v>No.</v>
      </c>
      <c r="BS81" s="50" t="str">
        <f>"MwSt "&amp;$Q$3*100&amp;"%"</f>
        <v>MwSt 7%</v>
      </c>
      <c r="BT81" s="51">
        <f ca="1">'1 Pers.Ausgaben|Pers Expenses'!$C$4</f>
        <v>2017</v>
      </c>
      <c r="BU81" s="51">
        <f ca="1">BT81+1</f>
        <v>2018</v>
      </c>
      <c r="BV81" s="51">
        <f ca="1">BU81+1</f>
        <v>2019</v>
      </c>
      <c r="BW81" s="51">
        <f ca="1">BV81+1</f>
        <v>2020</v>
      </c>
      <c r="BX81" s="52">
        <f ca="1">BW81+1</f>
        <v>2021</v>
      </c>
      <c r="BY81" s="55"/>
      <c r="BZ81" s="55"/>
      <c r="CA81" s="55"/>
      <c r="CB81" s="55"/>
      <c r="CC81" s="55"/>
      <c r="CD81" s="55"/>
      <c r="CE81" s="55"/>
      <c r="CF81" s="55"/>
      <c r="CG81" s="55"/>
      <c r="CU81" s="91"/>
      <c r="CV81" s="91"/>
      <c r="CW81" s="985"/>
      <c r="CX81" s="990"/>
      <c r="CY81" s="60"/>
      <c r="CZ81" s="922"/>
      <c r="DA81" s="174"/>
      <c r="DB81" s="173"/>
      <c r="DC81" s="463"/>
      <c r="DD81" s="463"/>
      <c r="DE81" s="345"/>
      <c r="DF81" s="345"/>
      <c r="DG81" s="345"/>
      <c r="DH81" s="345"/>
      <c r="DI81" s="345"/>
      <c r="DJ81" s="345"/>
      <c r="DK81" s="345"/>
      <c r="DL81" s="345"/>
      <c r="DM81" s="345"/>
      <c r="DN81" s="345"/>
      <c r="DO81" s="345"/>
      <c r="DP81" s="345"/>
      <c r="DQ81" s="345"/>
      <c r="DR81" s="345"/>
    </row>
    <row r="82" spans="1:122" x14ac:dyDescent="0.2">
      <c r="B82" s="185">
        <f t="shared" ref="A82:B87" si="89">B6</f>
        <v>1</v>
      </c>
      <c r="C82" s="1102" t="str">
        <f t="shared" ref="C82:C144" si="90">C6</f>
        <v>Bürokosten</v>
      </c>
      <c r="D82" s="63"/>
      <c r="E82" s="63"/>
      <c r="F82" s="63"/>
      <c r="G82" s="63"/>
      <c r="H82" s="63"/>
      <c r="I82" s="144"/>
      <c r="J82" s="34"/>
      <c r="K82" s="34"/>
      <c r="L82" s="34"/>
      <c r="M82" s="34"/>
      <c r="N82" s="34"/>
      <c r="O82" s="34"/>
      <c r="P82" s="34"/>
      <c r="Q82" s="35"/>
      <c r="S82" s="94"/>
      <c r="U82" s="145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7"/>
      <c r="AH82" s="148"/>
      <c r="BA82" s="185">
        <f t="shared" ref="BA82:BB97" si="91">BA6</f>
        <v>1</v>
      </c>
      <c r="BB82" s="1102" t="str">
        <f t="shared" si="91"/>
        <v>Bürokosten</v>
      </c>
      <c r="BC82" s="63"/>
      <c r="BD82" s="63"/>
      <c r="BE82" s="63"/>
      <c r="BF82" s="63"/>
      <c r="BG82" s="64"/>
      <c r="BO82" s="34"/>
      <c r="BR82" s="185">
        <f t="shared" ref="BR82:BS97" si="92">BR6</f>
        <v>1</v>
      </c>
      <c r="BS82" s="62" t="str">
        <f t="shared" si="92"/>
        <v>Bürokosten</v>
      </c>
      <c r="BT82" s="63"/>
      <c r="BU82" s="63"/>
      <c r="BV82" s="63"/>
      <c r="BW82" s="63"/>
      <c r="BX82" s="64"/>
      <c r="CU82" s="1007"/>
      <c r="CV82" s="1007"/>
      <c r="CY82" s="60"/>
      <c r="CZ82" s="283"/>
      <c r="DC82" s="641"/>
      <c r="DD82" s="641"/>
    </row>
    <row r="83" spans="1:122" x14ac:dyDescent="0.2">
      <c r="A83" s="70">
        <f t="shared" si="89"/>
        <v>0.19</v>
      </c>
      <c r="B83" s="71">
        <f t="shared" si="89"/>
        <v>0.19</v>
      </c>
      <c r="C83" s="1421" t="str">
        <f t="shared" si="90"/>
        <v>Raummiete</v>
      </c>
      <c r="D83" s="1422">
        <f t="shared" ref="D83:D145" si="93">P7</f>
        <v>0</v>
      </c>
      <c r="E83" s="1414"/>
      <c r="F83" s="1414"/>
      <c r="G83" s="1414"/>
      <c r="H83" s="1423"/>
      <c r="I83" s="144"/>
      <c r="J83" s="34"/>
      <c r="K83" s="34"/>
      <c r="L83" s="34"/>
      <c r="M83" s="34"/>
      <c r="N83" s="34"/>
      <c r="O83" s="34"/>
      <c r="P83" s="34"/>
      <c r="Q83" s="35"/>
      <c r="S83" s="1546"/>
      <c r="U83" s="149"/>
      <c r="V83" s="150"/>
      <c r="W83" s="150"/>
      <c r="X83" s="150"/>
      <c r="Y83" s="150"/>
      <c r="Z83" s="150"/>
      <c r="AA83" s="150"/>
      <c r="AB83" s="150"/>
      <c r="AC83" s="150"/>
      <c r="AD83" s="150"/>
      <c r="AE83" s="150"/>
      <c r="AF83" s="150"/>
      <c r="AG83" s="151"/>
      <c r="AH83" s="148"/>
      <c r="BA83" s="71">
        <f>BA7</f>
        <v>0.19</v>
      </c>
      <c r="BB83" s="1101" t="str">
        <f t="shared" si="91"/>
        <v>Raummiete</v>
      </c>
      <c r="BC83" s="1234">
        <f t="shared" ref="BC83:BC89" si="94">BO7</f>
        <v>0</v>
      </c>
      <c r="BD83" s="1254">
        <f t="shared" ref="BD83:BG88" si="95">IF($A83=$Q$2,E83*IF(OR($D$4=0,$D$4=3),$A83,$A83/(1+$A83)),0)</f>
        <v>0</v>
      </c>
      <c r="BE83" s="1254">
        <f t="shared" si="95"/>
        <v>0</v>
      </c>
      <c r="BF83" s="1254">
        <f t="shared" si="95"/>
        <v>0</v>
      </c>
      <c r="BG83" s="1254">
        <f t="shared" si="95"/>
        <v>0</v>
      </c>
      <c r="BO83" s="34"/>
      <c r="BR83" s="71">
        <f>BR7</f>
        <v>0.19</v>
      </c>
      <c r="BS83" s="72" t="str">
        <f t="shared" si="92"/>
        <v>Raummiete</v>
      </c>
      <c r="BT83" s="1234">
        <f t="shared" ref="BT83:BT89" si="96">CF7</f>
        <v>0</v>
      </c>
      <c r="BU83" s="1254">
        <f t="shared" ref="BU83:BX88" si="97">IF($A83=$Q$3,E83*IF(OR($D$4=0,$D$4=3),$A83,$A83/(1+$A83)),0)</f>
        <v>0</v>
      </c>
      <c r="BV83" s="1254">
        <f t="shared" si="97"/>
        <v>0</v>
      </c>
      <c r="BW83" s="1254">
        <f t="shared" si="97"/>
        <v>0</v>
      </c>
      <c r="BX83" s="1254">
        <f t="shared" si="97"/>
        <v>0</v>
      </c>
      <c r="CU83" s="1007"/>
      <c r="CV83" s="1007"/>
      <c r="CW83" s="986"/>
      <c r="CX83" s="991">
        <f t="shared" ref="CX83:CX88" si="98">CX7</f>
        <v>0.19</v>
      </c>
      <c r="CY83" s="60"/>
      <c r="CZ83" s="283"/>
      <c r="DC83" s="641"/>
      <c r="DD83" s="641"/>
    </row>
    <row r="84" spans="1:122" x14ac:dyDescent="0.2">
      <c r="A84" s="70">
        <f>A8</f>
        <v>0.19</v>
      </c>
      <c r="B84" s="71">
        <f t="shared" si="89"/>
        <v>0.19</v>
      </c>
      <c r="C84" s="1421" t="str">
        <f t="shared" si="90"/>
        <v>Strom, Wasser, Heizung, sonst. Nebenkosten</v>
      </c>
      <c r="D84" s="1422">
        <f t="shared" si="93"/>
        <v>0</v>
      </c>
      <c r="E84" s="1414"/>
      <c r="F84" s="1414"/>
      <c r="G84" s="1414"/>
      <c r="H84" s="1423"/>
      <c r="I84" s="144"/>
      <c r="J84" s="34"/>
      <c r="K84" s="34"/>
      <c r="L84" s="34"/>
      <c r="M84" s="34"/>
      <c r="N84" s="34"/>
      <c r="O84" s="34"/>
      <c r="P84" s="34"/>
      <c r="Q84" s="35"/>
      <c r="S84" s="1546"/>
      <c r="U84" s="149"/>
      <c r="V84" s="150"/>
      <c r="W84" s="150"/>
      <c r="X84" s="150"/>
      <c r="Y84" s="150"/>
      <c r="Z84" s="150"/>
      <c r="AA84" s="150"/>
      <c r="AB84" s="150"/>
      <c r="AC84" s="150"/>
      <c r="AD84" s="150"/>
      <c r="AE84" s="150"/>
      <c r="AF84" s="150"/>
      <c r="AG84" s="151"/>
      <c r="AH84" s="148"/>
      <c r="AI84" s="152"/>
      <c r="AJ84" s="152"/>
      <c r="BA84" s="71">
        <f>BA8</f>
        <v>0.19</v>
      </c>
      <c r="BB84" s="1101" t="str">
        <f t="shared" si="91"/>
        <v>Strom, Wasser, Heizung, sonst. Nebenkosten</v>
      </c>
      <c r="BC84" s="1234">
        <f t="shared" si="94"/>
        <v>0</v>
      </c>
      <c r="BD84" s="1254">
        <f t="shared" si="95"/>
        <v>0</v>
      </c>
      <c r="BE84" s="1254">
        <f t="shared" si="95"/>
        <v>0</v>
      </c>
      <c r="BF84" s="1254">
        <f t="shared" si="95"/>
        <v>0</v>
      </c>
      <c r="BG84" s="1254">
        <f t="shared" si="95"/>
        <v>0</v>
      </c>
      <c r="BO84" s="34"/>
      <c r="BR84" s="71">
        <f>BR8</f>
        <v>0.19</v>
      </c>
      <c r="BS84" s="72" t="str">
        <f t="shared" si="92"/>
        <v>Strom, Wasser, Heizung, sonst. Nebenkosten</v>
      </c>
      <c r="BT84" s="1234">
        <f t="shared" si="96"/>
        <v>0</v>
      </c>
      <c r="BU84" s="1254">
        <f t="shared" si="97"/>
        <v>0</v>
      </c>
      <c r="BV84" s="1254">
        <f t="shared" si="97"/>
        <v>0</v>
      </c>
      <c r="BW84" s="1254">
        <f t="shared" si="97"/>
        <v>0</v>
      </c>
      <c r="BX84" s="1254">
        <f t="shared" si="97"/>
        <v>0</v>
      </c>
      <c r="CU84" s="1007"/>
      <c r="CV84" s="1007"/>
      <c r="CW84" s="986"/>
      <c r="CX84" s="991">
        <f t="shared" si="98"/>
        <v>0.19</v>
      </c>
      <c r="CY84" s="60"/>
      <c r="CZ84" s="283"/>
      <c r="DC84" s="641"/>
      <c r="DD84" s="641"/>
    </row>
    <row r="85" spans="1:122" x14ac:dyDescent="0.2">
      <c r="A85" s="70">
        <f>A9</f>
        <v>0.19</v>
      </c>
      <c r="B85" s="71">
        <f t="shared" si="89"/>
        <v>0.19</v>
      </c>
      <c r="C85" s="1421" t="str">
        <f t="shared" si="90"/>
        <v>Telefon, Fax, Internet, Porto</v>
      </c>
      <c r="D85" s="1422">
        <f t="shared" si="93"/>
        <v>0</v>
      </c>
      <c r="E85" s="1414"/>
      <c r="F85" s="1414"/>
      <c r="G85" s="1414"/>
      <c r="H85" s="1423"/>
      <c r="I85" s="144"/>
      <c r="J85" s="34"/>
      <c r="K85" s="34"/>
      <c r="L85" s="34"/>
      <c r="M85" s="34"/>
      <c r="N85" s="34"/>
      <c r="O85" s="34"/>
      <c r="P85" s="34"/>
      <c r="Q85" s="35"/>
      <c r="S85" s="1546"/>
      <c r="U85" s="149"/>
      <c r="V85" s="150"/>
      <c r="W85" s="150"/>
      <c r="X85" s="150"/>
      <c r="Y85" s="150"/>
      <c r="Z85" s="150"/>
      <c r="AA85" s="150"/>
      <c r="AB85" s="150"/>
      <c r="AC85" s="150"/>
      <c r="AD85" s="150"/>
      <c r="AE85" s="150"/>
      <c r="AF85" s="150"/>
      <c r="AG85" s="151"/>
      <c r="AH85" s="153"/>
      <c r="AI85" s="154"/>
      <c r="AJ85" s="154"/>
      <c r="BA85" s="71">
        <f>BA9</f>
        <v>0.19</v>
      </c>
      <c r="BB85" s="1101" t="str">
        <f t="shared" si="91"/>
        <v>Telefon, Fax, Internet, Porto</v>
      </c>
      <c r="BC85" s="1234">
        <f t="shared" si="94"/>
        <v>0</v>
      </c>
      <c r="BD85" s="1254">
        <f t="shared" si="95"/>
        <v>0</v>
      </c>
      <c r="BE85" s="1254">
        <f t="shared" si="95"/>
        <v>0</v>
      </c>
      <c r="BF85" s="1254">
        <f t="shared" si="95"/>
        <v>0</v>
      </c>
      <c r="BG85" s="1254">
        <f t="shared" si="95"/>
        <v>0</v>
      </c>
      <c r="BO85" s="34"/>
      <c r="BR85" s="71">
        <f>BR9</f>
        <v>0.19</v>
      </c>
      <c r="BS85" s="72" t="str">
        <f t="shared" si="92"/>
        <v>Telefon, Fax, Internet, Porto</v>
      </c>
      <c r="BT85" s="1234">
        <f t="shared" si="96"/>
        <v>0</v>
      </c>
      <c r="BU85" s="1254">
        <f t="shared" si="97"/>
        <v>0</v>
      </c>
      <c r="BV85" s="1254">
        <f t="shared" si="97"/>
        <v>0</v>
      </c>
      <c r="BW85" s="1254">
        <f t="shared" si="97"/>
        <v>0</v>
      </c>
      <c r="BX85" s="1254">
        <f t="shared" si="97"/>
        <v>0</v>
      </c>
      <c r="CU85" s="1007"/>
      <c r="CV85" s="1007"/>
      <c r="CW85" s="986"/>
      <c r="CX85" s="991">
        <f t="shared" si="98"/>
        <v>0.19</v>
      </c>
      <c r="CY85" s="60"/>
      <c r="CZ85" s="922"/>
      <c r="DC85" s="641"/>
      <c r="DD85" s="641"/>
    </row>
    <row r="86" spans="1:122" x14ac:dyDescent="0.2">
      <c r="A86" s="70">
        <f>A10</f>
        <v>0.19</v>
      </c>
      <c r="B86" s="71">
        <f t="shared" si="89"/>
        <v>0.19</v>
      </c>
      <c r="C86" s="1421" t="str">
        <f t="shared" si="90"/>
        <v>Geringw. Wirtschaftsgüter (Büromöbel, Einrichtungen,...)</v>
      </c>
      <c r="D86" s="1422">
        <f t="shared" si="93"/>
        <v>0</v>
      </c>
      <c r="E86" s="1414"/>
      <c r="F86" s="1414"/>
      <c r="G86" s="1414"/>
      <c r="H86" s="1423"/>
      <c r="I86" s="144"/>
      <c r="J86" s="34"/>
      <c r="K86" s="34"/>
      <c r="L86" s="34"/>
      <c r="M86" s="34"/>
      <c r="N86" s="34"/>
      <c r="O86" s="34"/>
      <c r="P86" s="34"/>
      <c r="Q86" s="35"/>
      <c r="S86" s="1546"/>
      <c r="U86" s="149"/>
      <c r="V86" s="150"/>
      <c r="W86" s="150"/>
      <c r="X86" s="150"/>
      <c r="Y86" s="150"/>
      <c r="Z86" s="150"/>
      <c r="AA86" s="150"/>
      <c r="AB86" s="150"/>
      <c r="AC86" s="150"/>
      <c r="AD86" s="150"/>
      <c r="AE86" s="150"/>
      <c r="AF86" s="150"/>
      <c r="AG86" s="151"/>
      <c r="AH86" s="153"/>
      <c r="AI86" s="155"/>
      <c r="AJ86" s="155"/>
      <c r="BA86" s="71">
        <f>BA10</f>
        <v>0.19</v>
      </c>
      <c r="BB86" s="1101" t="str">
        <f t="shared" si="91"/>
        <v>Geringw. Wirtschaftsgüter (Büromöbel, Einrichtungen,...)</v>
      </c>
      <c r="BC86" s="1234">
        <f t="shared" si="94"/>
        <v>0</v>
      </c>
      <c r="BD86" s="1254">
        <f t="shared" si="95"/>
        <v>0</v>
      </c>
      <c r="BE86" s="1254">
        <f t="shared" si="95"/>
        <v>0</v>
      </c>
      <c r="BF86" s="1254">
        <f t="shared" si="95"/>
        <v>0</v>
      </c>
      <c r="BG86" s="1254">
        <f t="shared" si="95"/>
        <v>0</v>
      </c>
      <c r="BO86" s="34"/>
      <c r="BR86" s="71">
        <f>BR10</f>
        <v>0.19</v>
      </c>
      <c r="BS86" s="72" t="str">
        <f t="shared" si="92"/>
        <v>Geringw. Wirtschaftsgüter (Büromöbel, Einrichtungen,...)</v>
      </c>
      <c r="BT86" s="1234">
        <f t="shared" si="96"/>
        <v>0</v>
      </c>
      <c r="BU86" s="1254">
        <f t="shared" si="97"/>
        <v>0</v>
      </c>
      <c r="BV86" s="1254">
        <f t="shared" si="97"/>
        <v>0</v>
      </c>
      <c r="BW86" s="1254">
        <f t="shared" si="97"/>
        <v>0</v>
      </c>
      <c r="BX86" s="1254">
        <f t="shared" si="97"/>
        <v>0</v>
      </c>
      <c r="CU86" s="1007"/>
      <c r="CV86" s="1007"/>
      <c r="CW86" s="986"/>
      <c r="CX86" s="991">
        <f t="shared" si="98"/>
        <v>0.19</v>
      </c>
      <c r="CY86" s="60"/>
      <c r="CZ86" s="1369"/>
      <c r="DC86" s="641"/>
      <c r="DD86" s="641"/>
    </row>
    <row r="87" spans="1:122" ht="15" thickBot="1" x14ac:dyDescent="0.25">
      <c r="A87" s="70">
        <f>A11</f>
        <v>0.19</v>
      </c>
      <c r="B87" s="71">
        <f t="shared" si="89"/>
        <v>0.19</v>
      </c>
      <c r="C87" s="1421" t="str">
        <f t="shared" si="90"/>
        <v>IT (Lizenzen, Windows, Office, Wartung)</v>
      </c>
      <c r="D87" s="1422">
        <f t="shared" si="93"/>
        <v>0</v>
      </c>
      <c r="E87" s="1414"/>
      <c r="F87" s="1414"/>
      <c r="G87" s="1414"/>
      <c r="H87" s="1423"/>
      <c r="I87" s="144"/>
      <c r="J87" s="34"/>
      <c r="K87" s="34"/>
      <c r="L87" s="34"/>
      <c r="M87" s="34"/>
      <c r="N87" s="34"/>
      <c r="O87" s="34"/>
      <c r="P87" s="34"/>
      <c r="Q87" s="35"/>
      <c r="S87" s="1546"/>
      <c r="U87" s="149"/>
      <c r="V87" s="156"/>
      <c r="W87" s="156"/>
      <c r="X87" s="156"/>
      <c r="Y87" s="156"/>
      <c r="Z87" s="156"/>
      <c r="AA87" s="156"/>
      <c r="AB87" s="156"/>
      <c r="AC87" s="156"/>
      <c r="AD87" s="156"/>
      <c r="AE87" s="156"/>
      <c r="AF87" s="156"/>
      <c r="AG87" s="157"/>
      <c r="AH87" s="153"/>
      <c r="AI87" s="67"/>
      <c r="AJ87" s="67"/>
      <c r="BA87" s="71">
        <f>BA11</f>
        <v>0.19</v>
      </c>
      <c r="BB87" s="1101" t="str">
        <f t="shared" si="91"/>
        <v>IT (Lizenzen, Windows, Office, Wartung)</v>
      </c>
      <c r="BC87" s="1234">
        <f t="shared" si="94"/>
        <v>0</v>
      </c>
      <c r="BD87" s="1254">
        <f t="shared" si="95"/>
        <v>0</v>
      </c>
      <c r="BE87" s="1254">
        <f t="shared" si="95"/>
        <v>0</v>
      </c>
      <c r="BF87" s="1254">
        <f t="shared" si="95"/>
        <v>0</v>
      </c>
      <c r="BG87" s="1254">
        <f t="shared" si="95"/>
        <v>0</v>
      </c>
      <c r="BO87" s="34"/>
      <c r="BR87" s="71">
        <f>BR11</f>
        <v>0.19</v>
      </c>
      <c r="BS87" s="72" t="str">
        <f t="shared" si="92"/>
        <v>IT (Lizenzen, Windows, Office, Wartung)</v>
      </c>
      <c r="BT87" s="1234">
        <f t="shared" si="96"/>
        <v>0</v>
      </c>
      <c r="BU87" s="1254">
        <f t="shared" si="97"/>
        <v>0</v>
      </c>
      <c r="BV87" s="1254">
        <f t="shared" si="97"/>
        <v>0</v>
      </c>
      <c r="BW87" s="1254">
        <f t="shared" si="97"/>
        <v>0</v>
      </c>
      <c r="BX87" s="1254">
        <f t="shared" si="97"/>
        <v>0</v>
      </c>
      <c r="CU87" s="1007"/>
      <c r="CV87" s="1007"/>
      <c r="CW87" s="986"/>
      <c r="CX87" s="991">
        <f t="shared" si="98"/>
        <v>0.19</v>
      </c>
      <c r="CY87" s="60"/>
      <c r="CZ87" s="283"/>
      <c r="DC87" s="641"/>
      <c r="DD87" s="641"/>
    </row>
    <row r="88" spans="1:122" ht="15.75" thickTop="1" thickBot="1" x14ac:dyDescent="0.25">
      <c r="A88" s="70">
        <f>A12</f>
        <v>0.19</v>
      </c>
      <c r="B88" s="71">
        <f>A12</f>
        <v>0.19</v>
      </c>
      <c r="C88" s="1424" t="str">
        <f t="shared" si="90"/>
        <v>Studio-/ Büro-Miete inkl. Nebenkosten</v>
      </c>
      <c r="D88" s="1425">
        <f t="shared" si="93"/>
        <v>0</v>
      </c>
      <c r="E88" s="1417"/>
      <c r="F88" s="1417"/>
      <c r="G88" s="1417"/>
      <c r="H88" s="1417"/>
      <c r="I88" s="144"/>
      <c r="J88" s="34"/>
      <c r="K88" s="34"/>
      <c r="L88" s="34"/>
      <c r="M88" s="34"/>
      <c r="N88" s="34"/>
      <c r="O88" s="34"/>
      <c r="P88" s="34"/>
      <c r="Q88" s="35"/>
      <c r="S88" s="1546"/>
      <c r="U88" s="84" t="str">
        <f>IF($C$2="English",DD88,DC88)</f>
        <v>Gesamtsumme</v>
      </c>
      <c r="V88" s="159">
        <f>SUM(V82:V87)</f>
        <v>0</v>
      </c>
      <c r="W88" s="159">
        <f t="shared" ref="W88:AG88" si="99">SUM(W82:W87)</f>
        <v>0</v>
      </c>
      <c r="X88" s="159">
        <f t="shared" si="99"/>
        <v>0</v>
      </c>
      <c r="Y88" s="159">
        <f t="shared" si="99"/>
        <v>0</v>
      </c>
      <c r="Z88" s="159">
        <f t="shared" si="99"/>
        <v>0</v>
      </c>
      <c r="AA88" s="159">
        <f t="shared" si="99"/>
        <v>0</v>
      </c>
      <c r="AB88" s="159">
        <f t="shared" si="99"/>
        <v>0</v>
      </c>
      <c r="AC88" s="159">
        <f t="shared" si="99"/>
        <v>0</v>
      </c>
      <c r="AD88" s="159">
        <f t="shared" si="99"/>
        <v>0</v>
      </c>
      <c r="AE88" s="159">
        <f t="shared" si="99"/>
        <v>0</v>
      </c>
      <c r="AF88" s="159">
        <f t="shared" si="99"/>
        <v>0</v>
      </c>
      <c r="AG88" s="160">
        <f t="shared" si="99"/>
        <v>0</v>
      </c>
      <c r="AH88" s="161">
        <f>SUM(V88:AG88)</f>
        <v>0</v>
      </c>
      <c r="AI88" s="67"/>
      <c r="AJ88" s="67"/>
      <c r="BA88" s="71">
        <f>AZ12</f>
        <v>0</v>
      </c>
      <c r="BB88" s="1101" t="str">
        <f t="shared" si="91"/>
        <v>Sonstiges</v>
      </c>
      <c r="BC88" s="1235">
        <f t="shared" si="94"/>
        <v>0</v>
      </c>
      <c r="BD88" s="1254">
        <f t="shared" si="95"/>
        <v>0</v>
      </c>
      <c r="BE88" s="1254">
        <f t="shared" si="95"/>
        <v>0</v>
      </c>
      <c r="BF88" s="1254">
        <f t="shared" si="95"/>
        <v>0</v>
      </c>
      <c r="BG88" s="1254">
        <f t="shared" si="95"/>
        <v>0</v>
      </c>
      <c r="BO88" s="34"/>
      <c r="BR88" s="71">
        <f>BQ12</f>
        <v>0</v>
      </c>
      <c r="BS88" s="72" t="str">
        <f t="shared" si="92"/>
        <v>Sonstiges</v>
      </c>
      <c r="BT88" s="1235">
        <f t="shared" si="96"/>
        <v>0</v>
      </c>
      <c r="BU88" s="1254">
        <f t="shared" si="97"/>
        <v>0</v>
      </c>
      <c r="BV88" s="1254">
        <f t="shared" si="97"/>
        <v>0</v>
      </c>
      <c r="BW88" s="1254">
        <f t="shared" si="97"/>
        <v>0</v>
      </c>
      <c r="BX88" s="1254">
        <f t="shared" si="97"/>
        <v>0</v>
      </c>
      <c r="CU88" s="922" t="s">
        <v>183</v>
      </c>
      <c r="CV88" s="922" t="s">
        <v>316</v>
      </c>
      <c r="CW88" s="986"/>
      <c r="CX88" s="991">
        <f t="shared" si="98"/>
        <v>0.19</v>
      </c>
      <c r="CY88" s="60"/>
      <c r="CZ88" s="923"/>
      <c r="DC88" s="197" t="s">
        <v>183</v>
      </c>
      <c r="DD88" s="197" t="s">
        <v>316</v>
      </c>
    </row>
    <row r="89" spans="1:122" ht="15" thickBot="1" x14ac:dyDescent="0.25">
      <c r="A89" s="70"/>
      <c r="B89" s="1475"/>
      <c r="C89" s="1479" t="str">
        <f t="shared" si="90"/>
        <v>Summe Bürokosten</v>
      </c>
      <c r="D89" s="1477">
        <f t="shared" si="93"/>
        <v>0</v>
      </c>
      <c r="E89" s="1477">
        <f>SUM(E83:E88)</f>
        <v>0</v>
      </c>
      <c r="F89" s="1477">
        <f>SUM(F83:F88)</f>
        <v>0</v>
      </c>
      <c r="G89" s="1477">
        <f>SUM(G83:G88)</f>
        <v>0</v>
      </c>
      <c r="H89" s="1480">
        <f>SUM(H83:H88)</f>
        <v>0</v>
      </c>
      <c r="I89" s="144"/>
      <c r="J89" s="34"/>
      <c r="K89" s="34"/>
      <c r="L89" s="34"/>
      <c r="M89" s="34"/>
      <c r="N89" s="34"/>
      <c r="O89" s="34"/>
      <c r="P89" s="34"/>
      <c r="Q89" s="35"/>
      <c r="S89" s="83"/>
      <c r="U89" s="34"/>
      <c r="V89" s="164"/>
      <c r="W89" s="164"/>
      <c r="X89" s="164"/>
      <c r="Y89" s="164"/>
      <c r="Z89" s="164"/>
      <c r="AA89" s="164"/>
      <c r="AB89" s="164"/>
      <c r="AC89" s="164"/>
      <c r="AD89" s="164"/>
      <c r="AE89" s="164"/>
      <c r="AF89" s="164"/>
      <c r="AG89" s="164"/>
      <c r="AH89" s="164"/>
      <c r="AI89" s="67"/>
      <c r="AJ89" s="67"/>
      <c r="BA89" s="80"/>
      <c r="BB89" s="1103" t="str">
        <f t="shared" si="91"/>
        <v>Summe Bürokosten</v>
      </c>
      <c r="BC89" s="1218">
        <f t="shared" si="94"/>
        <v>0</v>
      </c>
      <c r="BD89" s="1218">
        <f t="shared" ref="BD89:BG89" si="100">SUM(BD83:BD88)</f>
        <v>0</v>
      </c>
      <c r="BE89" s="1218">
        <f t="shared" si="100"/>
        <v>0</v>
      </c>
      <c r="BF89" s="1218">
        <f t="shared" si="100"/>
        <v>0</v>
      </c>
      <c r="BG89" s="1218">
        <f t="shared" si="100"/>
        <v>0</v>
      </c>
      <c r="BO89" s="34"/>
      <c r="BR89" s="80"/>
      <c r="BS89" s="81" t="str">
        <f t="shared" si="92"/>
        <v>Summe Bürokosten</v>
      </c>
      <c r="BT89" s="1218">
        <f t="shared" si="96"/>
        <v>0</v>
      </c>
      <c r="BU89" s="1218">
        <f t="shared" ref="BU89:BX89" si="101">SUM(BU83:BU88)</f>
        <v>0</v>
      </c>
      <c r="BV89" s="1218">
        <f t="shared" si="101"/>
        <v>0</v>
      </c>
      <c r="BW89" s="1218">
        <f t="shared" si="101"/>
        <v>0</v>
      </c>
      <c r="BX89" s="1218">
        <f t="shared" si="101"/>
        <v>0</v>
      </c>
      <c r="CU89" s="922"/>
      <c r="CV89" s="922"/>
      <c r="CW89" s="986"/>
      <c r="CX89" s="991"/>
      <c r="CY89" s="60"/>
      <c r="CZ89" s="923"/>
      <c r="DC89" s="197"/>
      <c r="DD89" s="197"/>
    </row>
    <row r="90" spans="1:122" x14ac:dyDescent="0.2">
      <c r="A90" s="70"/>
      <c r="B90" s="185">
        <v>2</v>
      </c>
      <c r="C90" s="1102" t="str">
        <f t="shared" si="90"/>
        <v>Produktionskosten</v>
      </c>
      <c r="D90" s="1223"/>
      <c r="E90" s="1223"/>
      <c r="F90" s="1223"/>
      <c r="G90" s="1223"/>
      <c r="H90" s="1223"/>
      <c r="I90" s="144"/>
      <c r="J90" s="34"/>
      <c r="K90" s="34"/>
      <c r="L90" s="34"/>
      <c r="M90" s="34"/>
      <c r="N90" s="34"/>
      <c r="O90" s="34"/>
      <c r="P90" s="34"/>
      <c r="Q90" s="35"/>
      <c r="S90" s="94"/>
      <c r="U90" s="34"/>
      <c r="V90" s="148"/>
      <c r="W90" s="148"/>
      <c r="X90" s="148"/>
      <c r="Y90" s="148"/>
      <c r="Z90" s="148"/>
      <c r="AA90" s="148"/>
      <c r="AB90" s="148"/>
      <c r="AC90" s="148"/>
      <c r="AD90" s="148"/>
      <c r="AE90" s="148"/>
      <c r="AF90" s="148"/>
      <c r="AG90" s="148"/>
      <c r="AH90" s="148"/>
      <c r="AI90" s="67"/>
      <c r="AJ90" s="67"/>
      <c r="BA90" s="188">
        <v>2</v>
      </c>
      <c r="BB90" s="1104" t="str">
        <f t="shared" si="91"/>
        <v>Produktionskosten</v>
      </c>
      <c r="BC90" s="1220"/>
      <c r="BD90" s="1220"/>
      <c r="BE90" s="1220"/>
      <c r="BF90" s="1220"/>
      <c r="BG90" s="1220"/>
      <c r="BO90" s="34"/>
      <c r="BR90" s="188">
        <v>2</v>
      </c>
      <c r="BS90" s="87" t="str">
        <f t="shared" si="92"/>
        <v>Produktionskosten</v>
      </c>
      <c r="BT90" s="1220"/>
      <c r="BU90" s="1220"/>
      <c r="BV90" s="1220"/>
      <c r="BW90" s="1220"/>
      <c r="BX90" s="1220"/>
      <c r="CU90" s="922"/>
      <c r="CV90" s="922"/>
      <c r="CW90" s="986"/>
      <c r="CX90" s="991"/>
      <c r="CY90" s="60"/>
      <c r="CZ90" s="283"/>
      <c r="DC90" s="197"/>
      <c r="DD90" s="197"/>
    </row>
    <row r="91" spans="1:122" ht="15" thickBot="1" x14ac:dyDescent="0.25">
      <c r="A91" s="70">
        <f t="shared" ref="A91:B97" si="102">A15</f>
        <v>0.19</v>
      </c>
      <c r="B91" s="71">
        <f t="shared" si="102"/>
        <v>0.19</v>
      </c>
      <c r="C91" s="1421" t="str">
        <f t="shared" si="90"/>
        <v>Raummiete</v>
      </c>
      <c r="D91" s="1422">
        <f t="shared" si="93"/>
        <v>0</v>
      </c>
      <c r="E91" s="1414"/>
      <c r="F91" s="1414"/>
      <c r="G91" s="1414"/>
      <c r="H91" s="1423"/>
      <c r="I91" s="144"/>
      <c r="J91" s="34"/>
      <c r="K91" s="34"/>
      <c r="L91" s="34"/>
      <c r="M91" s="34"/>
      <c r="N91" s="34"/>
      <c r="O91" s="34"/>
      <c r="P91" s="34"/>
      <c r="Q91" s="35"/>
      <c r="S91" s="1546"/>
      <c r="AI91" s="67"/>
      <c r="AJ91" s="67"/>
      <c r="BA91" s="71">
        <f t="shared" ref="BA91:BA96" si="103">BA15</f>
        <v>0.19</v>
      </c>
      <c r="BB91" s="1101" t="str">
        <f t="shared" si="91"/>
        <v>Raummiete</v>
      </c>
      <c r="BC91" s="1234">
        <f t="shared" ref="BC91:BC99" si="104">BO15</f>
        <v>0</v>
      </c>
      <c r="BD91" s="1254">
        <f t="shared" ref="BD91:BG98" si="105">IF($A91=$Q$2,E91*IF(OR($D$4=0,$D$4=3),$A91,$A91/(1+$A91)),0)</f>
        <v>0</v>
      </c>
      <c r="BE91" s="1254">
        <f t="shared" si="105"/>
        <v>0</v>
      </c>
      <c r="BF91" s="1254">
        <f t="shared" si="105"/>
        <v>0</v>
      </c>
      <c r="BG91" s="1254">
        <f t="shared" si="105"/>
        <v>0</v>
      </c>
      <c r="BO91" s="34"/>
      <c r="BR91" s="71">
        <f t="shared" ref="BR91:BR96" si="106">BR15</f>
        <v>0.19</v>
      </c>
      <c r="BS91" s="72" t="str">
        <f t="shared" si="92"/>
        <v>Raummiete</v>
      </c>
      <c r="BT91" s="1234">
        <f t="shared" ref="BT91:BT99" si="107">CF15</f>
        <v>0</v>
      </c>
      <c r="BU91" s="1254">
        <f t="shared" ref="BU91:BX98" si="108">IF($A91=$Q$3,E91*IF(OR($D$4=0,$D$4=3),$A91,$A91/(1+$A91)),0)</f>
        <v>0</v>
      </c>
      <c r="BV91" s="1254">
        <f t="shared" si="108"/>
        <v>0</v>
      </c>
      <c r="BW91" s="1254">
        <f t="shared" si="108"/>
        <v>0</v>
      </c>
      <c r="BX91" s="1254">
        <f t="shared" si="108"/>
        <v>0</v>
      </c>
      <c r="CU91" s="91"/>
      <c r="CV91" s="91"/>
      <c r="CW91" s="986"/>
      <c r="CX91" s="991">
        <f t="shared" ref="CX91:CX98" si="109">CX15</f>
        <v>0.19</v>
      </c>
      <c r="CY91" s="60"/>
      <c r="CZ91" s="283"/>
      <c r="DC91" s="463"/>
      <c r="DD91" s="463"/>
    </row>
    <row r="92" spans="1:122" ht="15" thickBot="1" x14ac:dyDescent="0.25">
      <c r="A92" s="70">
        <f t="shared" si="102"/>
        <v>0.19</v>
      </c>
      <c r="B92" s="71">
        <f t="shared" si="102"/>
        <v>0.19</v>
      </c>
      <c r="C92" s="1421" t="str">
        <f t="shared" si="90"/>
        <v>Strom, Wasser, Heizung, sonst. Nebenkosten</v>
      </c>
      <c r="D92" s="1422">
        <f t="shared" si="93"/>
        <v>0</v>
      </c>
      <c r="E92" s="1414"/>
      <c r="F92" s="1414"/>
      <c r="G92" s="1414"/>
      <c r="H92" s="1423"/>
      <c r="I92" s="144"/>
      <c r="J92" s="34"/>
      <c r="K92" s="34"/>
      <c r="L92" s="34"/>
      <c r="M92" s="34"/>
      <c r="N92" s="34"/>
      <c r="O92" s="34"/>
      <c r="P92" s="34"/>
      <c r="Q92" s="35"/>
      <c r="S92" s="1546"/>
      <c r="U92" s="56">
        <f ca="1">U81+1</f>
        <v>2018</v>
      </c>
      <c r="V92" s="57" t="str">
        <f t="shared" ref="V92:AG92" si="110">V81</f>
        <v>Jan.</v>
      </c>
      <c r="W92" s="57" t="str">
        <f t="shared" si="110"/>
        <v>Febr.</v>
      </c>
      <c r="X92" s="57" t="str">
        <f t="shared" si="110"/>
        <v>März</v>
      </c>
      <c r="Y92" s="57" t="str">
        <f t="shared" si="110"/>
        <v>April</v>
      </c>
      <c r="Z92" s="57" t="str">
        <f t="shared" si="110"/>
        <v>Mai</v>
      </c>
      <c r="AA92" s="57" t="str">
        <f t="shared" si="110"/>
        <v>Juni</v>
      </c>
      <c r="AB92" s="57" t="str">
        <f t="shared" si="110"/>
        <v>Juli</v>
      </c>
      <c r="AC92" s="57" t="str">
        <f t="shared" si="110"/>
        <v>Aug.</v>
      </c>
      <c r="AD92" s="57" t="str">
        <f t="shared" si="110"/>
        <v>Sept.</v>
      </c>
      <c r="AE92" s="57" t="str">
        <f t="shared" si="110"/>
        <v>Okt.</v>
      </c>
      <c r="AF92" s="57" t="str">
        <f t="shared" si="110"/>
        <v>Nov.</v>
      </c>
      <c r="AG92" s="57" t="str">
        <f t="shared" si="110"/>
        <v>Dez.</v>
      </c>
      <c r="AH92" s="148"/>
      <c r="AI92" s="67"/>
      <c r="AJ92" s="67"/>
      <c r="BA92" s="71">
        <f t="shared" si="103"/>
        <v>0.19</v>
      </c>
      <c r="BB92" s="1101" t="str">
        <f t="shared" si="91"/>
        <v>Strom, Wasser, Heizung, sonst. Nebenkosten</v>
      </c>
      <c r="BC92" s="1234">
        <f t="shared" si="104"/>
        <v>0</v>
      </c>
      <c r="BD92" s="1254">
        <f t="shared" si="105"/>
        <v>0</v>
      </c>
      <c r="BE92" s="1254">
        <f t="shared" si="105"/>
        <v>0</v>
      </c>
      <c r="BF92" s="1254">
        <f t="shared" si="105"/>
        <v>0</v>
      </c>
      <c r="BG92" s="1254">
        <f t="shared" si="105"/>
        <v>0</v>
      </c>
      <c r="BO92" s="34"/>
      <c r="BR92" s="71">
        <f t="shared" si="106"/>
        <v>0.19</v>
      </c>
      <c r="BS92" s="72" t="str">
        <f t="shared" si="92"/>
        <v>Strom, Wasser, Heizung, sonst. Nebenkosten</v>
      </c>
      <c r="BT92" s="1234">
        <f t="shared" si="107"/>
        <v>0</v>
      </c>
      <c r="BU92" s="1254">
        <f t="shared" si="108"/>
        <v>0</v>
      </c>
      <c r="BV92" s="1254">
        <f t="shared" si="108"/>
        <v>0</v>
      </c>
      <c r="BW92" s="1254">
        <f t="shared" si="108"/>
        <v>0</v>
      </c>
      <c r="BX92" s="1254">
        <f t="shared" si="108"/>
        <v>0</v>
      </c>
      <c r="CU92" s="91"/>
      <c r="CV92" s="91"/>
      <c r="CW92" s="986"/>
      <c r="CX92" s="991">
        <f t="shared" si="109"/>
        <v>0.19</v>
      </c>
      <c r="CY92" s="60"/>
      <c r="CZ92" s="283"/>
      <c r="DC92" s="463"/>
      <c r="DD92" s="463"/>
    </row>
    <row r="93" spans="1:122" x14ac:dyDescent="0.2">
      <c r="A93" s="70">
        <f t="shared" si="102"/>
        <v>0.19</v>
      </c>
      <c r="B93" s="71">
        <f t="shared" si="102"/>
        <v>0.19</v>
      </c>
      <c r="C93" s="1421" t="str">
        <f t="shared" si="90"/>
        <v>Materialaufwand zur Produktion (19%)</v>
      </c>
      <c r="D93" s="1422">
        <f t="shared" si="93"/>
        <v>0</v>
      </c>
      <c r="E93" s="1414"/>
      <c r="F93" s="1414"/>
      <c r="G93" s="1414"/>
      <c r="H93" s="1423"/>
      <c r="I93" s="144"/>
      <c r="J93" s="34"/>
      <c r="K93" s="34"/>
      <c r="L93" s="34"/>
      <c r="M93" s="34"/>
      <c r="N93" s="34"/>
      <c r="O93" s="34"/>
      <c r="P93" s="34"/>
      <c r="Q93" s="35"/>
      <c r="S93" s="1546"/>
      <c r="U93" s="145"/>
      <c r="V93" s="146"/>
      <c r="W93" s="146"/>
      <c r="X93" s="146"/>
      <c r="Y93" s="146"/>
      <c r="Z93" s="146"/>
      <c r="AA93" s="146"/>
      <c r="AB93" s="146"/>
      <c r="AC93" s="146"/>
      <c r="AD93" s="146"/>
      <c r="AE93" s="146"/>
      <c r="AF93" s="146"/>
      <c r="AG93" s="147"/>
      <c r="AH93" s="148"/>
      <c r="AI93" s="67"/>
      <c r="AJ93" s="67"/>
      <c r="BA93" s="71">
        <f t="shared" si="103"/>
        <v>0.19</v>
      </c>
      <c r="BB93" s="1101" t="str">
        <f t="shared" si="91"/>
        <v>Materialaufwand zur Produktion (19%)</v>
      </c>
      <c r="BC93" s="1234">
        <f t="shared" si="104"/>
        <v>0</v>
      </c>
      <c r="BD93" s="1254">
        <f t="shared" si="105"/>
        <v>0</v>
      </c>
      <c r="BE93" s="1254">
        <f t="shared" si="105"/>
        <v>0</v>
      </c>
      <c r="BF93" s="1254">
        <f t="shared" si="105"/>
        <v>0</v>
      </c>
      <c r="BG93" s="1254">
        <f t="shared" si="105"/>
        <v>0</v>
      </c>
      <c r="BO93" s="34"/>
      <c r="BR93" s="71">
        <f t="shared" si="106"/>
        <v>0.19</v>
      </c>
      <c r="BS93" s="72" t="str">
        <f t="shared" si="92"/>
        <v>Materialaufwand zur Produktion (19%)</v>
      </c>
      <c r="BT93" s="1234">
        <f t="shared" si="107"/>
        <v>0</v>
      </c>
      <c r="BU93" s="1254">
        <f t="shared" si="108"/>
        <v>0</v>
      </c>
      <c r="BV93" s="1254">
        <f t="shared" si="108"/>
        <v>0</v>
      </c>
      <c r="BW93" s="1254">
        <f t="shared" si="108"/>
        <v>0</v>
      </c>
      <c r="BX93" s="1254">
        <f t="shared" si="108"/>
        <v>0</v>
      </c>
      <c r="CU93" s="1007"/>
      <c r="CV93" s="1007"/>
      <c r="CW93" s="986"/>
      <c r="CX93" s="991">
        <f t="shared" si="109"/>
        <v>0.19</v>
      </c>
      <c r="CY93" s="60"/>
      <c r="CZ93" s="283"/>
      <c r="DC93" s="641"/>
      <c r="DD93" s="641"/>
    </row>
    <row r="94" spans="1:122" x14ac:dyDescent="0.2">
      <c r="A94" s="70">
        <f t="shared" si="102"/>
        <v>7.0000000000000007E-2</v>
      </c>
      <c r="B94" s="71">
        <f t="shared" si="102"/>
        <v>7.0000000000000007E-2</v>
      </c>
      <c r="C94" s="1421" t="str">
        <f t="shared" si="90"/>
        <v>Materialaufwand zur Produktion (7%)</v>
      </c>
      <c r="D94" s="1422">
        <f t="shared" si="93"/>
        <v>0</v>
      </c>
      <c r="E94" s="1414"/>
      <c r="F94" s="1414"/>
      <c r="G94" s="1414"/>
      <c r="H94" s="1423"/>
      <c r="I94" s="144"/>
      <c r="J94" s="34"/>
      <c r="K94" s="34"/>
      <c r="L94" s="34"/>
      <c r="M94" s="34"/>
      <c r="N94" s="34"/>
      <c r="O94" s="34"/>
      <c r="P94" s="34"/>
      <c r="Q94" s="35"/>
      <c r="S94" s="1546"/>
      <c r="U94" s="149"/>
      <c r="V94" s="150"/>
      <c r="W94" s="150"/>
      <c r="X94" s="150"/>
      <c r="Y94" s="150"/>
      <c r="Z94" s="150"/>
      <c r="AA94" s="150"/>
      <c r="AB94" s="150"/>
      <c r="AC94" s="150"/>
      <c r="AD94" s="150"/>
      <c r="AE94" s="150"/>
      <c r="AF94" s="150"/>
      <c r="AG94" s="151"/>
      <c r="AH94" s="153"/>
      <c r="AI94" s="67"/>
      <c r="AJ94" s="67"/>
      <c r="BA94" s="71">
        <f t="shared" si="103"/>
        <v>7.0000000000000007E-2</v>
      </c>
      <c r="BB94" s="1101" t="str">
        <f t="shared" si="91"/>
        <v>Materialaufwand zur Produktion (7%)</v>
      </c>
      <c r="BC94" s="1234">
        <f t="shared" si="104"/>
        <v>0</v>
      </c>
      <c r="BD94" s="1254">
        <f t="shared" si="105"/>
        <v>0</v>
      </c>
      <c r="BE94" s="1254">
        <f t="shared" si="105"/>
        <v>0</v>
      </c>
      <c r="BF94" s="1254">
        <f t="shared" si="105"/>
        <v>0</v>
      </c>
      <c r="BG94" s="1254">
        <f t="shared" si="105"/>
        <v>0</v>
      </c>
      <c r="BO94" s="34"/>
      <c r="BR94" s="71">
        <f t="shared" si="106"/>
        <v>7.0000000000000007E-2</v>
      </c>
      <c r="BS94" s="72" t="str">
        <f t="shared" si="92"/>
        <v>Materialaufwand zur Produktion (7%)</v>
      </c>
      <c r="BT94" s="1234">
        <f t="shared" si="107"/>
        <v>0</v>
      </c>
      <c r="BU94" s="1254">
        <f t="shared" si="108"/>
        <v>0</v>
      </c>
      <c r="BV94" s="1254">
        <f t="shared" si="108"/>
        <v>0</v>
      </c>
      <c r="BW94" s="1254">
        <f t="shared" si="108"/>
        <v>0</v>
      </c>
      <c r="BX94" s="1254">
        <f t="shared" si="108"/>
        <v>0</v>
      </c>
      <c r="CU94" s="1007"/>
      <c r="CV94" s="1007"/>
      <c r="CW94" s="986"/>
      <c r="CX94" s="991">
        <f t="shared" si="109"/>
        <v>7.0000000000000007E-2</v>
      </c>
      <c r="CY94" s="60"/>
      <c r="CZ94" s="283"/>
      <c r="DC94" s="641"/>
      <c r="DD94" s="641"/>
    </row>
    <row r="95" spans="1:122" x14ac:dyDescent="0.2">
      <c r="A95" s="70">
        <f t="shared" si="102"/>
        <v>0.19</v>
      </c>
      <c r="B95" s="71">
        <f t="shared" si="102"/>
        <v>0.19</v>
      </c>
      <c r="C95" s="1421" t="str">
        <f t="shared" si="90"/>
        <v>Produktionsbedarf, geringwertige Wirtschaftsgüter</v>
      </c>
      <c r="D95" s="1422">
        <f t="shared" si="93"/>
        <v>0</v>
      </c>
      <c r="E95" s="1414"/>
      <c r="F95" s="1414"/>
      <c r="G95" s="1414"/>
      <c r="H95" s="1414"/>
      <c r="I95" s="144"/>
      <c r="J95" s="34"/>
      <c r="K95" s="34"/>
      <c r="L95" s="34"/>
      <c r="M95" s="34"/>
      <c r="N95" s="34"/>
      <c r="O95" s="34"/>
      <c r="P95" s="34"/>
      <c r="Q95" s="35"/>
      <c r="S95" s="1546"/>
      <c r="U95" s="149"/>
      <c r="V95" s="150"/>
      <c r="W95" s="150"/>
      <c r="X95" s="150"/>
      <c r="Y95" s="150"/>
      <c r="Z95" s="150"/>
      <c r="AA95" s="150"/>
      <c r="AB95" s="150"/>
      <c r="AC95" s="150"/>
      <c r="AD95" s="150"/>
      <c r="AE95" s="150"/>
      <c r="AF95" s="150"/>
      <c r="AG95" s="151"/>
      <c r="AH95" s="153"/>
      <c r="AI95" s="67"/>
      <c r="AJ95" s="67"/>
      <c r="BA95" s="71">
        <f t="shared" si="103"/>
        <v>0.19</v>
      </c>
      <c r="BB95" s="1101" t="str">
        <f t="shared" si="91"/>
        <v>Produktionsbedarf, geringwertige Wirtschaftsgüter</v>
      </c>
      <c r="BC95" s="1234">
        <f t="shared" si="104"/>
        <v>0</v>
      </c>
      <c r="BD95" s="1254">
        <f t="shared" si="105"/>
        <v>0</v>
      </c>
      <c r="BE95" s="1254">
        <f t="shared" si="105"/>
        <v>0</v>
      </c>
      <c r="BF95" s="1254">
        <f t="shared" si="105"/>
        <v>0</v>
      </c>
      <c r="BG95" s="1254">
        <f t="shared" si="105"/>
        <v>0</v>
      </c>
      <c r="BO95" s="34"/>
      <c r="BR95" s="71">
        <f t="shared" si="106"/>
        <v>0.19</v>
      </c>
      <c r="BS95" s="72" t="str">
        <f t="shared" si="92"/>
        <v>Produktionsbedarf, geringwertige Wirtschaftsgüter</v>
      </c>
      <c r="BT95" s="1234">
        <f t="shared" si="107"/>
        <v>0</v>
      </c>
      <c r="BU95" s="1254">
        <f t="shared" si="108"/>
        <v>0</v>
      </c>
      <c r="BV95" s="1254">
        <f t="shared" si="108"/>
        <v>0</v>
      </c>
      <c r="BW95" s="1254">
        <f t="shared" si="108"/>
        <v>0</v>
      </c>
      <c r="BX95" s="1254">
        <f t="shared" si="108"/>
        <v>0</v>
      </c>
      <c r="CU95" s="1007"/>
      <c r="CV95" s="1007"/>
      <c r="CW95" s="986"/>
      <c r="CX95" s="991">
        <f t="shared" si="109"/>
        <v>0.19</v>
      </c>
      <c r="CY95" s="60"/>
      <c r="CZ95" s="283"/>
      <c r="DC95" s="641"/>
      <c r="DD95" s="641"/>
    </row>
    <row r="96" spans="1:122" x14ac:dyDescent="0.2">
      <c r="A96" s="70">
        <f t="shared" si="102"/>
        <v>0.19</v>
      </c>
      <c r="B96" s="71">
        <f t="shared" si="102"/>
        <v>0.19</v>
      </c>
      <c r="C96" s="1421" t="str">
        <f t="shared" si="90"/>
        <v>Leasingraten für Produktionsanlagen, -maschinen</v>
      </c>
      <c r="D96" s="1422">
        <f t="shared" si="93"/>
        <v>0</v>
      </c>
      <c r="E96" s="1414"/>
      <c r="F96" s="1414"/>
      <c r="G96" s="1414"/>
      <c r="H96" s="1414"/>
      <c r="I96" s="144"/>
      <c r="J96" s="34"/>
      <c r="K96" s="34"/>
      <c r="L96" s="34"/>
      <c r="M96" s="34"/>
      <c r="N96" s="34"/>
      <c r="O96" s="34"/>
      <c r="P96" s="34"/>
      <c r="Q96" s="35"/>
      <c r="S96" s="1546"/>
      <c r="U96" s="149"/>
      <c r="V96" s="150"/>
      <c r="W96" s="150"/>
      <c r="X96" s="150"/>
      <c r="Y96" s="150"/>
      <c r="Z96" s="150"/>
      <c r="AA96" s="150"/>
      <c r="AB96" s="150"/>
      <c r="AC96" s="150"/>
      <c r="AD96" s="150"/>
      <c r="AE96" s="150"/>
      <c r="AF96" s="150"/>
      <c r="AG96" s="151"/>
      <c r="AH96" s="153"/>
      <c r="AI96" s="67"/>
      <c r="AJ96" s="67"/>
      <c r="BA96" s="71">
        <f t="shared" si="103"/>
        <v>0.19</v>
      </c>
      <c r="BB96" s="1101" t="str">
        <f t="shared" si="91"/>
        <v>Leasingraten für Produktionsanlagen, -maschinen</v>
      </c>
      <c r="BC96" s="1234">
        <f t="shared" si="104"/>
        <v>0</v>
      </c>
      <c r="BD96" s="1254">
        <f t="shared" si="105"/>
        <v>0</v>
      </c>
      <c r="BE96" s="1254">
        <f t="shared" si="105"/>
        <v>0</v>
      </c>
      <c r="BF96" s="1254">
        <f t="shared" si="105"/>
        <v>0</v>
      </c>
      <c r="BG96" s="1254">
        <f t="shared" si="105"/>
        <v>0</v>
      </c>
      <c r="BO96" s="34"/>
      <c r="BR96" s="71">
        <f t="shared" si="106"/>
        <v>0.19</v>
      </c>
      <c r="BS96" s="72" t="str">
        <f t="shared" si="92"/>
        <v>Leasingraten für Produktionsanlagen, -maschinen</v>
      </c>
      <c r="BT96" s="1234">
        <f t="shared" si="107"/>
        <v>0</v>
      </c>
      <c r="BU96" s="1254">
        <f t="shared" si="108"/>
        <v>0</v>
      </c>
      <c r="BV96" s="1254">
        <f t="shared" si="108"/>
        <v>0</v>
      </c>
      <c r="BW96" s="1254">
        <f t="shared" si="108"/>
        <v>0</v>
      </c>
      <c r="BX96" s="1254">
        <f t="shared" si="108"/>
        <v>0</v>
      </c>
      <c r="CU96" s="1007"/>
      <c r="CV96" s="1007"/>
      <c r="CW96" s="986"/>
      <c r="CX96" s="991">
        <f t="shared" si="109"/>
        <v>0.19</v>
      </c>
      <c r="CY96" s="60"/>
      <c r="CZ96" s="1369"/>
      <c r="DC96" s="641"/>
      <c r="DD96" s="641"/>
    </row>
    <row r="97" spans="1:108" x14ac:dyDescent="0.2">
      <c r="A97" s="70">
        <f t="shared" si="102"/>
        <v>0.19</v>
      </c>
      <c r="B97" s="71">
        <f t="shared" si="102"/>
        <v>0.19</v>
      </c>
      <c r="C97" s="1421" t="str">
        <f t="shared" si="90"/>
        <v>Instandhaltung und Reparaturen</v>
      </c>
      <c r="D97" s="1422">
        <f t="shared" si="93"/>
        <v>0</v>
      </c>
      <c r="E97" s="1414"/>
      <c r="F97" s="1414"/>
      <c r="G97" s="1414"/>
      <c r="H97" s="1414"/>
      <c r="I97" s="144"/>
      <c r="J97" s="34"/>
      <c r="K97" s="34"/>
      <c r="L97" s="34"/>
      <c r="M97" s="34"/>
      <c r="N97" s="34"/>
      <c r="O97" s="34"/>
      <c r="P97" s="34"/>
      <c r="Q97" s="35"/>
      <c r="S97" s="1546"/>
      <c r="U97" s="149"/>
      <c r="V97" s="150"/>
      <c r="W97" s="150"/>
      <c r="X97" s="150"/>
      <c r="Y97" s="150"/>
      <c r="Z97" s="150"/>
      <c r="AA97" s="150"/>
      <c r="AB97" s="150"/>
      <c r="AC97" s="150"/>
      <c r="AD97" s="150"/>
      <c r="AE97" s="150"/>
      <c r="AF97" s="150"/>
      <c r="AG97" s="151"/>
      <c r="AH97" s="153"/>
      <c r="AI97" s="67"/>
      <c r="AJ97" s="67"/>
      <c r="BA97" s="71">
        <f>BA21</f>
        <v>0.19</v>
      </c>
      <c r="BB97" s="1101" t="str">
        <f t="shared" si="91"/>
        <v>Instandhaltung und Reparaturen</v>
      </c>
      <c r="BC97" s="1234">
        <f t="shared" si="104"/>
        <v>0</v>
      </c>
      <c r="BD97" s="1254">
        <f t="shared" si="105"/>
        <v>0</v>
      </c>
      <c r="BE97" s="1254">
        <f t="shared" si="105"/>
        <v>0</v>
      </c>
      <c r="BF97" s="1254">
        <f t="shared" si="105"/>
        <v>0</v>
      </c>
      <c r="BG97" s="1254">
        <f t="shared" si="105"/>
        <v>0</v>
      </c>
      <c r="BO97" s="34"/>
      <c r="BR97" s="71">
        <f>BR21</f>
        <v>0.19</v>
      </c>
      <c r="BS97" s="72" t="str">
        <f t="shared" si="92"/>
        <v>Instandhaltung und Reparaturen</v>
      </c>
      <c r="BT97" s="1234">
        <f t="shared" si="107"/>
        <v>0</v>
      </c>
      <c r="BU97" s="1254">
        <f t="shared" si="108"/>
        <v>0</v>
      </c>
      <c r="BV97" s="1254">
        <f t="shared" si="108"/>
        <v>0</v>
      </c>
      <c r="BW97" s="1254">
        <f t="shared" si="108"/>
        <v>0</v>
      </c>
      <c r="BX97" s="1254">
        <f t="shared" si="108"/>
        <v>0</v>
      </c>
      <c r="CU97" s="1007"/>
      <c r="CV97" s="1007"/>
      <c r="CW97" s="986"/>
      <c r="CX97" s="991">
        <f t="shared" si="109"/>
        <v>0.19</v>
      </c>
      <c r="CY97" s="60"/>
      <c r="CZ97" s="283"/>
      <c r="DC97" s="641"/>
      <c r="DD97" s="641"/>
    </row>
    <row r="98" spans="1:108" ht="15" thickBot="1" x14ac:dyDescent="0.25">
      <c r="A98" s="70">
        <f>A22</f>
        <v>0.19</v>
      </c>
      <c r="B98" s="71">
        <f>A22</f>
        <v>0.19</v>
      </c>
      <c r="C98" s="1424" t="str">
        <f t="shared" si="90"/>
        <v>Verbrauchsmaterialien Studio  5.000 Euro, Büro 2000</v>
      </c>
      <c r="D98" s="1425">
        <f t="shared" si="93"/>
        <v>0</v>
      </c>
      <c r="E98" s="1417"/>
      <c r="F98" s="1417"/>
      <c r="G98" s="1417"/>
      <c r="H98" s="1417"/>
      <c r="I98" s="144"/>
      <c r="J98" s="34"/>
      <c r="K98" s="34"/>
      <c r="L98" s="34"/>
      <c r="M98" s="34"/>
      <c r="N98" s="34"/>
      <c r="O98" s="34"/>
      <c r="P98" s="34"/>
      <c r="Q98" s="35"/>
      <c r="S98" s="1546"/>
      <c r="U98" s="149"/>
      <c r="V98" s="150"/>
      <c r="W98" s="150"/>
      <c r="X98" s="150"/>
      <c r="Y98" s="150"/>
      <c r="Z98" s="150"/>
      <c r="AA98" s="150"/>
      <c r="AB98" s="150"/>
      <c r="AC98" s="150"/>
      <c r="AD98" s="150"/>
      <c r="AE98" s="150"/>
      <c r="AF98" s="150"/>
      <c r="AG98" s="151"/>
      <c r="AH98" s="153"/>
      <c r="AI98" s="67"/>
      <c r="AJ98" s="67"/>
      <c r="BA98" s="71">
        <f>AZ22</f>
        <v>0</v>
      </c>
      <c r="BB98" s="1101" t="str">
        <f t="shared" ref="BB98:BB142" si="111">BB22</f>
        <v>Sonstiges</v>
      </c>
      <c r="BC98" s="1235">
        <f t="shared" si="104"/>
        <v>0</v>
      </c>
      <c r="BD98" s="1254">
        <f t="shared" si="105"/>
        <v>0</v>
      </c>
      <c r="BE98" s="1254">
        <f t="shared" si="105"/>
        <v>0</v>
      </c>
      <c r="BF98" s="1254">
        <f t="shared" si="105"/>
        <v>0</v>
      </c>
      <c r="BG98" s="1254">
        <f t="shared" si="105"/>
        <v>0</v>
      </c>
      <c r="BO98" s="34"/>
      <c r="BR98" s="71">
        <f>BQ22</f>
        <v>0</v>
      </c>
      <c r="BS98" s="72" t="str">
        <f t="shared" ref="BS98:BS142" si="112">BS22</f>
        <v>Sonstiges</v>
      </c>
      <c r="BT98" s="1235">
        <f t="shared" si="107"/>
        <v>0</v>
      </c>
      <c r="BU98" s="1254">
        <f t="shared" si="108"/>
        <v>0</v>
      </c>
      <c r="BV98" s="1254">
        <f t="shared" si="108"/>
        <v>0</v>
      </c>
      <c r="BW98" s="1254">
        <f t="shared" si="108"/>
        <v>0</v>
      </c>
      <c r="BX98" s="1254">
        <f t="shared" si="108"/>
        <v>0</v>
      </c>
      <c r="CU98" s="1007"/>
      <c r="CV98" s="1007"/>
      <c r="CW98" s="986"/>
      <c r="CX98" s="991">
        <f t="shared" si="109"/>
        <v>0.19</v>
      </c>
      <c r="CY98" s="60"/>
      <c r="CZ98" s="283"/>
      <c r="DC98" s="641"/>
      <c r="DD98" s="641"/>
    </row>
    <row r="99" spans="1:108" ht="15.75" thickTop="1" thickBot="1" x14ac:dyDescent="0.25">
      <c r="A99" s="70"/>
      <c r="B99" s="1475"/>
      <c r="C99" s="1479" t="str">
        <f t="shared" si="90"/>
        <v>Summe Produktionskosten</v>
      </c>
      <c r="D99" s="1477">
        <f t="shared" si="93"/>
        <v>0</v>
      </c>
      <c r="E99" s="1477">
        <f>SUM(E91:E98)</f>
        <v>0</v>
      </c>
      <c r="F99" s="1477">
        <f>SUM(F91:F98)</f>
        <v>0</v>
      </c>
      <c r="G99" s="1477">
        <f>SUM(G91:G98)</f>
        <v>0</v>
      </c>
      <c r="H99" s="1480">
        <f>SUM(H91:H98)</f>
        <v>0</v>
      </c>
      <c r="I99" s="144"/>
      <c r="J99" s="34"/>
      <c r="K99" s="34"/>
      <c r="L99" s="34"/>
      <c r="M99" s="34"/>
      <c r="N99" s="34"/>
      <c r="O99" s="34"/>
      <c r="P99" s="34"/>
      <c r="Q99" s="35"/>
      <c r="S99" s="83"/>
      <c r="U99" s="84" t="str">
        <f>U88</f>
        <v>Gesamtsumme</v>
      </c>
      <c r="V99" s="159">
        <f t="shared" ref="V99:AG99" si="113">SUM(V93:V98)</f>
        <v>0</v>
      </c>
      <c r="W99" s="159">
        <f t="shared" si="113"/>
        <v>0</v>
      </c>
      <c r="X99" s="159">
        <f t="shared" si="113"/>
        <v>0</v>
      </c>
      <c r="Y99" s="159">
        <f t="shared" si="113"/>
        <v>0</v>
      </c>
      <c r="Z99" s="159">
        <f t="shared" si="113"/>
        <v>0</v>
      </c>
      <c r="AA99" s="159">
        <f t="shared" si="113"/>
        <v>0</v>
      </c>
      <c r="AB99" s="159">
        <f t="shared" si="113"/>
        <v>0</v>
      </c>
      <c r="AC99" s="159">
        <f t="shared" si="113"/>
        <v>0</v>
      </c>
      <c r="AD99" s="159">
        <f t="shared" si="113"/>
        <v>0</v>
      </c>
      <c r="AE99" s="159">
        <f t="shared" si="113"/>
        <v>0</v>
      </c>
      <c r="AF99" s="159">
        <f t="shared" si="113"/>
        <v>0</v>
      </c>
      <c r="AG99" s="160">
        <f t="shared" si="113"/>
        <v>0</v>
      </c>
      <c r="AH99" s="161">
        <f>SUM(V99:AG99)</f>
        <v>0</v>
      </c>
      <c r="AI99" s="67"/>
      <c r="AJ99" s="67"/>
      <c r="BA99" s="80"/>
      <c r="BB99" s="1105" t="str">
        <f t="shared" si="111"/>
        <v>Summe Produktionskosten</v>
      </c>
      <c r="BC99" s="1218">
        <f t="shared" si="104"/>
        <v>0</v>
      </c>
      <c r="BD99" s="1218">
        <f t="shared" ref="BD99:BG99" si="114">SUM(BD91:BD98)</f>
        <v>0</v>
      </c>
      <c r="BE99" s="1218">
        <f t="shared" si="114"/>
        <v>0</v>
      </c>
      <c r="BF99" s="1218">
        <f t="shared" si="114"/>
        <v>0</v>
      </c>
      <c r="BG99" s="1218">
        <f t="shared" si="114"/>
        <v>0</v>
      </c>
      <c r="BO99" s="34"/>
      <c r="BR99" s="80"/>
      <c r="BS99" s="97" t="str">
        <f t="shared" si="112"/>
        <v>Summe Produktionskosten</v>
      </c>
      <c r="BT99" s="1218">
        <f t="shared" si="107"/>
        <v>0</v>
      </c>
      <c r="BU99" s="1218">
        <f t="shared" ref="BU99:BX99" si="115">SUM(BU91:BU98)</f>
        <v>0</v>
      </c>
      <c r="BV99" s="1218">
        <f t="shared" si="115"/>
        <v>0</v>
      </c>
      <c r="BW99" s="1218">
        <f t="shared" si="115"/>
        <v>0</v>
      </c>
      <c r="BX99" s="1218">
        <f t="shared" si="115"/>
        <v>0</v>
      </c>
      <c r="CU99" s="922"/>
      <c r="CV99" s="922"/>
      <c r="CW99" s="986"/>
      <c r="CX99" s="991"/>
      <c r="CY99" s="60"/>
      <c r="CZ99" s="283"/>
      <c r="DC99" s="197"/>
      <c r="DD99" s="197"/>
    </row>
    <row r="100" spans="1:108" x14ac:dyDescent="0.2">
      <c r="A100" s="70"/>
      <c r="B100" s="188">
        <v>3</v>
      </c>
      <c r="C100" s="1104" t="str">
        <f t="shared" si="90"/>
        <v>Personalkosten (nur Angestellte)</v>
      </c>
      <c r="D100" s="1220"/>
      <c r="E100" s="1220"/>
      <c r="F100" s="1220"/>
      <c r="G100" s="1220"/>
      <c r="H100" s="1220"/>
      <c r="I100" s="144"/>
      <c r="J100" s="34"/>
      <c r="K100" s="34"/>
      <c r="L100" s="34"/>
      <c r="M100" s="34"/>
      <c r="N100" s="34"/>
      <c r="O100" s="34"/>
      <c r="P100" s="34"/>
      <c r="Q100" s="35"/>
      <c r="S100" s="94"/>
      <c r="U100" s="67"/>
      <c r="V100" s="164"/>
      <c r="W100" s="164"/>
      <c r="X100" s="164"/>
      <c r="Y100" s="164"/>
      <c r="Z100" s="164"/>
      <c r="AA100" s="164"/>
      <c r="AB100" s="164"/>
      <c r="AC100" s="164"/>
      <c r="AD100" s="164"/>
      <c r="AE100" s="164"/>
      <c r="AF100" s="164"/>
      <c r="AG100" s="164"/>
      <c r="AH100" s="164"/>
      <c r="AI100" s="67"/>
      <c r="AJ100" s="67"/>
      <c r="BA100" s="188">
        <v>3</v>
      </c>
      <c r="BB100" s="1104" t="str">
        <f t="shared" si="111"/>
        <v>Personalkosten (nur Angestellte)</v>
      </c>
      <c r="BC100" s="1220"/>
      <c r="BD100" s="1220"/>
      <c r="BE100" s="1220"/>
      <c r="BF100" s="1220"/>
      <c r="BG100" s="1220"/>
      <c r="BO100" s="34"/>
      <c r="BR100" s="188">
        <v>3</v>
      </c>
      <c r="BS100" s="87" t="str">
        <f t="shared" si="112"/>
        <v>Personalkosten (nur Angestellte)</v>
      </c>
      <c r="BT100" s="1220"/>
      <c r="BU100" s="1220"/>
      <c r="BV100" s="1220"/>
      <c r="BW100" s="1220"/>
      <c r="BX100" s="1220"/>
      <c r="CU100" s="922"/>
      <c r="CV100" s="922"/>
      <c r="CW100" s="986"/>
      <c r="CX100" s="991"/>
      <c r="CY100" s="60"/>
      <c r="CZ100" s="1369"/>
      <c r="DC100" s="197"/>
      <c r="DD100" s="197"/>
    </row>
    <row r="101" spans="1:108" x14ac:dyDescent="0.2">
      <c r="A101" s="70">
        <f>A25</f>
        <v>0</v>
      </c>
      <c r="B101" s="71">
        <f>B25</f>
        <v>0</v>
      </c>
      <c r="C101" s="1421" t="str">
        <f t="shared" si="90"/>
        <v>Löhne, Gehälter mit Nebenkosten (s. Nebenrechnung)</v>
      </c>
      <c r="D101" s="1422">
        <f t="shared" si="93"/>
        <v>0</v>
      </c>
      <c r="E101" s="1414"/>
      <c r="F101" s="1414"/>
      <c r="G101" s="1414"/>
      <c r="H101" s="1423"/>
      <c r="I101" s="144"/>
      <c r="J101" s="34"/>
      <c r="K101" s="34"/>
      <c r="L101" s="34"/>
      <c r="M101" s="34"/>
      <c r="N101" s="34"/>
      <c r="O101" s="34"/>
      <c r="P101" s="34"/>
      <c r="Q101" s="35"/>
      <c r="S101" s="1546"/>
      <c r="U101" s="67"/>
      <c r="V101" s="164"/>
      <c r="W101" s="164"/>
      <c r="X101" s="164"/>
      <c r="Y101" s="164"/>
      <c r="Z101" s="164"/>
      <c r="AA101" s="164"/>
      <c r="AB101" s="164"/>
      <c r="AC101" s="164"/>
      <c r="AD101" s="164"/>
      <c r="AE101" s="164"/>
      <c r="AF101" s="164"/>
      <c r="AG101" s="164"/>
      <c r="AH101" s="164"/>
      <c r="AI101" s="67"/>
      <c r="AJ101" s="67"/>
      <c r="BA101" s="71">
        <f>BA25</f>
        <v>0</v>
      </c>
      <c r="BB101" s="1101" t="str">
        <f t="shared" si="111"/>
        <v>Löhne, Gehälter mit Nebenkosten (s. Nebenrechnung)</v>
      </c>
      <c r="BC101" s="1234">
        <f>BO25</f>
        <v>0</v>
      </c>
      <c r="BD101" s="1254">
        <f t="shared" ref="BD101:BG102" si="116">IF($A101=$Q$2,E101*IF(OR($D$4=0,$D$4=3),$A101,$A101/(1+$A101)),0)</f>
        <v>0</v>
      </c>
      <c r="BE101" s="1254">
        <f t="shared" si="116"/>
        <v>0</v>
      </c>
      <c r="BF101" s="1254">
        <f t="shared" si="116"/>
        <v>0</v>
      </c>
      <c r="BG101" s="1254">
        <f t="shared" si="116"/>
        <v>0</v>
      </c>
      <c r="BO101" s="34"/>
      <c r="BR101" s="71">
        <f>BR25</f>
        <v>0</v>
      </c>
      <c r="BS101" s="72" t="str">
        <f t="shared" si="112"/>
        <v>Löhne, Gehälter mit Nebenkosten (s. Nebenrechnung)</v>
      </c>
      <c r="BT101" s="1234">
        <f>CF25</f>
        <v>0</v>
      </c>
      <c r="BU101" s="1254">
        <f t="shared" ref="BU101:BX102" si="117">IF($A101=$Q$3,E101*IF(OR($D$4=0,$D$4=3),$A101,$A101/(1+$A101)),0)</f>
        <v>0</v>
      </c>
      <c r="BV101" s="1254">
        <f t="shared" si="117"/>
        <v>0</v>
      </c>
      <c r="BW101" s="1254">
        <f t="shared" si="117"/>
        <v>0</v>
      </c>
      <c r="BX101" s="1254">
        <f t="shared" si="117"/>
        <v>0</v>
      </c>
      <c r="CU101" s="922"/>
      <c r="CV101" s="922"/>
      <c r="CW101" s="986"/>
      <c r="CX101" s="991">
        <f>CX25</f>
        <v>0</v>
      </c>
      <c r="CY101" s="60"/>
      <c r="CZ101" s="283"/>
      <c r="DC101" s="197"/>
      <c r="DD101" s="197"/>
    </row>
    <row r="102" spans="1:108" ht="15" thickBot="1" x14ac:dyDescent="0.25">
      <c r="A102" s="70">
        <f>A26</f>
        <v>0.19</v>
      </c>
      <c r="B102" s="71">
        <f>A26</f>
        <v>0.19</v>
      </c>
      <c r="C102" s="1424" t="str">
        <f t="shared" si="90"/>
        <v>Sonstiges</v>
      </c>
      <c r="D102" s="1425">
        <f t="shared" si="93"/>
        <v>0</v>
      </c>
      <c r="E102" s="1417"/>
      <c r="F102" s="1417"/>
      <c r="G102" s="1417"/>
      <c r="H102" s="1426"/>
      <c r="I102" s="144"/>
      <c r="J102" s="34"/>
      <c r="K102" s="34"/>
      <c r="L102" s="34"/>
      <c r="M102" s="34"/>
      <c r="N102" s="34"/>
      <c r="O102" s="34"/>
      <c r="P102" s="34"/>
      <c r="Q102" s="35"/>
      <c r="S102" s="1546"/>
      <c r="U102" s="67"/>
      <c r="V102" s="164"/>
      <c r="W102" s="164"/>
      <c r="X102" s="164"/>
      <c r="Y102" s="164"/>
      <c r="Z102" s="164"/>
      <c r="AA102" s="164"/>
      <c r="AB102" s="164"/>
      <c r="AC102" s="164"/>
      <c r="AD102" s="164"/>
      <c r="AE102" s="164"/>
      <c r="AF102" s="164"/>
      <c r="AG102" s="164"/>
      <c r="AH102" s="164"/>
      <c r="AI102" s="67"/>
      <c r="AJ102" s="67"/>
      <c r="BA102" s="71">
        <f>AZ26</f>
        <v>0</v>
      </c>
      <c r="BB102" s="1101" t="str">
        <f t="shared" si="111"/>
        <v>Sonstiges</v>
      </c>
      <c r="BC102" s="1235">
        <f>BO26</f>
        <v>0</v>
      </c>
      <c r="BD102" s="1254">
        <f t="shared" si="116"/>
        <v>0</v>
      </c>
      <c r="BE102" s="1254">
        <f t="shared" si="116"/>
        <v>0</v>
      </c>
      <c r="BF102" s="1254">
        <f t="shared" si="116"/>
        <v>0</v>
      </c>
      <c r="BG102" s="1254">
        <f t="shared" si="116"/>
        <v>0</v>
      </c>
      <c r="BO102" s="34"/>
      <c r="BR102" s="71">
        <f>BQ26</f>
        <v>0</v>
      </c>
      <c r="BS102" s="72" t="str">
        <f t="shared" si="112"/>
        <v>Sonstiges</v>
      </c>
      <c r="BT102" s="1235">
        <f>CF26</f>
        <v>0</v>
      </c>
      <c r="BU102" s="1254">
        <f t="shared" si="117"/>
        <v>0</v>
      </c>
      <c r="BV102" s="1254">
        <f t="shared" si="117"/>
        <v>0</v>
      </c>
      <c r="BW102" s="1254">
        <f t="shared" si="117"/>
        <v>0</v>
      </c>
      <c r="BX102" s="1254">
        <f t="shared" si="117"/>
        <v>0</v>
      </c>
      <c r="CU102" s="922"/>
      <c r="CV102" s="922"/>
      <c r="CW102" s="986"/>
      <c r="CX102" s="991">
        <f>CX26</f>
        <v>0.19</v>
      </c>
      <c r="CY102" s="60"/>
      <c r="CZ102" s="283"/>
      <c r="DC102" s="197"/>
      <c r="DD102" s="197"/>
    </row>
    <row r="103" spans="1:108" ht="15" thickBot="1" x14ac:dyDescent="0.25">
      <c r="A103" s="70"/>
      <c r="B103" s="1475"/>
      <c r="C103" s="1479" t="str">
        <f t="shared" si="90"/>
        <v>Summe Personalkosten</v>
      </c>
      <c r="D103" s="1477">
        <f t="shared" si="93"/>
        <v>0</v>
      </c>
      <c r="E103" s="1477">
        <f>SUM(E101:E102)</f>
        <v>0</v>
      </c>
      <c r="F103" s="1477">
        <f>SUM(F101:F102)</f>
        <v>0</v>
      </c>
      <c r="G103" s="1477">
        <f>SUM(G101:G102)</f>
        <v>0</v>
      </c>
      <c r="H103" s="1480">
        <f>SUM(H101:H102)</f>
        <v>0</v>
      </c>
      <c r="I103" s="144"/>
      <c r="J103" s="34"/>
      <c r="K103" s="34"/>
      <c r="L103" s="34"/>
      <c r="M103" s="34"/>
      <c r="N103" s="34"/>
      <c r="O103" s="34"/>
      <c r="P103" s="34"/>
      <c r="Q103" s="35"/>
      <c r="S103" s="83"/>
      <c r="U103" s="56">
        <f ca="1">U92+1</f>
        <v>2019</v>
      </c>
      <c r="V103" s="165" t="str">
        <f t="shared" ref="V103:AG103" si="118">V81</f>
        <v>Jan.</v>
      </c>
      <c r="W103" s="165" t="str">
        <f t="shared" si="118"/>
        <v>Febr.</v>
      </c>
      <c r="X103" s="165" t="str">
        <f t="shared" si="118"/>
        <v>März</v>
      </c>
      <c r="Y103" s="165" t="str">
        <f t="shared" si="118"/>
        <v>April</v>
      </c>
      <c r="Z103" s="165" t="str">
        <f t="shared" si="118"/>
        <v>Mai</v>
      </c>
      <c r="AA103" s="165" t="str">
        <f t="shared" si="118"/>
        <v>Juni</v>
      </c>
      <c r="AB103" s="165" t="str">
        <f t="shared" si="118"/>
        <v>Juli</v>
      </c>
      <c r="AC103" s="165" t="str">
        <f t="shared" si="118"/>
        <v>Aug.</v>
      </c>
      <c r="AD103" s="165" t="str">
        <f t="shared" si="118"/>
        <v>Sept.</v>
      </c>
      <c r="AE103" s="165" t="str">
        <f t="shared" si="118"/>
        <v>Okt.</v>
      </c>
      <c r="AF103" s="165" t="str">
        <f t="shared" si="118"/>
        <v>Nov.</v>
      </c>
      <c r="AG103" s="165" t="str">
        <f t="shared" si="118"/>
        <v>Dez.</v>
      </c>
      <c r="AH103" s="164"/>
      <c r="AI103" s="67"/>
      <c r="AJ103" s="67"/>
      <c r="BA103" s="80"/>
      <c r="BB103" s="1105" t="str">
        <f t="shared" si="111"/>
        <v>Summe Personalkosten</v>
      </c>
      <c r="BC103" s="1218">
        <f>BO27</f>
        <v>0</v>
      </c>
      <c r="BD103" s="1218">
        <f t="shared" ref="BD103:BG103" si="119">SUM(BD101:BD102)</f>
        <v>0</v>
      </c>
      <c r="BE103" s="1218">
        <f t="shared" si="119"/>
        <v>0</v>
      </c>
      <c r="BF103" s="1218">
        <f t="shared" si="119"/>
        <v>0</v>
      </c>
      <c r="BG103" s="1218">
        <f t="shared" si="119"/>
        <v>0</v>
      </c>
      <c r="BO103" s="34"/>
      <c r="BR103" s="80"/>
      <c r="BS103" s="97" t="str">
        <f t="shared" si="112"/>
        <v>Summe Personalkosten</v>
      </c>
      <c r="BT103" s="1218">
        <f>CF27</f>
        <v>0</v>
      </c>
      <c r="BU103" s="1218">
        <f t="shared" ref="BU103:BX103" si="120">SUM(BU101:BU102)</f>
        <v>0</v>
      </c>
      <c r="BV103" s="1218">
        <f t="shared" si="120"/>
        <v>0</v>
      </c>
      <c r="BW103" s="1218">
        <f t="shared" si="120"/>
        <v>0</v>
      </c>
      <c r="BX103" s="1218">
        <f t="shared" si="120"/>
        <v>0</v>
      </c>
      <c r="CU103" s="922"/>
      <c r="CV103" s="922"/>
      <c r="CW103" s="986"/>
      <c r="CX103" s="991"/>
      <c r="CY103" s="60"/>
      <c r="CZ103" s="283"/>
      <c r="DC103" s="197"/>
      <c r="DD103" s="197"/>
    </row>
    <row r="104" spans="1:108" x14ac:dyDescent="0.2">
      <c r="A104" s="70"/>
      <c r="B104" s="188">
        <v>4</v>
      </c>
      <c r="C104" s="1104" t="str">
        <f t="shared" si="90"/>
        <v>Reisekosten</v>
      </c>
      <c r="D104" s="1220"/>
      <c r="E104" s="1220"/>
      <c r="F104" s="1220"/>
      <c r="G104" s="1220"/>
      <c r="H104" s="1220"/>
      <c r="I104" s="144"/>
      <c r="J104" s="34"/>
      <c r="K104" s="34"/>
      <c r="L104" s="34"/>
      <c r="M104" s="34"/>
      <c r="N104" s="34"/>
      <c r="O104" s="34"/>
      <c r="P104" s="34"/>
      <c r="Q104" s="35"/>
      <c r="S104" s="94"/>
      <c r="U104" s="145"/>
      <c r="V104" s="146"/>
      <c r="W104" s="146"/>
      <c r="X104" s="146"/>
      <c r="Y104" s="146"/>
      <c r="Z104" s="146"/>
      <c r="AA104" s="146"/>
      <c r="AB104" s="146"/>
      <c r="AC104" s="146"/>
      <c r="AD104" s="146"/>
      <c r="AE104" s="146"/>
      <c r="AF104" s="146"/>
      <c r="AG104" s="147"/>
      <c r="AH104" s="164"/>
      <c r="AI104" s="67"/>
      <c r="AJ104" s="67"/>
      <c r="BA104" s="188">
        <v>4</v>
      </c>
      <c r="BB104" s="1104" t="str">
        <f t="shared" si="111"/>
        <v>Reisekosten</v>
      </c>
      <c r="BC104" s="1220"/>
      <c r="BD104" s="1220"/>
      <c r="BE104" s="1220"/>
      <c r="BF104" s="1220"/>
      <c r="BG104" s="1220"/>
      <c r="BO104" s="34"/>
      <c r="BR104" s="188">
        <v>4</v>
      </c>
      <c r="BS104" s="87" t="str">
        <f t="shared" si="112"/>
        <v>Reisekosten</v>
      </c>
      <c r="BT104" s="1220"/>
      <c r="BU104" s="1220"/>
      <c r="BV104" s="1220"/>
      <c r="BW104" s="1220"/>
      <c r="BX104" s="1220"/>
      <c r="CU104" s="922"/>
      <c r="CV104" s="922"/>
      <c r="CW104" s="986"/>
      <c r="CX104" s="991"/>
      <c r="CY104" s="60"/>
      <c r="CZ104" s="283"/>
      <c r="DC104" s="197"/>
      <c r="DD104" s="197"/>
    </row>
    <row r="105" spans="1:108" x14ac:dyDescent="0.2">
      <c r="A105" s="70">
        <f t="shared" ref="A105:B107" si="121">A29</f>
        <v>0.19</v>
      </c>
      <c r="B105" s="71">
        <f t="shared" si="121"/>
        <v>0.19</v>
      </c>
      <c r="C105" s="1421" t="str">
        <f t="shared" si="90"/>
        <v>Fahrtkosten</v>
      </c>
      <c r="D105" s="1422">
        <f t="shared" si="93"/>
        <v>0</v>
      </c>
      <c r="E105" s="1414"/>
      <c r="F105" s="1414"/>
      <c r="G105" s="1414"/>
      <c r="H105" s="1423"/>
      <c r="I105" s="144"/>
      <c r="J105" s="34"/>
      <c r="K105" s="34"/>
      <c r="L105" s="34"/>
      <c r="M105" s="34"/>
      <c r="N105" s="34"/>
      <c r="O105" s="34"/>
      <c r="P105" s="34"/>
      <c r="Q105" s="35"/>
      <c r="S105" s="1546"/>
      <c r="U105" s="149"/>
      <c r="V105" s="150"/>
      <c r="W105" s="150"/>
      <c r="X105" s="150"/>
      <c r="Y105" s="150"/>
      <c r="Z105" s="150"/>
      <c r="AA105" s="150"/>
      <c r="AB105" s="150"/>
      <c r="AC105" s="150"/>
      <c r="AD105" s="150"/>
      <c r="AE105" s="150"/>
      <c r="AF105" s="150"/>
      <c r="AG105" s="151"/>
      <c r="AH105" s="164"/>
      <c r="AI105" s="67"/>
      <c r="AJ105" s="67"/>
      <c r="BA105" s="71">
        <f>BA29</f>
        <v>0.19</v>
      </c>
      <c r="BB105" s="1101" t="str">
        <f t="shared" si="111"/>
        <v>Fahrtkosten</v>
      </c>
      <c r="BC105" s="1234">
        <f>BO29</f>
        <v>0</v>
      </c>
      <c r="BD105" s="1254">
        <f t="shared" ref="BD105:BG108" si="122">IF($A105=$Q$2,E105*IF(OR($D$4=0,$D$4=3),$A105,$A105/(1+$A105)),0)</f>
        <v>0</v>
      </c>
      <c r="BE105" s="1254">
        <f t="shared" si="122"/>
        <v>0</v>
      </c>
      <c r="BF105" s="1254">
        <f t="shared" si="122"/>
        <v>0</v>
      </c>
      <c r="BG105" s="1254">
        <f t="shared" si="122"/>
        <v>0</v>
      </c>
      <c r="BO105" s="34"/>
      <c r="BR105" s="71">
        <f>BR29</f>
        <v>0.19</v>
      </c>
      <c r="BS105" s="72" t="str">
        <f t="shared" si="112"/>
        <v>Fahrtkosten</v>
      </c>
      <c r="BT105" s="1234">
        <f>CF29</f>
        <v>0</v>
      </c>
      <c r="BU105" s="1254">
        <f t="shared" ref="BU105:BX108" si="123">IF($A105=$Q$3,E105*IF(OR($D$4=0,$D$4=3),$A105,$A105/(1+$A105)),0)</f>
        <v>0</v>
      </c>
      <c r="BV105" s="1254">
        <f t="shared" si="123"/>
        <v>0</v>
      </c>
      <c r="BW105" s="1254">
        <f t="shared" si="123"/>
        <v>0</v>
      </c>
      <c r="BX105" s="1254">
        <f t="shared" si="123"/>
        <v>0</v>
      </c>
      <c r="CU105" s="922"/>
      <c r="CV105" s="922"/>
      <c r="CW105" s="986"/>
      <c r="CX105" s="991">
        <f>CX29</f>
        <v>0.19</v>
      </c>
      <c r="CY105" s="60"/>
      <c r="CZ105" s="283"/>
      <c r="DC105" s="197"/>
      <c r="DD105" s="197"/>
    </row>
    <row r="106" spans="1:108" x14ac:dyDescent="0.2">
      <c r="A106" s="70">
        <f t="shared" si="121"/>
        <v>0.19</v>
      </c>
      <c r="B106" s="71">
        <f t="shared" si="121"/>
        <v>0.19</v>
      </c>
      <c r="C106" s="1421" t="str">
        <f t="shared" si="90"/>
        <v>Reisekostenpauschalen</v>
      </c>
      <c r="D106" s="1422">
        <f t="shared" si="93"/>
        <v>0</v>
      </c>
      <c r="E106" s="1414"/>
      <c r="F106" s="1414"/>
      <c r="G106" s="1414"/>
      <c r="H106" s="1423"/>
      <c r="I106" s="144"/>
      <c r="J106" s="34"/>
      <c r="K106" s="34"/>
      <c r="L106" s="34"/>
      <c r="M106" s="34"/>
      <c r="N106" s="34"/>
      <c r="O106" s="34"/>
      <c r="P106" s="34"/>
      <c r="Q106" s="35"/>
      <c r="S106" s="1546"/>
      <c r="U106" s="149"/>
      <c r="V106" s="150"/>
      <c r="W106" s="150"/>
      <c r="X106" s="150"/>
      <c r="Y106" s="150"/>
      <c r="Z106" s="150"/>
      <c r="AA106" s="150"/>
      <c r="AB106" s="150"/>
      <c r="AC106" s="150"/>
      <c r="AD106" s="150"/>
      <c r="AE106" s="150"/>
      <c r="AF106" s="150"/>
      <c r="AG106" s="151"/>
      <c r="AH106" s="153"/>
      <c r="AI106" s="67"/>
      <c r="AJ106" s="67"/>
      <c r="BA106" s="71">
        <f>BA30</f>
        <v>0.19</v>
      </c>
      <c r="BB106" s="1101" t="str">
        <f t="shared" si="111"/>
        <v>Reisekostenpauschalen</v>
      </c>
      <c r="BC106" s="1234">
        <f>BO30</f>
        <v>0</v>
      </c>
      <c r="BD106" s="1254">
        <f t="shared" si="122"/>
        <v>0</v>
      </c>
      <c r="BE106" s="1254">
        <f t="shared" si="122"/>
        <v>0</v>
      </c>
      <c r="BF106" s="1254">
        <f t="shared" si="122"/>
        <v>0</v>
      </c>
      <c r="BG106" s="1254">
        <f t="shared" si="122"/>
        <v>0</v>
      </c>
      <c r="BO106" s="34"/>
      <c r="BR106" s="71">
        <f>BR30</f>
        <v>0.19</v>
      </c>
      <c r="BS106" s="72" t="str">
        <f t="shared" si="112"/>
        <v>Reisekostenpauschalen</v>
      </c>
      <c r="BT106" s="1234">
        <f>CF30</f>
        <v>0</v>
      </c>
      <c r="BU106" s="1254">
        <f t="shared" si="123"/>
        <v>0</v>
      </c>
      <c r="BV106" s="1254">
        <f t="shared" si="123"/>
        <v>0</v>
      </c>
      <c r="BW106" s="1254">
        <f t="shared" si="123"/>
        <v>0</v>
      </c>
      <c r="BX106" s="1254">
        <f t="shared" si="123"/>
        <v>0</v>
      </c>
      <c r="CU106" s="91"/>
      <c r="CV106" s="91"/>
      <c r="CW106" s="986"/>
      <c r="CX106" s="991">
        <f>CX30</f>
        <v>0.19</v>
      </c>
      <c r="CY106" s="60"/>
      <c r="CZ106" s="1369"/>
      <c r="DC106" s="463"/>
      <c r="DD106" s="463"/>
    </row>
    <row r="107" spans="1:108" x14ac:dyDescent="0.2">
      <c r="A107" s="70">
        <f t="shared" si="121"/>
        <v>7.0000000000000007E-2</v>
      </c>
      <c r="B107" s="71">
        <f t="shared" si="121"/>
        <v>7.0000000000000007E-2</v>
      </c>
      <c r="C107" s="1421" t="str">
        <f t="shared" si="90"/>
        <v>Übernachtungen</v>
      </c>
      <c r="D107" s="1422">
        <f t="shared" si="93"/>
        <v>0</v>
      </c>
      <c r="E107" s="1414"/>
      <c r="F107" s="1414"/>
      <c r="G107" s="1414"/>
      <c r="H107" s="1423"/>
      <c r="I107" s="144"/>
      <c r="J107" s="34"/>
      <c r="K107" s="34"/>
      <c r="L107" s="34"/>
      <c r="M107" s="34"/>
      <c r="N107" s="34"/>
      <c r="O107" s="34"/>
      <c r="P107" s="34"/>
      <c r="Q107" s="35"/>
      <c r="S107" s="1546"/>
      <c r="U107" s="149"/>
      <c r="V107" s="150"/>
      <c r="W107" s="150"/>
      <c r="X107" s="150"/>
      <c r="Y107" s="150"/>
      <c r="Z107" s="150"/>
      <c r="AA107" s="150"/>
      <c r="AB107" s="150"/>
      <c r="AC107" s="150"/>
      <c r="AD107" s="150"/>
      <c r="AE107" s="150"/>
      <c r="AF107" s="150"/>
      <c r="AG107" s="151"/>
      <c r="AH107" s="153"/>
      <c r="AI107" s="67"/>
      <c r="AJ107" s="67"/>
      <c r="BA107" s="71">
        <f>BA31</f>
        <v>7.0000000000000007E-2</v>
      </c>
      <c r="BB107" s="1101" t="str">
        <f t="shared" si="111"/>
        <v>Übernachtungen</v>
      </c>
      <c r="BC107" s="1234">
        <f>BO31</f>
        <v>0</v>
      </c>
      <c r="BD107" s="1254">
        <f t="shared" si="122"/>
        <v>0</v>
      </c>
      <c r="BE107" s="1254">
        <f t="shared" si="122"/>
        <v>0</v>
      </c>
      <c r="BF107" s="1254">
        <f t="shared" si="122"/>
        <v>0</v>
      </c>
      <c r="BG107" s="1254">
        <f t="shared" si="122"/>
        <v>0</v>
      </c>
      <c r="BO107" s="34"/>
      <c r="BR107" s="71">
        <f>BR31</f>
        <v>7.0000000000000007E-2</v>
      </c>
      <c r="BS107" s="72" t="str">
        <f t="shared" si="112"/>
        <v>Übernachtungen</v>
      </c>
      <c r="BT107" s="1234">
        <f>CF31</f>
        <v>0</v>
      </c>
      <c r="BU107" s="1254">
        <f t="shared" si="123"/>
        <v>0</v>
      </c>
      <c r="BV107" s="1254">
        <f t="shared" si="123"/>
        <v>0</v>
      </c>
      <c r="BW107" s="1254">
        <f t="shared" si="123"/>
        <v>0</v>
      </c>
      <c r="BX107" s="1254">
        <f t="shared" si="123"/>
        <v>0</v>
      </c>
      <c r="CU107" s="1007"/>
      <c r="CV107" s="1007"/>
      <c r="CW107" s="986"/>
      <c r="CX107" s="991">
        <f>CX31</f>
        <v>7.0000000000000007E-2</v>
      </c>
      <c r="CY107" s="60"/>
      <c r="CZ107" s="283"/>
      <c r="DC107" s="641"/>
      <c r="DD107" s="641"/>
    </row>
    <row r="108" spans="1:108" x14ac:dyDescent="0.2">
      <c r="A108" s="70">
        <f>A32</f>
        <v>0.19</v>
      </c>
      <c r="B108" s="71">
        <f>A32</f>
        <v>0.19</v>
      </c>
      <c r="C108" s="1424" t="str">
        <f t="shared" si="90"/>
        <v>Kosten  für Ausbelichtungen u. Foto-Dienstleiustungen</v>
      </c>
      <c r="D108" s="1425">
        <f t="shared" si="93"/>
        <v>0</v>
      </c>
      <c r="E108" s="1417"/>
      <c r="F108" s="1417"/>
      <c r="G108" s="1417"/>
      <c r="H108" s="1417"/>
      <c r="I108" s="144"/>
      <c r="J108" s="34"/>
      <c r="K108" s="34"/>
      <c r="L108" s="34"/>
      <c r="M108" s="34"/>
      <c r="N108" s="34"/>
      <c r="O108" s="34"/>
      <c r="P108" s="34"/>
      <c r="Q108" s="35"/>
      <c r="S108" s="1546"/>
      <c r="U108" s="149"/>
      <c r="V108" s="150"/>
      <c r="W108" s="150"/>
      <c r="X108" s="150"/>
      <c r="Y108" s="150"/>
      <c r="Z108" s="150"/>
      <c r="AA108" s="150"/>
      <c r="AB108" s="150"/>
      <c r="AC108" s="150"/>
      <c r="AD108" s="150"/>
      <c r="AE108" s="150"/>
      <c r="AF108" s="150"/>
      <c r="AG108" s="151"/>
      <c r="AH108" s="153"/>
      <c r="AI108" s="67"/>
      <c r="AJ108" s="67"/>
      <c r="BA108" s="71">
        <f>AZ32</f>
        <v>0</v>
      </c>
      <c r="BB108" s="1101" t="str">
        <f t="shared" si="111"/>
        <v>Sonstiges</v>
      </c>
      <c r="BC108" s="1235">
        <f>BO32</f>
        <v>0</v>
      </c>
      <c r="BD108" s="1254">
        <f t="shared" si="122"/>
        <v>0</v>
      </c>
      <c r="BE108" s="1254">
        <f t="shared" si="122"/>
        <v>0</v>
      </c>
      <c r="BF108" s="1254">
        <f t="shared" si="122"/>
        <v>0</v>
      </c>
      <c r="BG108" s="1254">
        <f t="shared" si="122"/>
        <v>0</v>
      </c>
      <c r="BO108" s="34"/>
      <c r="BR108" s="71">
        <f>BQ32</f>
        <v>0</v>
      </c>
      <c r="BS108" s="72" t="str">
        <f t="shared" si="112"/>
        <v>Sonstiges</v>
      </c>
      <c r="BT108" s="1235">
        <f>CF32</f>
        <v>0</v>
      </c>
      <c r="BU108" s="1254">
        <f t="shared" si="123"/>
        <v>0</v>
      </c>
      <c r="BV108" s="1254">
        <f t="shared" si="123"/>
        <v>0</v>
      </c>
      <c r="BW108" s="1254">
        <f t="shared" si="123"/>
        <v>0</v>
      </c>
      <c r="BX108" s="1254">
        <f t="shared" si="123"/>
        <v>0</v>
      </c>
      <c r="CU108" s="1007"/>
      <c r="CV108" s="1007"/>
      <c r="CW108" s="986"/>
      <c r="CX108" s="991">
        <f>CX32</f>
        <v>0.19</v>
      </c>
      <c r="CY108" s="60"/>
      <c r="CZ108" s="283"/>
      <c r="DC108" s="641"/>
      <c r="DD108" s="641"/>
    </row>
    <row r="109" spans="1:108" ht="15" thickBot="1" x14ac:dyDescent="0.25">
      <c r="A109" s="70"/>
      <c r="B109" s="1475"/>
      <c r="C109" s="1479" t="str">
        <f t="shared" si="90"/>
        <v>Summe Reisekosten</v>
      </c>
      <c r="D109" s="1477">
        <f t="shared" si="93"/>
        <v>0</v>
      </c>
      <c r="E109" s="1477">
        <f>SUM(E105:E108)</f>
        <v>0</v>
      </c>
      <c r="F109" s="1477">
        <f>SUM(F105:F108)</f>
        <v>0</v>
      </c>
      <c r="G109" s="1477">
        <f>SUM(G105:G108)</f>
        <v>0</v>
      </c>
      <c r="H109" s="1480">
        <f>SUM(H105:H108)</f>
        <v>0</v>
      </c>
      <c r="I109" s="144"/>
      <c r="J109" s="34"/>
      <c r="K109" s="34"/>
      <c r="L109" s="34"/>
      <c r="M109" s="34"/>
      <c r="N109" s="34"/>
      <c r="O109" s="34"/>
      <c r="P109" s="34"/>
      <c r="Q109" s="35"/>
      <c r="S109" s="83"/>
      <c r="U109" s="149"/>
      <c r="V109" s="150"/>
      <c r="W109" s="150"/>
      <c r="X109" s="150"/>
      <c r="Y109" s="150"/>
      <c r="Z109" s="150"/>
      <c r="AA109" s="150"/>
      <c r="AB109" s="150"/>
      <c r="AC109" s="150"/>
      <c r="AD109" s="150"/>
      <c r="AE109" s="150"/>
      <c r="AF109" s="150"/>
      <c r="AG109" s="151"/>
      <c r="AH109" s="153"/>
      <c r="AI109" s="67"/>
      <c r="AJ109" s="67"/>
      <c r="BA109" s="80"/>
      <c r="BB109" s="1105" t="str">
        <f t="shared" si="111"/>
        <v>Summe Reisekosten</v>
      </c>
      <c r="BC109" s="1218">
        <f>BO33</f>
        <v>0</v>
      </c>
      <c r="BD109" s="1218">
        <f t="shared" ref="BD109:BG109" si="124">SUM(BD105:BD108)</f>
        <v>0</v>
      </c>
      <c r="BE109" s="1218">
        <f t="shared" si="124"/>
        <v>0</v>
      </c>
      <c r="BF109" s="1218">
        <f t="shared" si="124"/>
        <v>0</v>
      </c>
      <c r="BG109" s="1218">
        <f t="shared" si="124"/>
        <v>0</v>
      </c>
      <c r="BO109" s="34"/>
      <c r="BR109" s="80"/>
      <c r="BS109" s="97" t="str">
        <f t="shared" si="112"/>
        <v>Summe Reisekosten</v>
      </c>
      <c r="BT109" s="1218">
        <f>CF33</f>
        <v>0</v>
      </c>
      <c r="BU109" s="1218">
        <f t="shared" ref="BU109:BX109" si="125">SUM(BU105:BU108)</f>
        <v>0</v>
      </c>
      <c r="BV109" s="1218">
        <f t="shared" si="125"/>
        <v>0</v>
      </c>
      <c r="BW109" s="1218">
        <f t="shared" si="125"/>
        <v>0</v>
      </c>
      <c r="BX109" s="1218">
        <f t="shared" si="125"/>
        <v>0</v>
      </c>
      <c r="CU109" s="1007"/>
      <c r="CV109" s="1007"/>
      <c r="CW109" s="986"/>
      <c r="CX109" s="991"/>
      <c r="CY109" s="60"/>
      <c r="CZ109" s="283"/>
      <c r="DC109" s="641"/>
      <c r="DD109" s="641"/>
    </row>
    <row r="110" spans="1:108" ht="15.75" thickTop="1" thickBot="1" x14ac:dyDescent="0.25">
      <c r="A110" s="70"/>
      <c r="B110" s="188">
        <v>5</v>
      </c>
      <c r="C110" s="1104" t="str">
        <f t="shared" si="90"/>
        <v>Versicherungen und Beiträge (betrieblich!)</v>
      </c>
      <c r="D110" s="1220"/>
      <c r="E110" s="1220"/>
      <c r="F110" s="1220"/>
      <c r="G110" s="1220"/>
      <c r="H110" s="1220"/>
      <c r="I110" s="144"/>
      <c r="J110" s="34"/>
      <c r="K110" s="34"/>
      <c r="L110" s="34"/>
      <c r="M110" s="34"/>
      <c r="N110" s="34"/>
      <c r="O110" s="34"/>
      <c r="P110" s="34"/>
      <c r="Q110" s="35"/>
      <c r="S110" s="94"/>
      <c r="U110" s="84" t="str">
        <f>U88</f>
        <v>Gesamtsumme</v>
      </c>
      <c r="V110" s="159">
        <f>SUM(V104:V109)</f>
        <v>0</v>
      </c>
      <c r="W110" s="159">
        <f t="shared" ref="W110:AG110" si="126">SUM(W104:W109)</f>
        <v>0</v>
      </c>
      <c r="X110" s="159">
        <f t="shared" si="126"/>
        <v>0</v>
      </c>
      <c r="Y110" s="159">
        <f t="shared" si="126"/>
        <v>0</v>
      </c>
      <c r="Z110" s="159">
        <f t="shared" si="126"/>
        <v>0</v>
      </c>
      <c r="AA110" s="159">
        <f t="shared" si="126"/>
        <v>0</v>
      </c>
      <c r="AB110" s="159">
        <f t="shared" si="126"/>
        <v>0</v>
      </c>
      <c r="AC110" s="159">
        <f t="shared" si="126"/>
        <v>0</v>
      </c>
      <c r="AD110" s="159">
        <f t="shared" si="126"/>
        <v>0</v>
      </c>
      <c r="AE110" s="159">
        <f t="shared" si="126"/>
        <v>0</v>
      </c>
      <c r="AF110" s="159">
        <f t="shared" si="126"/>
        <v>0</v>
      </c>
      <c r="AG110" s="160">
        <f t="shared" si="126"/>
        <v>0</v>
      </c>
      <c r="AH110" s="161">
        <f>SUM(V110:AG110)</f>
        <v>0</v>
      </c>
      <c r="AI110" s="67"/>
      <c r="AJ110" s="67"/>
      <c r="BA110" s="188">
        <v>5</v>
      </c>
      <c r="BB110" s="1104" t="str">
        <f t="shared" si="111"/>
        <v>Versicherungen und Beiträge (betrieblich!)</v>
      </c>
      <c r="BC110" s="1220"/>
      <c r="BD110" s="1220"/>
      <c r="BE110" s="1220"/>
      <c r="BF110" s="1220"/>
      <c r="BG110" s="1220"/>
      <c r="BO110" s="34"/>
      <c r="BR110" s="188">
        <v>5</v>
      </c>
      <c r="BS110" s="87" t="str">
        <f t="shared" si="112"/>
        <v>Versicherungen und Beiträge (betrieblich!)</v>
      </c>
      <c r="BT110" s="1220"/>
      <c r="BU110" s="1220"/>
      <c r="BV110" s="1220"/>
      <c r="BW110" s="1220"/>
      <c r="BX110" s="1220"/>
      <c r="CU110" s="1007"/>
      <c r="CV110" s="1007"/>
      <c r="CW110" s="986"/>
      <c r="CX110" s="991"/>
      <c r="CY110" s="60"/>
      <c r="CZ110" s="283"/>
      <c r="DC110" s="641"/>
      <c r="DD110" s="641"/>
    </row>
    <row r="111" spans="1:108" x14ac:dyDescent="0.2">
      <c r="A111" s="70">
        <f t="shared" ref="A111:B113" si="127">A35</f>
        <v>0.19</v>
      </c>
      <c r="B111" s="71">
        <f t="shared" si="127"/>
        <v>0.19</v>
      </c>
      <c r="C111" s="1421" t="str">
        <f t="shared" si="90"/>
        <v>Haftpflicht</v>
      </c>
      <c r="D111" s="1422">
        <f t="shared" si="93"/>
        <v>0</v>
      </c>
      <c r="E111" s="1414"/>
      <c r="F111" s="1414"/>
      <c r="G111" s="1414"/>
      <c r="H111" s="1423"/>
      <c r="I111" s="144"/>
      <c r="J111" s="34"/>
      <c r="K111" s="34"/>
      <c r="L111" s="34"/>
      <c r="M111" s="34"/>
      <c r="N111" s="34"/>
      <c r="O111" s="34"/>
      <c r="P111" s="34"/>
      <c r="Q111" s="35"/>
      <c r="S111" s="1546"/>
      <c r="U111" s="34"/>
      <c r="V111" s="37"/>
      <c r="W111" s="37"/>
      <c r="X111" s="37"/>
      <c r="Y111" s="37"/>
      <c r="Z111" s="37"/>
      <c r="AA111" s="37"/>
      <c r="AB111" s="37"/>
      <c r="AC111" s="37"/>
      <c r="AD111" s="37"/>
      <c r="AE111" s="37"/>
      <c r="AF111" s="37"/>
      <c r="AG111" s="37"/>
      <c r="AH111" s="37"/>
      <c r="AI111" s="67"/>
      <c r="AJ111" s="67"/>
      <c r="BA111" s="71">
        <f>BA35</f>
        <v>0.19</v>
      </c>
      <c r="BB111" s="1101" t="str">
        <f t="shared" si="111"/>
        <v>Haftpflicht</v>
      </c>
      <c r="BC111" s="1234">
        <f>BO35</f>
        <v>0</v>
      </c>
      <c r="BD111" s="1254">
        <f t="shared" ref="BD111:BG114" si="128">IF($A111=$Q$2,E111*IF(OR($D$4=0,$D$4=3),$A111,$A111/(1+$A111)),0)</f>
        <v>0</v>
      </c>
      <c r="BE111" s="1254">
        <f t="shared" si="128"/>
        <v>0</v>
      </c>
      <c r="BF111" s="1254">
        <f t="shared" si="128"/>
        <v>0</v>
      </c>
      <c r="BG111" s="1254">
        <f t="shared" si="128"/>
        <v>0</v>
      </c>
      <c r="BO111" s="34"/>
      <c r="BR111" s="71">
        <f>BR35</f>
        <v>0.19</v>
      </c>
      <c r="BS111" s="72" t="str">
        <f t="shared" si="112"/>
        <v>Haftpflicht</v>
      </c>
      <c r="BT111" s="1234">
        <f>CF35</f>
        <v>0</v>
      </c>
      <c r="BU111" s="1254">
        <f t="shared" ref="BU111:BX114" si="129">IF($A111=$Q$3,E111*IF(OR($D$4=0,$D$4=3),$A111,$A111/(1+$A111)),0)</f>
        <v>0</v>
      </c>
      <c r="BV111" s="1254">
        <f t="shared" si="129"/>
        <v>0</v>
      </c>
      <c r="BW111" s="1254">
        <f t="shared" si="129"/>
        <v>0</v>
      </c>
      <c r="BX111" s="1254">
        <f t="shared" si="129"/>
        <v>0</v>
      </c>
      <c r="CU111" s="1007"/>
      <c r="CV111" s="1007"/>
      <c r="CW111" s="986"/>
      <c r="CX111" s="991">
        <f>CX35</f>
        <v>0.19</v>
      </c>
      <c r="CY111" s="60"/>
      <c r="CZ111" s="283"/>
      <c r="DC111" s="641"/>
      <c r="DD111" s="641"/>
    </row>
    <row r="112" spans="1:108" x14ac:dyDescent="0.2">
      <c r="A112" s="70">
        <f>A36</f>
        <v>0.19</v>
      </c>
      <c r="B112" s="71">
        <f t="shared" si="127"/>
        <v>0.19</v>
      </c>
      <c r="C112" s="1421" t="str">
        <f t="shared" si="90"/>
        <v>Rechtschutzversicherung</v>
      </c>
      <c r="D112" s="1422">
        <f t="shared" si="93"/>
        <v>0</v>
      </c>
      <c r="E112" s="1414"/>
      <c r="F112" s="1414"/>
      <c r="G112" s="1414"/>
      <c r="H112" s="1423"/>
      <c r="I112" s="144"/>
      <c r="J112" s="34"/>
      <c r="K112" s="34"/>
      <c r="L112" s="34"/>
      <c r="M112" s="34"/>
      <c r="N112" s="34"/>
      <c r="O112" s="34"/>
      <c r="P112" s="34"/>
      <c r="Q112" s="35"/>
      <c r="S112" s="1546"/>
      <c r="U112" s="34"/>
      <c r="V112" s="37"/>
      <c r="W112" s="37"/>
      <c r="X112" s="37"/>
      <c r="Y112" s="37"/>
      <c r="Z112" s="37"/>
      <c r="AA112" s="37"/>
      <c r="AB112" s="37"/>
      <c r="AC112" s="37"/>
      <c r="AD112" s="37"/>
      <c r="AE112" s="37"/>
      <c r="AF112" s="37"/>
      <c r="AG112" s="37"/>
      <c r="AH112" s="37"/>
      <c r="AI112" s="67"/>
      <c r="AJ112" s="67"/>
      <c r="BA112" s="71">
        <f>BA36</f>
        <v>0.19</v>
      </c>
      <c r="BB112" s="1101" t="str">
        <f t="shared" si="111"/>
        <v>Rechtschutzversicherung</v>
      </c>
      <c r="BC112" s="1234">
        <f>BO36</f>
        <v>0</v>
      </c>
      <c r="BD112" s="1254">
        <f t="shared" si="128"/>
        <v>0</v>
      </c>
      <c r="BE112" s="1254">
        <f t="shared" si="128"/>
        <v>0</v>
      </c>
      <c r="BF112" s="1254">
        <f t="shared" si="128"/>
        <v>0</v>
      </c>
      <c r="BG112" s="1254">
        <f t="shared" si="128"/>
        <v>0</v>
      </c>
      <c r="BO112" s="34"/>
      <c r="BR112" s="71">
        <f>BR36</f>
        <v>0.19</v>
      </c>
      <c r="BS112" s="72" t="str">
        <f t="shared" si="112"/>
        <v>Rechtschutzversicherung</v>
      </c>
      <c r="BT112" s="1234">
        <f>CF36</f>
        <v>0</v>
      </c>
      <c r="BU112" s="1254">
        <f t="shared" si="129"/>
        <v>0</v>
      </c>
      <c r="BV112" s="1254">
        <f t="shared" si="129"/>
        <v>0</v>
      </c>
      <c r="BW112" s="1254">
        <f t="shared" si="129"/>
        <v>0</v>
      </c>
      <c r="BX112" s="1254">
        <f t="shared" si="129"/>
        <v>0</v>
      </c>
      <c r="CU112" s="1007"/>
      <c r="CV112" s="1007"/>
      <c r="CW112" s="986"/>
      <c r="CX112" s="991">
        <f>CX36</f>
        <v>0.19</v>
      </c>
      <c r="CY112" s="60"/>
      <c r="CZ112" s="1369"/>
      <c r="DC112" s="641"/>
      <c r="DD112" s="641"/>
    </row>
    <row r="113" spans="1:108" ht="15" thickBot="1" x14ac:dyDescent="0.25">
      <c r="A113" s="70">
        <f>A37</f>
        <v>0.19</v>
      </c>
      <c r="B113" s="71">
        <f t="shared" si="127"/>
        <v>0.19</v>
      </c>
      <c r="C113" s="1421" t="str">
        <f t="shared" si="90"/>
        <v>Beiträge (IHK, Berufsverbände, ...)</v>
      </c>
      <c r="D113" s="1422">
        <f t="shared" si="93"/>
        <v>0</v>
      </c>
      <c r="E113" s="1414"/>
      <c r="F113" s="1414"/>
      <c r="G113" s="1414"/>
      <c r="H113" s="1423"/>
      <c r="I113" s="144"/>
      <c r="J113" s="34"/>
      <c r="K113" s="34"/>
      <c r="L113" s="34"/>
      <c r="M113" s="34"/>
      <c r="N113" s="34"/>
      <c r="O113" s="34"/>
      <c r="P113" s="34"/>
      <c r="Q113" s="35"/>
      <c r="S113" s="1546"/>
      <c r="U113" s="34"/>
      <c r="V113" s="37"/>
      <c r="W113" s="37"/>
      <c r="X113" s="37"/>
      <c r="Y113" s="37"/>
      <c r="Z113" s="37"/>
      <c r="AA113" s="37"/>
      <c r="AB113" s="37"/>
      <c r="AC113" s="37"/>
      <c r="AD113" s="37"/>
      <c r="AE113" s="37"/>
      <c r="AF113" s="37"/>
      <c r="AG113" s="37"/>
      <c r="AH113" s="37"/>
      <c r="AI113" s="67"/>
      <c r="AJ113" s="67"/>
      <c r="BA113" s="71">
        <f>BA37</f>
        <v>0.19</v>
      </c>
      <c r="BB113" s="1101" t="str">
        <f t="shared" si="111"/>
        <v>Beiträge (IHK, Berufsverbände, ...)</v>
      </c>
      <c r="BC113" s="1234">
        <f>BO37</f>
        <v>0</v>
      </c>
      <c r="BD113" s="1254">
        <f t="shared" si="128"/>
        <v>0</v>
      </c>
      <c r="BE113" s="1254">
        <f t="shared" si="128"/>
        <v>0</v>
      </c>
      <c r="BF113" s="1254">
        <f t="shared" si="128"/>
        <v>0</v>
      </c>
      <c r="BG113" s="1254">
        <f t="shared" si="128"/>
        <v>0</v>
      </c>
      <c r="BO113" s="34"/>
      <c r="BR113" s="71">
        <f>BR37</f>
        <v>0.19</v>
      </c>
      <c r="BS113" s="72" t="str">
        <f t="shared" si="112"/>
        <v>Beiträge (IHK, Berufsverbände, ...)</v>
      </c>
      <c r="BT113" s="1234">
        <f>CF37</f>
        <v>0</v>
      </c>
      <c r="BU113" s="1254">
        <f t="shared" si="129"/>
        <v>0</v>
      </c>
      <c r="BV113" s="1254">
        <f t="shared" si="129"/>
        <v>0</v>
      </c>
      <c r="BW113" s="1254">
        <f t="shared" si="129"/>
        <v>0</v>
      </c>
      <c r="BX113" s="1254">
        <f t="shared" si="129"/>
        <v>0</v>
      </c>
      <c r="CU113" s="922"/>
      <c r="CV113" s="922"/>
      <c r="CW113" s="986"/>
      <c r="CX113" s="991">
        <f>CX37</f>
        <v>0.19</v>
      </c>
      <c r="CY113" s="60"/>
      <c r="CZ113" s="283"/>
      <c r="DC113" s="197"/>
      <c r="DD113" s="197"/>
    </row>
    <row r="114" spans="1:108" ht="15" thickBot="1" x14ac:dyDescent="0.25">
      <c r="A114" s="70">
        <f>A38</f>
        <v>0.19</v>
      </c>
      <c r="B114" s="71">
        <f>A38</f>
        <v>0.19</v>
      </c>
      <c r="C114" s="1424" t="str">
        <f t="shared" si="90"/>
        <v>Sonstiges</v>
      </c>
      <c r="D114" s="1425">
        <f t="shared" si="93"/>
        <v>0</v>
      </c>
      <c r="E114" s="1417"/>
      <c r="F114" s="1417"/>
      <c r="G114" s="1417"/>
      <c r="H114" s="1426"/>
      <c r="I114" s="144"/>
      <c r="J114" s="34"/>
      <c r="K114" s="34"/>
      <c r="L114" s="34"/>
      <c r="M114" s="34"/>
      <c r="N114" s="34"/>
      <c r="O114" s="34"/>
      <c r="P114" s="34"/>
      <c r="Q114" s="35"/>
      <c r="S114" s="1546"/>
      <c r="U114" s="56">
        <f ca="1">U103+1</f>
        <v>2020</v>
      </c>
      <c r="V114" s="165" t="str">
        <f t="shared" ref="V114:AG114" si="130">V81</f>
        <v>Jan.</v>
      </c>
      <c r="W114" s="165" t="str">
        <f t="shared" si="130"/>
        <v>Febr.</v>
      </c>
      <c r="X114" s="165" t="str">
        <f t="shared" si="130"/>
        <v>März</v>
      </c>
      <c r="Y114" s="165" t="str">
        <f t="shared" si="130"/>
        <v>April</v>
      </c>
      <c r="Z114" s="165" t="str">
        <f t="shared" si="130"/>
        <v>Mai</v>
      </c>
      <c r="AA114" s="165" t="str">
        <f t="shared" si="130"/>
        <v>Juni</v>
      </c>
      <c r="AB114" s="165" t="str">
        <f t="shared" si="130"/>
        <v>Juli</v>
      </c>
      <c r="AC114" s="165" t="str">
        <f t="shared" si="130"/>
        <v>Aug.</v>
      </c>
      <c r="AD114" s="165" t="str">
        <f t="shared" si="130"/>
        <v>Sept.</v>
      </c>
      <c r="AE114" s="165" t="str">
        <f t="shared" si="130"/>
        <v>Okt.</v>
      </c>
      <c r="AF114" s="165" t="str">
        <f t="shared" si="130"/>
        <v>Nov.</v>
      </c>
      <c r="AG114" s="165" t="str">
        <f t="shared" si="130"/>
        <v>Dez.</v>
      </c>
      <c r="AH114" s="164"/>
      <c r="AI114" s="67"/>
      <c r="AJ114" s="67"/>
      <c r="BA114" s="71">
        <f>AZ38</f>
        <v>0</v>
      </c>
      <c r="BB114" s="1101" t="str">
        <f t="shared" si="111"/>
        <v>Sonstiges</v>
      </c>
      <c r="BC114" s="1234">
        <f>BO38</f>
        <v>0</v>
      </c>
      <c r="BD114" s="1254">
        <f t="shared" si="128"/>
        <v>0</v>
      </c>
      <c r="BE114" s="1254">
        <f t="shared" si="128"/>
        <v>0</v>
      </c>
      <c r="BF114" s="1254">
        <f t="shared" si="128"/>
        <v>0</v>
      </c>
      <c r="BG114" s="1254">
        <f t="shared" si="128"/>
        <v>0</v>
      </c>
      <c r="BO114" s="34"/>
      <c r="BR114" s="71">
        <f>BQ38</f>
        <v>0</v>
      </c>
      <c r="BS114" s="72" t="str">
        <f t="shared" si="112"/>
        <v>Sonstiges</v>
      </c>
      <c r="BT114" s="1234">
        <f>CF38</f>
        <v>0</v>
      </c>
      <c r="BU114" s="1254">
        <f t="shared" si="129"/>
        <v>0</v>
      </c>
      <c r="BV114" s="1254">
        <f t="shared" si="129"/>
        <v>0</v>
      </c>
      <c r="BW114" s="1254">
        <f t="shared" si="129"/>
        <v>0</v>
      </c>
      <c r="BX114" s="1254">
        <f t="shared" si="129"/>
        <v>0</v>
      </c>
      <c r="CU114" s="922"/>
      <c r="CV114" s="922"/>
      <c r="CW114" s="986"/>
      <c r="CX114" s="991">
        <f>CX38</f>
        <v>0.19</v>
      </c>
      <c r="CY114" s="60"/>
      <c r="CZ114" s="283"/>
      <c r="DC114" s="197"/>
      <c r="DD114" s="197"/>
    </row>
    <row r="115" spans="1:108" ht="15" thickBot="1" x14ac:dyDescent="0.25">
      <c r="A115" s="70"/>
      <c r="B115" s="1475">
        <f>B44</f>
        <v>0</v>
      </c>
      <c r="C115" s="1479" t="str">
        <f t="shared" si="90"/>
        <v>Summe Versicherungen und Beiträge (betrieblich!)</v>
      </c>
      <c r="D115" s="1477">
        <f t="shared" si="93"/>
        <v>0</v>
      </c>
      <c r="E115" s="1477">
        <f>SUM(E111:E114)</f>
        <v>0</v>
      </c>
      <c r="F115" s="1477">
        <f>SUM(F111:F114)</f>
        <v>0</v>
      </c>
      <c r="G115" s="1477">
        <f>SUM(G111:G114)</f>
        <v>0</v>
      </c>
      <c r="H115" s="1480">
        <f>SUM(H111:H114)</f>
        <v>0</v>
      </c>
      <c r="I115" s="144"/>
      <c r="J115" s="34"/>
      <c r="K115" s="34"/>
      <c r="L115" s="34"/>
      <c r="M115" s="34"/>
      <c r="N115" s="34"/>
      <c r="O115" s="34"/>
      <c r="P115" s="34"/>
      <c r="Q115" s="35"/>
      <c r="S115" s="1546"/>
      <c r="U115" s="145"/>
      <c r="V115" s="146"/>
      <c r="W115" s="146"/>
      <c r="X115" s="146"/>
      <c r="Y115" s="146"/>
      <c r="Z115" s="146"/>
      <c r="AA115" s="146"/>
      <c r="AB115" s="146"/>
      <c r="AC115" s="146"/>
      <c r="AD115" s="146"/>
      <c r="AE115" s="146"/>
      <c r="AF115" s="146"/>
      <c r="AG115" s="147"/>
      <c r="AH115" s="164"/>
      <c r="AI115" s="67"/>
      <c r="AJ115" s="67"/>
      <c r="BA115" s="162">
        <f>BA44</f>
        <v>0</v>
      </c>
      <c r="BB115" s="1105" t="str">
        <f t="shared" si="111"/>
        <v>Summe Versicherungen und Beiträge (betrieblich!)</v>
      </c>
      <c r="BC115" s="1218">
        <f>BO39</f>
        <v>0</v>
      </c>
      <c r="BD115" s="1218">
        <f t="shared" ref="BD115:BG115" si="131">SUM(BD111:BD114)</f>
        <v>0</v>
      </c>
      <c r="BE115" s="1218">
        <f t="shared" si="131"/>
        <v>0</v>
      </c>
      <c r="BF115" s="1218">
        <f t="shared" si="131"/>
        <v>0</v>
      </c>
      <c r="BG115" s="1218">
        <f t="shared" si="131"/>
        <v>0</v>
      </c>
      <c r="BO115" s="34"/>
      <c r="BR115" s="162">
        <f>BR44</f>
        <v>0</v>
      </c>
      <c r="BS115" s="97" t="str">
        <f t="shared" si="112"/>
        <v>Summe Versicherungen und Beiträge (betrieblich!)</v>
      </c>
      <c r="BT115" s="1218">
        <f>CF39</f>
        <v>0</v>
      </c>
      <c r="BU115" s="1218">
        <f t="shared" ref="BU115:BX115" si="132">SUM(BU111:BU114)</f>
        <v>0</v>
      </c>
      <c r="BV115" s="1218">
        <f t="shared" si="132"/>
        <v>0</v>
      </c>
      <c r="BW115" s="1218">
        <f t="shared" si="132"/>
        <v>0</v>
      </c>
      <c r="BX115" s="1218">
        <f t="shared" si="132"/>
        <v>0</v>
      </c>
      <c r="CU115" s="922"/>
      <c r="CV115" s="922"/>
      <c r="CW115" s="986"/>
      <c r="CX115" s="991"/>
      <c r="CY115" s="60"/>
      <c r="CZ115" s="283"/>
      <c r="DC115" s="197"/>
      <c r="DD115" s="197"/>
    </row>
    <row r="116" spans="1:108" x14ac:dyDescent="0.2">
      <c r="A116" s="70"/>
      <c r="B116" s="188">
        <v>6</v>
      </c>
      <c r="C116" s="1102" t="str">
        <f t="shared" si="90"/>
        <v>KFZ Kosten / Betriebliche Nutzung</v>
      </c>
      <c r="D116" s="1220"/>
      <c r="E116" s="1220"/>
      <c r="F116" s="1220"/>
      <c r="G116" s="1220"/>
      <c r="H116" s="1220"/>
      <c r="I116" s="144"/>
      <c r="J116" s="34"/>
      <c r="K116" s="34"/>
      <c r="L116" s="34"/>
      <c r="M116" s="34"/>
      <c r="N116" s="34"/>
      <c r="O116" s="34"/>
      <c r="P116" s="34"/>
      <c r="Q116" s="35"/>
      <c r="S116" s="83"/>
      <c r="U116" s="932"/>
      <c r="V116" s="933"/>
      <c r="W116" s="933"/>
      <c r="X116" s="933"/>
      <c r="Y116" s="933"/>
      <c r="Z116" s="933"/>
      <c r="AA116" s="933"/>
      <c r="AB116" s="933"/>
      <c r="AC116" s="933"/>
      <c r="AD116" s="933"/>
      <c r="AE116" s="933"/>
      <c r="AF116" s="933"/>
      <c r="AG116" s="934"/>
      <c r="AH116" s="164"/>
      <c r="AI116" s="67"/>
      <c r="AJ116" s="67"/>
      <c r="BA116" s="188">
        <v>6</v>
      </c>
      <c r="BB116" s="1102" t="str">
        <f t="shared" si="111"/>
        <v>KFZ Kosten / Betriebliche Nutzung</v>
      </c>
      <c r="BC116" s="1220"/>
      <c r="BD116" s="1220"/>
      <c r="BE116" s="1220"/>
      <c r="BF116" s="1220"/>
      <c r="BG116" s="1220"/>
      <c r="BO116" s="34"/>
      <c r="BR116" s="188">
        <v>6</v>
      </c>
      <c r="BS116" s="62" t="str">
        <f t="shared" si="112"/>
        <v>KFZ Kosten / Betriebliche Nutzung</v>
      </c>
      <c r="BT116" s="1220"/>
      <c r="BU116" s="1220"/>
      <c r="BV116" s="1220"/>
      <c r="BW116" s="1220"/>
      <c r="BX116" s="1220"/>
      <c r="CU116" s="91"/>
      <c r="CV116" s="91"/>
      <c r="CW116" s="986"/>
      <c r="CX116" s="991"/>
      <c r="CY116" s="60"/>
      <c r="CZ116" s="283"/>
      <c r="DC116" s="463"/>
      <c r="DD116" s="463"/>
    </row>
    <row r="117" spans="1:108" x14ac:dyDescent="0.2">
      <c r="A117" s="70">
        <f t="shared" ref="A117:B120" si="133">A41</f>
        <v>0.19</v>
      </c>
      <c r="B117" s="71">
        <f t="shared" si="133"/>
        <v>0.19</v>
      </c>
      <c r="C117" s="1421" t="str">
        <f t="shared" si="90"/>
        <v>Leasingraten Kfz</v>
      </c>
      <c r="D117" s="1422">
        <f t="shared" si="93"/>
        <v>0</v>
      </c>
      <c r="E117" s="1414"/>
      <c r="F117" s="1414"/>
      <c r="G117" s="1414"/>
      <c r="H117" s="1423"/>
      <c r="I117" s="144"/>
      <c r="J117" s="34"/>
      <c r="K117" s="34"/>
      <c r="L117" s="34"/>
      <c r="M117" s="34"/>
      <c r="N117" s="34"/>
      <c r="O117" s="34"/>
      <c r="P117" s="34"/>
      <c r="Q117" s="35"/>
      <c r="S117" s="94"/>
      <c r="U117" s="932"/>
      <c r="V117" s="933"/>
      <c r="W117" s="933"/>
      <c r="X117" s="933"/>
      <c r="Y117" s="933"/>
      <c r="Z117" s="933"/>
      <c r="AA117" s="933"/>
      <c r="AB117" s="933"/>
      <c r="AC117" s="933"/>
      <c r="AD117" s="933"/>
      <c r="AE117" s="933"/>
      <c r="AF117" s="933"/>
      <c r="AG117" s="934"/>
      <c r="AH117" s="164"/>
      <c r="AI117" s="67"/>
      <c r="AJ117" s="67"/>
      <c r="BA117" s="71">
        <f>BA41</f>
        <v>0.19</v>
      </c>
      <c r="BB117" s="1101" t="str">
        <f t="shared" si="111"/>
        <v>Leasingraten Kfz</v>
      </c>
      <c r="BC117" s="1234">
        <f t="shared" ref="BC117:BC122" si="134">BO41</f>
        <v>0</v>
      </c>
      <c r="BD117" s="1254">
        <f t="shared" ref="BD117:BG121" si="135">IF($A117=$Q$2,E117*IF(OR($D$4=0,$D$4=3),$A117,$A117/(1+$A117)),0)</f>
        <v>0</v>
      </c>
      <c r="BE117" s="1254">
        <f t="shared" si="135"/>
        <v>0</v>
      </c>
      <c r="BF117" s="1254">
        <f t="shared" si="135"/>
        <v>0</v>
      </c>
      <c r="BG117" s="1254">
        <f t="shared" si="135"/>
        <v>0</v>
      </c>
      <c r="BO117" s="34"/>
      <c r="BR117" s="71">
        <f>BR41</f>
        <v>0.19</v>
      </c>
      <c r="BS117" s="72" t="str">
        <f t="shared" si="112"/>
        <v>Leasingraten Kfz</v>
      </c>
      <c r="BT117" s="1234">
        <f t="shared" ref="BT117:BT122" si="136">CF41</f>
        <v>0</v>
      </c>
      <c r="BU117" s="1254">
        <f t="shared" ref="BU117:BX121" si="137">IF($A117=$Q$3,E117*IF(OR($D$4=0,$D$4=3),$A117,$A117/(1+$A117)),0)</f>
        <v>0</v>
      </c>
      <c r="BV117" s="1254">
        <f t="shared" si="137"/>
        <v>0</v>
      </c>
      <c r="BW117" s="1254">
        <f t="shared" si="137"/>
        <v>0</v>
      </c>
      <c r="BX117" s="1254">
        <f t="shared" si="137"/>
        <v>0</v>
      </c>
      <c r="CU117" s="1007"/>
      <c r="CV117" s="1007"/>
      <c r="CW117" s="986"/>
      <c r="CX117" s="991">
        <f>CX41</f>
        <v>0.19</v>
      </c>
      <c r="CY117" s="60"/>
      <c r="CZ117" s="283"/>
      <c r="DC117" s="641"/>
      <c r="DD117" s="641"/>
    </row>
    <row r="118" spans="1:108" x14ac:dyDescent="0.2">
      <c r="A118" s="70">
        <f t="shared" si="133"/>
        <v>0.19</v>
      </c>
      <c r="B118" s="71">
        <f t="shared" si="133"/>
        <v>0.19</v>
      </c>
      <c r="C118" s="1421" t="str">
        <f t="shared" si="90"/>
        <v>Versicherungen/Kfz-Steuer</v>
      </c>
      <c r="D118" s="1422">
        <f t="shared" si="93"/>
        <v>0</v>
      </c>
      <c r="E118" s="1414"/>
      <c r="F118" s="1414"/>
      <c r="G118" s="1414"/>
      <c r="H118" s="1423"/>
      <c r="I118" s="144"/>
      <c r="J118" s="34"/>
      <c r="K118" s="34"/>
      <c r="L118" s="34"/>
      <c r="M118" s="34"/>
      <c r="N118" s="34"/>
      <c r="O118" s="34"/>
      <c r="P118" s="34"/>
      <c r="Q118" s="35"/>
      <c r="S118" s="1546"/>
      <c r="U118" s="932"/>
      <c r="V118" s="933"/>
      <c r="W118" s="933"/>
      <c r="X118" s="933"/>
      <c r="Y118" s="933"/>
      <c r="Z118" s="933"/>
      <c r="AA118" s="933"/>
      <c r="AB118" s="933"/>
      <c r="AC118" s="933"/>
      <c r="AD118" s="933"/>
      <c r="AE118" s="933"/>
      <c r="AF118" s="933"/>
      <c r="AG118" s="934"/>
      <c r="AH118" s="164"/>
      <c r="AI118" s="67"/>
      <c r="AJ118" s="67"/>
      <c r="BA118" s="71">
        <f>BA42</f>
        <v>0.19</v>
      </c>
      <c r="BB118" s="1101" t="str">
        <f t="shared" si="111"/>
        <v>Versicherungen/Kfz-Steuer</v>
      </c>
      <c r="BC118" s="1234">
        <f t="shared" si="134"/>
        <v>0</v>
      </c>
      <c r="BD118" s="1254">
        <f t="shared" si="135"/>
        <v>0</v>
      </c>
      <c r="BE118" s="1254">
        <f t="shared" si="135"/>
        <v>0</v>
      </c>
      <c r="BF118" s="1254">
        <f t="shared" si="135"/>
        <v>0</v>
      </c>
      <c r="BG118" s="1254">
        <f t="shared" si="135"/>
        <v>0</v>
      </c>
      <c r="BO118" s="34"/>
      <c r="BR118" s="71">
        <f>BR42</f>
        <v>0.19</v>
      </c>
      <c r="BS118" s="72" t="str">
        <f t="shared" si="112"/>
        <v>Versicherungen/Kfz-Steuer</v>
      </c>
      <c r="BT118" s="1234">
        <f t="shared" si="136"/>
        <v>0</v>
      </c>
      <c r="BU118" s="1254">
        <f t="shared" si="137"/>
        <v>0</v>
      </c>
      <c r="BV118" s="1254">
        <f t="shared" si="137"/>
        <v>0</v>
      </c>
      <c r="BW118" s="1254">
        <f t="shared" si="137"/>
        <v>0</v>
      </c>
      <c r="BX118" s="1254">
        <f t="shared" si="137"/>
        <v>0</v>
      </c>
      <c r="CU118" s="1007"/>
      <c r="CV118" s="1007"/>
      <c r="CW118" s="986"/>
      <c r="CX118" s="991">
        <f>CX42</f>
        <v>0.19</v>
      </c>
      <c r="CY118" s="60"/>
      <c r="CZ118" s="283"/>
      <c r="DC118" s="641"/>
      <c r="DD118" s="641"/>
    </row>
    <row r="119" spans="1:108" x14ac:dyDescent="0.2">
      <c r="A119" s="70">
        <f t="shared" si="133"/>
        <v>0.19</v>
      </c>
      <c r="B119" s="71">
        <f t="shared" si="133"/>
        <v>0.19</v>
      </c>
      <c r="C119" s="1421" t="str">
        <f t="shared" si="90"/>
        <v>Fahrzeugkosten (Tanken und Reparatur)</v>
      </c>
      <c r="D119" s="1422">
        <f t="shared" si="93"/>
        <v>0</v>
      </c>
      <c r="E119" s="1414"/>
      <c r="F119" s="1414"/>
      <c r="G119" s="1414"/>
      <c r="H119" s="1423"/>
      <c r="I119" s="144"/>
      <c r="J119" s="34"/>
      <c r="K119" s="34"/>
      <c r="L119" s="34"/>
      <c r="M119" s="34"/>
      <c r="N119" s="34"/>
      <c r="O119" s="34"/>
      <c r="P119" s="34"/>
      <c r="Q119" s="35"/>
      <c r="S119" s="1546"/>
      <c r="U119" s="932"/>
      <c r="V119" s="933"/>
      <c r="W119" s="933"/>
      <c r="X119" s="933"/>
      <c r="Y119" s="933"/>
      <c r="Z119" s="933"/>
      <c r="AA119" s="933"/>
      <c r="AB119" s="933"/>
      <c r="AC119" s="933"/>
      <c r="AD119" s="933"/>
      <c r="AE119" s="933"/>
      <c r="AF119" s="933"/>
      <c r="AG119" s="934"/>
      <c r="AH119" s="164"/>
      <c r="AI119" s="67"/>
      <c r="AJ119" s="67"/>
      <c r="BA119" s="71">
        <f>BA43</f>
        <v>0.19</v>
      </c>
      <c r="BB119" s="1101" t="str">
        <f t="shared" si="111"/>
        <v>Fahrzeugkosten (Tanken und Reparatur)</v>
      </c>
      <c r="BC119" s="1234">
        <f t="shared" si="134"/>
        <v>0</v>
      </c>
      <c r="BD119" s="1254">
        <f t="shared" si="135"/>
        <v>0</v>
      </c>
      <c r="BE119" s="1254">
        <f t="shared" si="135"/>
        <v>0</v>
      </c>
      <c r="BF119" s="1254">
        <f t="shared" si="135"/>
        <v>0</v>
      </c>
      <c r="BG119" s="1254">
        <f t="shared" si="135"/>
        <v>0</v>
      </c>
      <c r="BO119" s="34"/>
      <c r="BR119" s="71">
        <f>BR43</f>
        <v>0.19</v>
      </c>
      <c r="BS119" s="72" t="str">
        <f t="shared" si="112"/>
        <v>Fahrzeugkosten (Tanken und Reparatur)</v>
      </c>
      <c r="BT119" s="1234">
        <f t="shared" si="136"/>
        <v>0</v>
      </c>
      <c r="BU119" s="1254">
        <f t="shared" si="137"/>
        <v>0</v>
      </c>
      <c r="BV119" s="1254">
        <f t="shared" si="137"/>
        <v>0</v>
      </c>
      <c r="BW119" s="1254">
        <f t="shared" si="137"/>
        <v>0</v>
      </c>
      <c r="BX119" s="1254">
        <f t="shared" si="137"/>
        <v>0</v>
      </c>
      <c r="CU119" s="1007"/>
      <c r="CV119" s="1007"/>
      <c r="CW119" s="986"/>
      <c r="CX119" s="991">
        <f>CX43</f>
        <v>0.19</v>
      </c>
      <c r="CY119" s="60"/>
      <c r="CZ119" s="1369"/>
      <c r="DC119" s="641"/>
      <c r="DD119" s="641"/>
    </row>
    <row r="120" spans="1:108" ht="15" thickBot="1" x14ac:dyDescent="0.25">
      <c r="A120" s="70">
        <f t="shared" si="133"/>
        <v>0</v>
      </c>
      <c r="B120" s="71">
        <f t="shared" si="133"/>
        <v>0</v>
      </c>
      <c r="C120" s="1421" t="str">
        <f t="shared" si="90"/>
        <v>Abrechenbare Kilometerkosten</v>
      </c>
      <c r="D120" s="1422">
        <f t="shared" si="93"/>
        <v>0</v>
      </c>
      <c r="E120" s="1414"/>
      <c r="F120" s="1414"/>
      <c r="G120" s="1414"/>
      <c r="H120" s="1423"/>
      <c r="I120" s="144"/>
      <c r="J120" s="34"/>
      <c r="K120" s="34"/>
      <c r="L120" s="34"/>
      <c r="M120" s="34"/>
      <c r="N120" s="34"/>
      <c r="O120" s="34"/>
      <c r="P120" s="34"/>
      <c r="Q120" s="35"/>
      <c r="S120" s="1546"/>
      <c r="U120" s="932"/>
      <c r="V120" s="933"/>
      <c r="W120" s="933"/>
      <c r="X120" s="933"/>
      <c r="Y120" s="933"/>
      <c r="Z120" s="933"/>
      <c r="AA120" s="933"/>
      <c r="AB120" s="933"/>
      <c r="AC120" s="933"/>
      <c r="AD120" s="933"/>
      <c r="AE120" s="933"/>
      <c r="AF120" s="933"/>
      <c r="AG120" s="934"/>
      <c r="AH120" s="164"/>
      <c r="AI120" s="67"/>
      <c r="AJ120" s="67"/>
      <c r="BA120" s="71">
        <f>BA44</f>
        <v>0</v>
      </c>
      <c r="BB120" s="1101" t="str">
        <f t="shared" si="111"/>
        <v>Abrechenbare Kilometerkosten</v>
      </c>
      <c r="BC120" s="1234">
        <f t="shared" si="134"/>
        <v>0</v>
      </c>
      <c r="BD120" s="1254">
        <f t="shared" si="135"/>
        <v>0</v>
      </c>
      <c r="BE120" s="1254">
        <f t="shared" si="135"/>
        <v>0</v>
      </c>
      <c r="BF120" s="1254">
        <f t="shared" si="135"/>
        <v>0</v>
      </c>
      <c r="BG120" s="1254">
        <f t="shared" si="135"/>
        <v>0</v>
      </c>
      <c r="BO120" s="34"/>
      <c r="BR120" s="71">
        <f>BR44</f>
        <v>0</v>
      </c>
      <c r="BS120" s="72" t="str">
        <f t="shared" si="112"/>
        <v>Abrechenbare Kilometerkosten</v>
      </c>
      <c r="BT120" s="1234">
        <f t="shared" si="136"/>
        <v>0</v>
      </c>
      <c r="BU120" s="1254">
        <f t="shared" si="137"/>
        <v>0</v>
      </c>
      <c r="BV120" s="1254">
        <f t="shared" si="137"/>
        <v>0</v>
      </c>
      <c r="BW120" s="1254">
        <f t="shared" si="137"/>
        <v>0</v>
      </c>
      <c r="BX120" s="1254">
        <f t="shared" si="137"/>
        <v>0</v>
      </c>
      <c r="CU120" s="1007"/>
      <c r="CV120" s="1007"/>
      <c r="CW120" s="986"/>
      <c r="CX120" s="991">
        <f>CX44</f>
        <v>0</v>
      </c>
      <c r="CY120" s="60"/>
      <c r="CZ120" s="283"/>
      <c r="DC120" s="641"/>
      <c r="DD120" s="641"/>
    </row>
    <row r="121" spans="1:108" ht="15.75" thickTop="1" thickBot="1" x14ac:dyDescent="0.25">
      <c r="A121" s="70">
        <f>A45</f>
        <v>0.19</v>
      </c>
      <c r="B121" s="71">
        <f>A45</f>
        <v>0.19</v>
      </c>
      <c r="C121" s="1424" t="str">
        <f t="shared" si="90"/>
        <v>Fahrtkosten</v>
      </c>
      <c r="D121" s="1425">
        <f t="shared" si="93"/>
        <v>0</v>
      </c>
      <c r="E121" s="1417"/>
      <c r="F121" s="1417"/>
      <c r="G121" s="1417"/>
      <c r="H121" s="1417"/>
      <c r="I121" s="144"/>
      <c r="J121" s="34"/>
      <c r="K121" s="34"/>
      <c r="L121" s="34"/>
      <c r="M121" s="34"/>
      <c r="N121" s="34"/>
      <c r="O121" s="34"/>
      <c r="P121" s="34"/>
      <c r="Q121" s="35"/>
      <c r="S121" s="1546"/>
      <c r="U121" s="84" t="str">
        <f>U88</f>
        <v>Gesamtsumme</v>
      </c>
      <c r="V121" s="159">
        <f>SUM(V115:V120)</f>
        <v>0</v>
      </c>
      <c r="W121" s="159">
        <f t="shared" ref="W121:AG121" si="138">SUM(W115:W120)</f>
        <v>0</v>
      </c>
      <c r="X121" s="159">
        <f t="shared" si="138"/>
        <v>0</v>
      </c>
      <c r="Y121" s="159">
        <f t="shared" si="138"/>
        <v>0</v>
      </c>
      <c r="Z121" s="159">
        <f t="shared" si="138"/>
        <v>0</v>
      </c>
      <c r="AA121" s="159">
        <f t="shared" si="138"/>
        <v>0</v>
      </c>
      <c r="AB121" s="159">
        <f t="shared" si="138"/>
        <v>0</v>
      </c>
      <c r="AC121" s="159">
        <f t="shared" si="138"/>
        <v>0</v>
      </c>
      <c r="AD121" s="159">
        <f t="shared" si="138"/>
        <v>0</v>
      </c>
      <c r="AE121" s="159">
        <f t="shared" si="138"/>
        <v>0</v>
      </c>
      <c r="AF121" s="159">
        <f t="shared" si="138"/>
        <v>0</v>
      </c>
      <c r="AG121" s="159">
        <f t="shared" si="138"/>
        <v>0</v>
      </c>
      <c r="AH121" s="167">
        <f>SUM(V121:AG121)</f>
        <v>0</v>
      </c>
      <c r="AI121" s="67"/>
      <c r="AJ121" s="67"/>
      <c r="BA121" s="71">
        <f>AZ45</f>
        <v>0</v>
      </c>
      <c r="BB121" s="1101" t="str">
        <f t="shared" si="111"/>
        <v>Sonstiges</v>
      </c>
      <c r="BC121" s="1234">
        <f t="shared" si="134"/>
        <v>0</v>
      </c>
      <c r="BD121" s="1254">
        <f t="shared" si="135"/>
        <v>0</v>
      </c>
      <c r="BE121" s="1254">
        <f t="shared" si="135"/>
        <v>0</v>
      </c>
      <c r="BF121" s="1254">
        <f t="shared" si="135"/>
        <v>0</v>
      </c>
      <c r="BG121" s="1254">
        <f t="shared" si="135"/>
        <v>0</v>
      </c>
      <c r="BO121" s="34"/>
      <c r="BR121" s="71">
        <f>BQ45</f>
        <v>0</v>
      </c>
      <c r="BS121" s="72" t="str">
        <f t="shared" si="112"/>
        <v>Sonstiges</v>
      </c>
      <c r="BT121" s="1234">
        <f t="shared" si="136"/>
        <v>0</v>
      </c>
      <c r="BU121" s="1254">
        <f t="shared" si="137"/>
        <v>0</v>
      </c>
      <c r="BV121" s="1254">
        <f t="shared" si="137"/>
        <v>0</v>
      </c>
      <c r="BW121" s="1254">
        <f t="shared" si="137"/>
        <v>0</v>
      </c>
      <c r="BX121" s="1254">
        <f t="shared" si="137"/>
        <v>0</v>
      </c>
      <c r="CU121" s="1007"/>
      <c r="CV121" s="1007"/>
      <c r="CW121" s="986"/>
      <c r="CX121" s="991">
        <f>CX45</f>
        <v>0.19</v>
      </c>
      <c r="CY121" s="60"/>
      <c r="CZ121" s="283"/>
      <c r="DC121" s="641"/>
      <c r="DD121" s="641"/>
    </row>
    <row r="122" spans="1:108" ht="15" thickBot="1" x14ac:dyDescent="0.25">
      <c r="A122" s="70"/>
      <c r="B122" s="1475"/>
      <c r="C122" s="1479" t="str">
        <f t="shared" si="90"/>
        <v>Summe KFZ Kosten / Betriebliche Nutzung</v>
      </c>
      <c r="D122" s="1477">
        <f t="shared" si="93"/>
        <v>0</v>
      </c>
      <c r="E122" s="1477">
        <f>SUM(E117:E121)</f>
        <v>0</v>
      </c>
      <c r="F122" s="1477">
        <f>SUM(F117:F121)</f>
        <v>0</v>
      </c>
      <c r="G122" s="1477">
        <f>SUM(G117:G121)</f>
        <v>0</v>
      </c>
      <c r="H122" s="1480">
        <f>SUM(H117:H121)</f>
        <v>0</v>
      </c>
      <c r="I122" s="144"/>
      <c r="J122" s="34"/>
      <c r="K122" s="34"/>
      <c r="L122" s="34"/>
      <c r="M122" s="34"/>
      <c r="N122" s="34"/>
      <c r="O122" s="34"/>
      <c r="P122" s="34"/>
      <c r="Q122" s="35"/>
      <c r="S122" s="83"/>
      <c r="U122" s="34"/>
      <c r="V122" s="37"/>
      <c r="W122" s="37"/>
      <c r="X122" s="37"/>
      <c r="Y122" s="37"/>
      <c r="Z122" s="37"/>
      <c r="AA122" s="37"/>
      <c r="AB122" s="37"/>
      <c r="AC122" s="37"/>
      <c r="AD122" s="37"/>
      <c r="AE122" s="37"/>
      <c r="AF122" s="37"/>
      <c r="AG122" s="37"/>
      <c r="AH122" s="37"/>
      <c r="AI122" s="67"/>
      <c r="AJ122" s="67"/>
      <c r="BA122" s="80"/>
      <c r="BB122" s="1105" t="str">
        <f t="shared" si="111"/>
        <v>Summe KFZ Kosten / Betriebliche Nutzung</v>
      </c>
      <c r="BC122" s="1218">
        <f t="shared" si="134"/>
        <v>0</v>
      </c>
      <c r="BD122" s="1218">
        <f t="shared" ref="BD122:BG122" si="139">SUM(BD117:BD121)</f>
        <v>0</v>
      </c>
      <c r="BE122" s="1218">
        <f t="shared" si="139"/>
        <v>0</v>
      </c>
      <c r="BF122" s="1218">
        <f t="shared" si="139"/>
        <v>0</v>
      </c>
      <c r="BG122" s="1218">
        <f t="shared" si="139"/>
        <v>0</v>
      </c>
      <c r="BO122" s="34"/>
      <c r="BR122" s="80"/>
      <c r="BS122" s="97" t="str">
        <f t="shared" si="112"/>
        <v>Summe KFZ Kosten / Betriebliche Nutzung</v>
      </c>
      <c r="BT122" s="1218">
        <f t="shared" si="136"/>
        <v>0</v>
      </c>
      <c r="BU122" s="1218">
        <f t="shared" ref="BU122:BX122" si="140">SUM(BU117:BU121)</f>
        <v>0</v>
      </c>
      <c r="BV122" s="1218">
        <f t="shared" si="140"/>
        <v>0</v>
      </c>
      <c r="BW122" s="1218">
        <f t="shared" si="140"/>
        <v>0</v>
      </c>
      <c r="BX122" s="1218">
        <f t="shared" si="140"/>
        <v>0</v>
      </c>
      <c r="CU122" s="1007"/>
      <c r="CV122" s="1007"/>
      <c r="CW122" s="986"/>
      <c r="CX122" s="991"/>
      <c r="CY122" s="60"/>
      <c r="CZ122" s="283"/>
      <c r="DC122" s="641"/>
      <c r="DD122" s="641"/>
    </row>
    <row r="123" spans="1:108" x14ac:dyDescent="0.2">
      <c r="A123" s="70"/>
      <c r="B123" s="188">
        <v>7</v>
      </c>
      <c r="C123" s="1104" t="str">
        <f t="shared" si="90"/>
        <v>Marketing  u. Werbung</v>
      </c>
      <c r="D123" s="1220"/>
      <c r="E123" s="1220"/>
      <c r="F123" s="1220"/>
      <c r="G123" s="1220"/>
      <c r="H123" s="1220"/>
      <c r="I123" s="144"/>
      <c r="J123" s="34"/>
      <c r="K123" s="34"/>
      <c r="L123" s="34"/>
      <c r="M123" s="34"/>
      <c r="N123" s="34"/>
      <c r="O123" s="34"/>
      <c r="P123" s="34"/>
      <c r="Q123" s="35"/>
      <c r="S123" s="94"/>
      <c r="U123" s="34"/>
      <c r="V123" s="148"/>
      <c r="W123" s="148"/>
      <c r="X123" s="148"/>
      <c r="Y123" s="148"/>
      <c r="Z123" s="148"/>
      <c r="AA123" s="148"/>
      <c r="AB123" s="148"/>
      <c r="AC123" s="148"/>
      <c r="AD123" s="148"/>
      <c r="AE123" s="148"/>
      <c r="AF123" s="148"/>
      <c r="AG123" s="148"/>
      <c r="AH123" s="148"/>
      <c r="AI123" s="67"/>
      <c r="AJ123" s="67"/>
      <c r="BA123" s="188">
        <v>7</v>
      </c>
      <c r="BB123" s="1104" t="str">
        <f t="shared" si="111"/>
        <v>Marketing  u. Werbung</v>
      </c>
      <c r="BC123" s="1220"/>
      <c r="BD123" s="1220"/>
      <c r="BE123" s="1220"/>
      <c r="BF123" s="1220"/>
      <c r="BG123" s="1220"/>
      <c r="BO123" s="34"/>
      <c r="BR123" s="188">
        <v>7</v>
      </c>
      <c r="BS123" s="87" t="str">
        <f t="shared" si="112"/>
        <v>Marketing  u. Werbung</v>
      </c>
      <c r="BT123" s="1220"/>
      <c r="BU123" s="1220"/>
      <c r="BV123" s="1220"/>
      <c r="BW123" s="1220"/>
      <c r="BX123" s="1220"/>
      <c r="CU123" s="1007"/>
      <c r="CV123" s="1007"/>
      <c r="CW123" s="986"/>
      <c r="CX123" s="991"/>
      <c r="CY123" s="60"/>
      <c r="CZ123" s="283"/>
      <c r="DC123" s="641"/>
      <c r="DD123" s="641"/>
    </row>
    <row r="124" spans="1:108" ht="15" thickBot="1" x14ac:dyDescent="0.25">
      <c r="A124" s="70">
        <f t="shared" ref="A124:B128" si="141">A48</f>
        <v>0.19</v>
      </c>
      <c r="B124" s="71">
        <f t="shared" si="141"/>
        <v>0.19</v>
      </c>
      <c r="C124" s="1421" t="str">
        <f t="shared" si="90"/>
        <v>Marktforschung</v>
      </c>
      <c r="D124" s="1422">
        <f t="shared" si="93"/>
        <v>0</v>
      </c>
      <c r="E124" s="1414"/>
      <c r="F124" s="1414"/>
      <c r="G124" s="1414"/>
      <c r="H124" s="1423"/>
      <c r="I124" s="144"/>
      <c r="J124" s="34"/>
      <c r="K124" s="34"/>
      <c r="L124" s="34"/>
      <c r="M124" s="34"/>
      <c r="N124" s="34"/>
      <c r="O124" s="34"/>
      <c r="P124" s="34"/>
      <c r="Q124" s="35"/>
      <c r="S124" s="1546"/>
      <c r="U124" s="34"/>
      <c r="V124" s="148"/>
      <c r="W124" s="148"/>
      <c r="X124" s="148"/>
      <c r="Y124" s="148"/>
      <c r="Z124" s="148"/>
      <c r="AA124" s="148"/>
      <c r="AB124" s="148"/>
      <c r="AC124" s="148"/>
      <c r="AD124" s="148"/>
      <c r="AE124" s="148"/>
      <c r="AF124" s="148"/>
      <c r="AG124" s="148"/>
      <c r="AH124" s="148"/>
      <c r="AI124" s="67"/>
      <c r="AJ124" s="67"/>
      <c r="BA124" s="71">
        <f>BA48</f>
        <v>0.19</v>
      </c>
      <c r="BB124" s="1101" t="str">
        <f t="shared" si="111"/>
        <v>Marktforschung</v>
      </c>
      <c r="BC124" s="1234">
        <f t="shared" ref="BC124:BC130" si="142">BO48</f>
        <v>0</v>
      </c>
      <c r="BD124" s="1254">
        <f t="shared" ref="BD124:BG129" si="143">IF($A124=$Q$2,E124*IF(OR($D$4=0,$D$4=3),$A124,$A124/(1+$A124)),0)</f>
        <v>0</v>
      </c>
      <c r="BE124" s="1254">
        <f t="shared" si="143"/>
        <v>0</v>
      </c>
      <c r="BF124" s="1254">
        <f t="shared" si="143"/>
        <v>0</v>
      </c>
      <c r="BG124" s="1254">
        <f t="shared" si="143"/>
        <v>0</v>
      </c>
      <c r="BO124" s="34"/>
      <c r="BR124" s="71">
        <f>BR48</f>
        <v>0.19</v>
      </c>
      <c r="BS124" s="72" t="str">
        <f t="shared" si="112"/>
        <v>Marktforschung</v>
      </c>
      <c r="BT124" s="1234">
        <f t="shared" ref="BT124:BT130" si="144">CF48</f>
        <v>0</v>
      </c>
      <c r="BU124" s="1254">
        <f t="shared" ref="BU124:BX129" si="145">IF($A124=$Q$3,E124*IF(OR($D$4=0,$D$4=3),$A124,$A124/(1+$A124)),0)</f>
        <v>0</v>
      </c>
      <c r="BV124" s="1254">
        <f t="shared" si="145"/>
        <v>0</v>
      </c>
      <c r="BW124" s="1254">
        <f t="shared" si="145"/>
        <v>0</v>
      </c>
      <c r="BX124" s="1254">
        <f t="shared" si="145"/>
        <v>0</v>
      </c>
      <c r="CU124" s="1007"/>
      <c r="CV124" s="1007"/>
      <c r="CW124" s="986"/>
      <c r="CX124" s="991">
        <f t="shared" ref="CX124:CX129" si="146">CX48</f>
        <v>0.19</v>
      </c>
      <c r="CY124" s="60"/>
      <c r="CZ124" s="283"/>
      <c r="DC124" s="641"/>
      <c r="DD124" s="641"/>
    </row>
    <row r="125" spans="1:108" ht="15" thickBot="1" x14ac:dyDescent="0.25">
      <c r="A125" s="70">
        <f t="shared" si="141"/>
        <v>0.19</v>
      </c>
      <c r="B125" s="71">
        <f t="shared" si="141"/>
        <v>0.19</v>
      </c>
      <c r="C125" s="1421" t="str">
        <f t="shared" si="90"/>
        <v>Briefpapier, Visitenkarte, Stempel</v>
      </c>
      <c r="D125" s="1422">
        <f t="shared" si="93"/>
        <v>0</v>
      </c>
      <c r="E125" s="1414"/>
      <c r="F125" s="1414"/>
      <c r="G125" s="1414"/>
      <c r="H125" s="1423"/>
      <c r="I125" s="144"/>
      <c r="J125" s="34"/>
      <c r="K125" s="34"/>
      <c r="L125" s="34"/>
      <c r="M125" s="34"/>
      <c r="N125" s="34"/>
      <c r="O125" s="34"/>
      <c r="P125" s="34"/>
      <c r="Q125" s="35"/>
      <c r="S125" s="1546"/>
      <c r="U125" s="56">
        <f ca="1">U114+1</f>
        <v>2021</v>
      </c>
      <c r="V125" s="165" t="str">
        <f t="shared" ref="V125:AG125" si="147">V81</f>
        <v>Jan.</v>
      </c>
      <c r="W125" s="165" t="str">
        <f t="shared" si="147"/>
        <v>Febr.</v>
      </c>
      <c r="X125" s="165" t="str">
        <f t="shared" si="147"/>
        <v>März</v>
      </c>
      <c r="Y125" s="165" t="str">
        <f t="shared" si="147"/>
        <v>April</v>
      </c>
      <c r="Z125" s="165" t="str">
        <f t="shared" si="147"/>
        <v>Mai</v>
      </c>
      <c r="AA125" s="165" t="str">
        <f t="shared" si="147"/>
        <v>Juni</v>
      </c>
      <c r="AB125" s="165" t="str">
        <f t="shared" si="147"/>
        <v>Juli</v>
      </c>
      <c r="AC125" s="165" t="str">
        <f t="shared" si="147"/>
        <v>Aug.</v>
      </c>
      <c r="AD125" s="165" t="str">
        <f t="shared" si="147"/>
        <v>Sept.</v>
      </c>
      <c r="AE125" s="165" t="str">
        <f t="shared" si="147"/>
        <v>Okt.</v>
      </c>
      <c r="AF125" s="165" t="str">
        <f t="shared" si="147"/>
        <v>Nov.</v>
      </c>
      <c r="AG125" s="165" t="str">
        <f t="shared" si="147"/>
        <v>Dez.</v>
      </c>
      <c r="AH125" s="148"/>
      <c r="AI125" s="67"/>
      <c r="AJ125" s="67"/>
      <c r="BA125" s="71">
        <f>BA49</f>
        <v>0.19</v>
      </c>
      <c r="BB125" s="1101" t="str">
        <f t="shared" si="111"/>
        <v>Briefpapier, Visitenkarte, Stempel</v>
      </c>
      <c r="BC125" s="1234">
        <f t="shared" si="142"/>
        <v>0</v>
      </c>
      <c r="BD125" s="1254">
        <f t="shared" si="143"/>
        <v>0</v>
      </c>
      <c r="BE125" s="1254">
        <f t="shared" si="143"/>
        <v>0</v>
      </c>
      <c r="BF125" s="1254">
        <f t="shared" si="143"/>
        <v>0</v>
      </c>
      <c r="BG125" s="1254">
        <f t="shared" si="143"/>
        <v>0</v>
      </c>
      <c r="BO125" s="34"/>
      <c r="BR125" s="71">
        <f>BR49</f>
        <v>0.19</v>
      </c>
      <c r="BS125" s="72" t="str">
        <f t="shared" si="112"/>
        <v>Briefpapier, Visitenkarte, Stempel</v>
      </c>
      <c r="BT125" s="1234">
        <f t="shared" si="144"/>
        <v>0</v>
      </c>
      <c r="BU125" s="1254">
        <f t="shared" si="145"/>
        <v>0</v>
      </c>
      <c r="BV125" s="1254">
        <f t="shared" si="145"/>
        <v>0</v>
      </c>
      <c r="BW125" s="1254">
        <f t="shared" si="145"/>
        <v>0</v>
      </c>
      <c r="BX125" s="1254">
        <f t="shared" si="145"/>
        <v>0</v>
      </c>
      <c r="CU125" s="1007"/>
      <c r="CV125" s="1007"/>
      <c r="CW125" s="986"/>
      <c r="CX125" s="991">
        <f t="shared" si="146"/>
        <v>0.19</v>
      </c>
      <c r="CY125" s="60"/>
      <c r="CZ125" s="283"/>
      <c r="DC125" s="641"/>
      <c r="DD125" s="641"/>
    </row>
    <row r="126" spans="1:108" x14ac:dyDescent="0.2">
      <c r="A126" s="70">
        <f t="shared" si="141"/>
        <v>0.19</v>
      </c>
      <c r="B126" s="71">
        <f t="shared" si="141"/>
        <v>0.19</v>
      </c>
      <c r="C126" s="1421" t="str">
        <f t="shared" si="90"/>
        <v>Webseite, lfd. Webseitenpflege</v>
      </c>
      <c r="D126" s="1422">
        <f t="shared" si="93"/>
        <v>0</v>
      </c>
      <c r="E126" s="1414"/>
      <c r="F126" s="1414"/>
      <c r="G126" s="1414"/>
      <c r="H126" s="1423"/>
      <c r="I126" s="144"/>
      <c r="J126" s="34"/>
      <c r="K126" s="34"/>
      <c r="L126" s="34"/>
      <c r="M126" s="34"/>
      <c r="N126" s="34"/>
      <c r="O126" s="34"/>
      <c r="P126" s="34"/>
      <c r="Q126" s="35"/>
      <c r="S126" s="1546"/>
      <c r="U126" s="145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7"/>
      <c r="AH126" s="148"/>
      <c r="AI126" s="67"/>
      <c r="AJ126" s="67"/>
      <c r="BA126" s="71">
        <f>BA50</f>
        <v>0.19</v>
      </c>
      <c r="BB126" s="1101" t="str">
        <f t="shared" si="111"/>
        <v>Webseite, lfd. Webseitenpflege</v>
      </c>
      <c r="BC126" s="1234">
        <f t="shared" si="142"/>
        <v>0</v>
      </c>
      <c r="BD126" s="1254">
        <f t="shared" si="143"/>
        <v>0</v>
      </c>
      <c r="BE126" s="1254">
        <f t="shared" si="143"/>
        <v>0</v>
      </c>
      <c r="BF126" s="1254">
        <f t="shared" si="143"/>
        <v>0</v>
      </c>
      <c r="BG126" s="1254">
        <f t="shared" si="143"/>
        <v>0</v>
      </c>
      <c r="BO126" s="34"/>
      <c r="BR126" s="71">
        <f>BR50</f>
        <v>0.19</v>
      </c>
      <c r="BS126" s="72" t="str">
        <f t="shared" si="112"/>
        <v>Webseite, lfd. Webseitenpflege</v>
      </c>
      <c r="BT126" s="1234">
        <f t="shared" si="144"/>
        <v>0</v>
      </c>
      <c r="BU126" s="1254">
        <f t="shared" si="145"/>
        <v>0</v>
      </c>
      <c r="BV126" s="1254">
        <f t="shared" si="145"/>
        <v>0</v>
      </c>
      <c r="BW126" s="1254">
        <f t="shared" si="145"/>
        <v>0</v>
      </c>
      <c r="BX126" s="1254">
        <f t="shared" si="145"/>
        <v>0</v>
      </c>
      <c r="CU126" s="1007"/>
      <c r="CV126" s="1007"/>
      <c r="CW126" s="986"/>
      <c r="CX126" s="991">
        <f t="shared" si="146"/>
        <v>0.19</v>
      </c>
      <c r="CY126" s="60"/>
      <c r="CZ126" s="283"/>
      <c r="DC126" s="641"/>
      <c r="DD126" s="641"/>
    </row>
    <row r="127" spans="1:108" x14ac:dyDescent="0.2">
      <c r="A127" s="70">
        <f t="shared" si="141"/>
        <v>0.19</v>
      </c>
      <c r="B127" s="71">
        <f t="shared" si="141"/>
        <v>0.19</v>
      </c>
      <c r="C127" s="1421" t="str">
        <f t="shared" si="90"/>
        <v>Flyer, Prospekte, Broschüren, Anzeigen</v>
      </c>
      <c r="D127" s="1422">
        <f t="shared" si="93"/>
        <v>0</v>
      </c>
      <c r="E127" s="1414"/>
      <c r="F127" s="1414"/>
      <c r="G127" s="1414"/>
      <c r="H127" s="1423"/>
      <c r="I127" s="144"/>
      <c r="J127" s="34"/>
      <c r="K127" s="34"/>
      <c r="L127" s="34"/>
      <c r="M127" s="34"/>
      <c r="N127" s="34"/>
      <c r="O127" s="34"/>
      <c r="P127" s="34"/>
      <c r="Q127" s="35"/>
      <c r="S127" s="1546"/>
      <c r="U127" s="149"/>
      <c r="V127" s="150"/>
      <c r="W127" s="150"/>
      <c r="X127" s="150"/>
      <c r="Y127" s="150"/>
      <c r="Z127" s="150"/>
      <c r="AA127" s="150"/>
      <c r="AB127" s="150"/>
      <c r="AC127" s="150"/>
      <c r="AD127" s="150"/>
      <c r="AE127" s="150"/>
      <c r="AF127" s="150"/>
      <c r="AG127" s="151"/>
      <c r="AH127" s="148"/>
      <c r="AI127" s="67"/>
      <c r="AJ127" s="67"/>
      <c r="BA127" s="71">
        <f>BA51</f>
        <v>0.19</v>
      </c>
      <c r="BB127" s="1101" t="str">
        <f t="shared" si="111"/>
        <v>Flyer, Prospekte, Broschüren, Anzeigen</v>
      </c>
      <c r="BC127" s="1234">
        <f t="shared" si="142"/>
        <v>0</v>
      </c>
      <c r="BD127" s="1254">
        <f t="shared" si="143"/>
        <v>0</v>
      </c>
      <c r="BE127" s="1254">
        <f t="shared" si="143"/>
        <v>0</v>
      </c>
      <c r="BF127" s="1254">
        <f t="shared" si="143"/>
        <v>0</v>
      </c>
      <c r="BG127" s="1254">
        <f t="shared" si="143"/>
        <v>0</v>
      </c>
      <c r="BO127" s="34"/>
      <c r="BR127" s="71">
        <f>BR51</f>
        <v>0.19</v>
      </c>
      <c r="BS127" s="72" t="str">
        <f t="shared" si="112"/>
        <v>Flyer, Prospekte, Broschüren, Anzeigen</v>
      </c>
      <c r="BT127" s="1234">
        <f t="shared" si="144"/>
        <v>0</v>
      </c>
      <c r="BU127" s="1254">
        <f t="shared" si="145"/>
        <v>0</v>
      </c>
      <c r="BV127" s="1254">
        <f t="shared" si="145"/>
        <v>0</v>
      </c>
      <c r="BW127" s="1254">
        <f t="shared" si="145"/>
        <v>0</v>
      </c>
      <c r="BX127" s="1254">
        <f t="shared" si="145"/>
        <v>0</v>
      </c>
      <c r="CU127" s="1007"/>
      <c r="CV127" s="1007"/>
      <c r="CW127" s="986"/>
      <c r="CX127" s="991">
        <f t="shared" si="146"/>
        <v>0.19</v>
      </c>
      <c r="CY127" s="60"/>
      <c r="CZ127" s="1369"/>
      <c r="DC127" s="641"/>
      <c r="DD127" s="641"/>
    </row>
    <row r="128" spans="1:108" x14ac:dyDescent="0.2">
      <c r="A128" s="70">
        <f t="shared" si="141"/>
        <v>0.19</v>
      </c>
      <c r="B128" s="71">
        <f t="shared" si="141"/>
        <v>0.19</v>
      </c>
      <c r="C128" s="1421" t="str">
        <f t="shared" si="90"/>
        <v>Bewirtungskosten</v>
      </c>
      <c r="D128" s="1422">
        <f t="shared" si="93"/>
        <v>0</v>
      </c>
      <c r="E128" s="1414"/>
      <c r="F128" s="1414"/>
      <c r="G128" s="1414"/>
      <c r="H128" s="1423"/>
      <c r="I128" s="144"/>
      <c r="J128" s="34"/>
      <c r="K128" s="34"/>
      <c r="L128" s="34"/>
      <c r="M128" s="34"/>
      <c r="N128" s="34"/>
      <c r="O128" s="34"/>
      <c r="P128" s="34"/>
      <c r="Q128" s="35"/>
      <c r="S128" s="1546"/>
      <c r="U128" s="149"/>
      <c r="V128" s="150"/>
      <c r="W128" s="150"/>
      <c r="X128" s="150"/>
      <c r="Y128" s="150"/>
      <c r="Z128" s="150"/>
      <c r="AA128" s="150"/>
      <c r="AB128" s="150"/>
      <c r="AC128" s="150"/>
      <c r="AD128" s="150"/>
      <c r="AE128" s="150"/>
      <c r="AF128" s="150"/>
      <c r="AG128" s="151"/>
      <c r="AH128" s="153"/>
      <c r="AI128" s="67"/>
      <c r="AJ128" s="67"/>
      <c r="BA128" s="71">
        <f>BA52</f>
        <v>0.19</v>
      </c>
      <c r="BB128" s="1101" t="str">
        <f t="shared" si="111"/>
        <v>Bewirtungskosten</v>
      </c>
      <c r="BC128" s="1234">
        <f t="shared" si="142"/>
        <v>0</v>
      </c>
      <c r="BD128" s="1254">
        <f t="shared" si="143"/>
        <v>0</v>
      </c>
      <c r="BE128" s="1254">
        <f t="shared" si="143"/>
        <v>0</v>
      </c>
      <c r="BF128" s="1254">
        <f t="shared" si="143"/>
        <v>0</v>
      </c>
      <c r="BG128" s="1254">
        <f t="shared" si="143"/>
        <v>0</v>
      </c>
      <c r="BO128" s="34"/>
      <c r="BR128" s="71">
        <f>BR52</f>
        <v>0.19</v>
      </c>
      <c r="BS128" s="72" t="str">
        <f t="shared" si="112"/>
        <v>Bewirtungskosten</v>
      </c>
      <c r="BT128" s="1234">
        <f t="shared" si="144"/>
        <v>0</v>
      </c>
      <c r="BU128" s="1254">
        <f t="shared" si="145"/>
        <v>0</v>
      </c>
      <c r="BV128" s="1254">
        <f t="shared" si="145"/>
        <v>0</v>
      </c>
      <c r="BW128" s="1254">
        <f t="shared" si="145"/>
        <v>0</v>
      </c>
      <c r="BX128" s="1254">
        <f t="shared" si="145"/>
        <v>0</v>
      </c>
      <c r="CU128" s="1007"/>
      <c r="CV128" s="1007"/>
      <c r="CW128" s="986"/>
      <c r="CX128" s="991">
        <f t="shared" si="146"/>
        <v>0.19</v>
      </c>
      <c r="CY128" s="60"/>
      <c r="CZ128" s="283"/>
      <c r="DC128" s="641"/>
      <c r="DD128" s="641"/>
    </row>
    <row r="129" spans="1:122" x14ac:dyDescent="0.2">
      <c r="A129" s="70">
        <f>A53</f>
        <v>0.19</v>
      </c>
      <c r="B129" s="71">
        <f>A53</f>
        <v>0.19</v>
      </c>
      <c r="C129" s="1424" t="str">
        <f t="shared" si="90"/>
        <v>Werbung</v>
      </c>
      <c r="D129" s="1425">
        <f t="shared" si="93"/>
        <v>0</v>
      </c>
      <c r="E129" s="1417"/>
      <c r="F129" s="1417"/>
      <c r="G129" s="1417"/>
      <c r="H129" s="1417"/>
      <c r="I129" s="144"/>
      <c r="J129" s="34"/>
      <c r="K129" s="34"/>
      <c r="L129" s="34"/>
      <c r="M129" s="34"/>
      <c r="N129" s="34"/>
      <c r="O129" s="34"/>
      <c r="P129" s="34"/>
      <c r="Q129" s="35"/>
      <c r="S129" s="1546"/>
      <c r="U129" s="149"/>
      <c r="V129" s="150"/>
      <c r="W129" s="150"/>
      <c r="X129" s="150"/>
      <c r="Y129" s="150"/>
      <c r="Z129" s="150"/>
      <c r="AA129" s="150"/>
      <c r="AB129" s="150"/>
      <c r="AC129" s="150"/>
      <c r="AD129" s="150"/>
      <c r="AE129" s="150"/>
      <c r="AF129" s="150"/>
      <c r="AG129" s="151"/>
      <c r="AH129" s="153"/>
      <c r="AI129" s="67"/>
      <c r="AJ129" s="67"/>
      <c r="BA129" s="71">
        <f>AZ53</f>
        <v>0</v>
      </c>
      <c r="BB129" s="1101" t="str">
        <f t="shared" si="111"/>
        <v>Sonstiges, Messen, ...</v>
      </c>
      <c r="BC129" s="1235">
        <f t="shared" si="142"/>
        <v>0</v>
      </c>
      <c r="BD129" s="1254">
        <f t="shared" si="143"/>
        <v>0</v>
      </c>
      <c r="BE129" s="1254">
        <f t="shared" si="143"/>
        <v>0</v>
      </c>
      <c r="BF129" s="1254">
        <f t="shared" si="143"/>
        <v>0</v>
      </c>
      <c r="BG129" s="1254">
        <f t="shared" si="143"/>
        <v>0</v>
      </c>
      <c r="BO129" s="34"/>
      <c r="BR129" s="71">
        <f>BQ53</f>
        <v>0</v>
      </c>
      <c r="BS129" s="72" t="str">
        <f t="shared" si="112"/>
        <v>Sonstiges, Messen, ...</v>
      </c>
      <c r="BT129" s="1235">
        <f t="shared" si="144"/>
        <v>0</v>
      </c>
      <c r="BU129" s="1254">
        <f t="shared" si="145"/>
        <v>0</v>
      </c>
      <c r="BV129" s="1254">
        <f t="shared" si="145"/>
        <v>0</v>
      </c>
      <c r="BW129" s="1254">
        <f t="shared" si="145"/>
        <v>0</v>
      </c>
      <c r="BX129" s="1254">
        <f t="shared" si="145"/>
        <v>0</v>
      </c>
      <c r="CU129" s="1007"/>
      <c r="CV129" s="1007"/>
      <c r="CW129" s="986"/>
      <c r="CX129" s="991">
        <f t="shared" si="146"/>
        <v>0.19</v>
      </c>
      <c r="CY129" s="60"/>
      <c r="CZ129" s="283"/>
      <c r="DC129" s="641"/>
      <c r="DD129" s="641"/>
    </row>
    <row r="130" spans="1:122" ht="15" thickBot="1" x14ac:dyDescent="0.25">
      <c r="A130" s="70"/>
      <c r="B130" s="1475">
        <f>B50</f>
        <v>0.19</v>
      </c>
      <c r="C130" s="1479" t="str">
        <f t="shared" si="90"/>
        <v>Summe Marketing  u. Werbung</v>
      </c>
      <c r="D130" s="1477">
        <f t="shared" si="93"/>
        <v>0</v>
      </c>
      <c r="E130" s="1477">
        <f>SUM(E124:E129)</f>
        <v>0</v>
      </c>
      <c r="F130" s="1477">
        <f>SUM(F124:F129)</f>
        <v>0</v>
      </c>
      <c r="G130" s="1477">
        <f>SUM(G124:G129)</f>
        <v>0</v>
      </c>
      <c r="H130" s="1480">
        <f>SUM(H124:H129)</f>
        <v>0</v>
      </c>
      <c r="I130" s="166"/>
      <c r="J130" s="34"/>
      <c r="K130" s="34"/>
      <c r="L130" s="34"/>
      <c r="M130" s="34"/>
      <c r="N130" s="34"/>
      <c r="O130" s="34"/>
      <c r="P130" s="34"/>
      <c r="Q130" s="35"/>
      <c r="S130" s="83"/>
      <c r="U130" s="149"/>
      <c r="V130" s="150"/>
      <c r="W130" s="150"/>
      <c r="X130" s="150"/>
      <c r="Y130" s="150"/>
      <c r="Z130" s="150"/>
      <c r="AA130" s="150"/>
      <c r="AB130" s="150"/>
      <c r="AC130" s="150"/>
      <c r="AD130" s="150"/>
      <c r="AE130" s="150"/>
      <c r="AF130" s="150"/>
      <c r="AG130" s="151"/>
      <c r="AH130" s="153"/>
      <c r="AI130" s="67"/>
      <c r="AJ130" s="67"/>
      <c r="BA130" s="80">
        <f>BA50</f>
        <v>0.19</v>
      </c>
      <c r="BB130" s="1105" t="str">
        <f t="shared" si="111"/>
        <v>Summe Marketing  u. Werbung</v>
      </c>
      <c r="BC130" s="1218">
        <f t="shared" si="142"/>
        <v>0</v>
      </c>
      <c r="BD130" s="1218">
        <f t="shared" ref="BD130:BG130" si="148">SUM(BD124:BD129)</f>
        <v>0</v>
      </c>
      <c r="BE130" s="1218">
        <f t="shared" si="148"/>
        <v>0</v>
      </c>
      <c r="BF130" s="1218">
        <f t="shared" si="148"/>
        <v>0</v>
      </c>
      <c r="BG130" s="1218">
        <f t="shared" si="148"/>
        <v>0</v>
      </c>
      <c r="BO130" s="34"/>
      <c r="BR130" s="80">
        <f>BR50</f>
        <v>0.19</v>
      </c>
      <c r="BS130" s="97" t="str">
        <f t="shared" si="112"/>
        <v>Summe Marketing  u. Werbung</v>
      </c>
      <c r="BT130" s="1218">
        <f t="shared" si="144"/>
        <v>0</v>
      </c>
      <c r="BU130" s="1218">
        <f t="shared" ref="BU130:BX130" si="149">SUM(BU124:BU129)</f>
        <v>0</v>
      </c>
      <c r="BV130" s="1218">
        <f t="shared" si="149"/>
        <v>0</v>
      </c>
      <c r="BW130" s="1218">
        <f t="shared" si="149"/>
        <v>0</v>
      </c>
      <c r="BX130" s="1218">
        <f t="shared" si="149"/>
        <v>0</v>
      </c>
      <c r="CU130" s="1007"/>
      <c r="CV130" s="1007"/>
      <c r="CW130" s="986"/>
      <c r="CX130" s="991"/>
      <c r="CY130" s="60"/>
      <c r="CZ130" s="283"/>
      <c r="DC130" s="641"/>
      <c r="DD130" s="641"/>
    </row>
    <row r="131" spans="1:122" ht="15" thickBot="1" x14ac:dyDescent="0.25">
      <c r="A131" s="70"/>
      <c r="B131" s="188">
        <v>8</v>
      </c>
      <c r="C131" s="1104" t="str">
        <f t="shared" si="90"/>
        <v>Rechts- und Beratungskosten</v>
      </c>
      <c r="D131" s="1220"/>
      <c r="E131" s="1220"/>
      <c r="F131" s="1220"/>
      <c r="G131" s="1220"/>
      <c r="H131" s="1220"/>
      <c r="I131" s="144"/>
      <c r="J131" s="34"/>
      <c r="K131" s="34"/>
      <c r="L131" s="34"/>
      <c r="M131" s="34"/>
      <c r="N131" s="34"/>
      <c r="O131" s="34"/>
      <c r="P131" s="34"/>
      <c r="Q131" s="35"/>
      <c r="S131" s="94"/>
      <c r="U131" s="149"/>
      <c r="V131" s="150"/>
      <c r="W131" s="150"/>
      <c r="X131" s="150"/>
      <c r="Y131" s="150"/>
      <c r="Z131" s="150"/>
      <c r="AA131" s="150"/>
      <c r="AB131" s="150"/>
      <c r="AC131" s="150"/>
      <c r="AD131" s="150"/>
      <c r="AE131" s="150"/>
      <c r="AF131" s="150"/>
      <c r="AG131" s="151"/>
      <c r="AH131" s="153"/>
      <c r="AI131" s="67"/>
      <c r="AJ131" s="67"/>
      <c r="BA131" s="188">
        <v>8</v>
      </c>
      <c r="BB131" s="1104" t="str">
        <f t="shared" si="111"/>
        <v>Rechts- und Beratungskosten</v>
      </c>
      <c r="BC131" s="1220"/>
      <c r="BD131" s="1220"/>
      <c r="BE131" s="1220"/>
      <c r="BF131" s="1220"/>
      <c r="BG131" s="1220"/>
      <c r="BO131" s="34"/>
      <c r="BR131" s="188">
        <v>8</v>
      </c>
      <c r="BS131" s="87" t="str">
        <f t="shared" si="112"/>
        <v>Rechts- und Beratungskosten</v>
      </c>
      <c r="BT131" s="1220"/>
      <c r="BU131" s="1220"/>
      <c r="BV131" s="1220"/>
      <c r="BW131" s="1220"/>
      <c r="BX131" s="1220"/>
      <c r="CU131" s="1007"/>
      <c r="CV131" s="1007"/>
      <c r="CW131" s="986"/>
      <c r="CX131" s="991"/>
      <c r="CY131" s="60"/>
      <c r="CZ131" s="283"/>
      <c r="DC131" s="641"/>
      <c r="DD131" s="641"/>
    </row>
    <row r="132" spans="1:122" ht="15.75" thickTop="1" thickBot="1" x14ac:dyDescent="0.25">
      <c r="A132" s="70">
        <f>A56</f>
        <v>0.19</v>
      </c>
      <c r="B132" s="71">
        <f>B56</f>
        <v>0.19</v>
      </c>
      <c r="C132" s="1421" t="str">
        <f t="shared" si="90"/>
        <v>Buchhaltung</v>
      </c>
      <c r="D132" s="1422">
        <f t="shared" si="93"/>
        <v>0</v>
      </c>
      <c r="E132" s="1414"/>
      <c r="F132" s="1414"/>
      <c r="G132" s="1414"/>
      <c r="H132" s="1423"/>
      <c r="I132" s="144"/>
      <c r="J132" s="34"/>
      <c r="K132" s="34"/>
      <c r="L132" s="34"/>
      <c r="M132" s="34"/>
      <c r="N132" s="34"/>
      <c r="O132" s="34"/>
      <c r="P132" s="34"/>
      <c r="Q132" s="35"/>
      <c r="S132" s="1546"/>
      <c r="U132" s="84" t="str">
        <f>U88</f>
        <v>Gesamtsumme</v>
      </c>
      <c r="V132" s="159">
        <f t="shared" ref="V132:AG132" si="150">SUM(V126:V131)</f>
        <v>0</v>
      </c>
      <c r="W132" s="159">
        <f t="shared" si="150"/>
        <v>0</v>
      </c>
      <c r="X132" s="159">
        <f t="shared" si="150"/>
        <v>0</v>
      </c>
      <c r="Y132" s="159">
        <f t="shared" si="150"/>
        <v>0</v>
      </c>
      <c r="Z132" s="159">
        <f t="shared" si="150"/>
        <v>0</v>
      </c>
      <c r="AA132" s="159">
        <f t="shared" si="150"/>
        <v>0</v>
      </c>
      <c r="AB132" s="159">
        <f t="shared" si="150"/>
        <v>0</v>
      </c>
      <c r="AC132" s="159">
        <f t="shared" si="150"/>
        <v>0</v>
      </c>
      <c r="AD132" s="159">
        <f t="shared" si="150"/>
        <v>0</v>
      </c>
      <c r="AE132" s="159">
        <f t="shared" si="150"/>
        <v>0</v>
      </c>
      <c r="AF132" s="159">
        <f t="shared" si="150"/>
        <v>0</v>
      </c>
      <c r="AG132" s="160">
        <f t="shared" si="150"/>
        <v>0</v>
      </c>
      <c r="AH132" s="167">
        <f>SUM(V132:AG132)</f>
        <v>0</v>
      </c>
      <c r="AI132" s="67"/>
      <c r="AJ132" s="67"/>
      <c r="BA132" s="71">
        <f>BA56</f>
        <v>0.19</v>
      </c>
      <c r="BB132" s="1101" t="str">
        <f t="shared" si="111"/>
        <v>Buchhaltung</v>
      </c>
      <c r="BC132" s="1234">
        <f>BO56</f>
        <v>0</v>
      </c>
      <c r="BD132" s="1254">
        <f t="shared" ref="BD132:BG134" si="151">IF($A132=$Q$2,E132*IF(OR($D$4=0,$D$4=3),$A132,$A132/(1+$A132)),0)</f>
        <v>0</v>
      </c>
      <c r="BE132" s="1254">
        <f t="shared" si="151"/>
        <v>0</v>
      </c>
      <c r="BF132" s="1254">
        <f t="shared" si="151"/>
        <v>0</v>
      </c>
      <c r="BG132" s="1254">
        <f t="shared" si="151"/>
        <v>0</v>
      </c>
      <c r="BO132" s="34"/>
      <c r="BR132" s="71">
        <f>BR56</f>
        <v>0.19</v>
      </c>
      <c r="BS132" s="72" t="str">
        <f t="shared" si="112"/>
        <v>Buchhaltung</v>
      </c>
      <c r="BT132" s="1234">
        <f>CF56</f>
        <v>0</v>
      </c>
      <c r="BU132" s="1254">
        <f t="shared" ref="BU132:BX134" si="152">IF($A132=$Q$3,E132*IF(OR($D$4=0,$D$4=3),$A132,$A132/(1+$A132)),0)</f>
        <v>0</v>
      </c>
      <c r="BV132" s="1254">
        <f t="shared" si="152"/>
        <v>0</v>
      </c>
      <c r="BW132" s="1254">
        <f t="shared" si="152"/>
        <v>0</v>
      </c>
      <c r="BX132" s="1254">
        <f t="shared" si="152"/>
        <v>0</v>
      </c>
      <c r="CU132" s="1007"/>
      <c r="CV132" s="1007"/>
      <c r="CW132" s="986"/>
      <c r="CX132" s="991">
        <f>CX56</f>
        <v>0.19</v>
      </c>
      <c r="CY132" s="60"/>
      <c r="CZ132" s="1369"/>
      <c r="DC132" s="641"/>
      <c r="DD132" s="641"/>
    </row>
    <row r="133" spans="1:122" x14ac:dyDescent="0.2">
      <c r="A133" s="70">
        <f>A57</f>
        <v>0.19</v>
      </c>
      <c r="B133" s="71">
        <f>B57</f>
        <v>0.19</v>
      </c>
      <c r="C133" s="1421" t="str">
        <f t="shared" si="90"/>
        <v>Steuerberatung, Abschluss, Prüfung</v>
      </c>
      <c r="D133" s="1422">
        <f t="shared" si="93"/>
        <v>0</v>
      </c>
      <c r="E133" s="1414"/>
      <c r="F133" s="1414"/>
      <c r="G133" s="1414"/>
      <c r="H133" s="1423"/>
      <c r="I133" s="144"/>
      <c r="J133" s="34"/>
      <c r="K133" s="34"/>
      <c r="L133" s="34"/>
      <c r="M133" s="34"/>
      <c r="N133" s="34"/>
      <c r="O133" s="34"/>
      <c r="P133" s="34"/>
      <c r="Q133" s="35"/>
      <c r="S133" s="1546"/>
      <c r="AI133" s="67"/>
      <c r="AJ133" s="67"/>
      <c r="BA133" s="71">
        <f>BA57</f>
        <v>0.19</v>
      </c>
      <c r="BB133" s="1101" t="str">
        <f t="shared" si="111"/>
        <v>Steuerberatung, Abschluss, Prüfung</v>
      </c>
      <c r="BC133" s="1234">
        <f>BO57</f>
        <v>0</v>
      </c>
      <c r="BD133" s="1254">
        <f t="shared" si="151"/>
        <v>0</v>
      </c>
      <c r="BE133" s="1254">
        <f t="shared" si="151"/>
        <v>0</v>
      </c>
      <c r="BF133" s="1254">
        <f t="shared" si="151"/>
        <v>0</v>
      </c>
      <c r="BG133" s="1254">
        <f t="shared" si="151"/>
        <v>0</v>
      </c>
      <c r="BO133" s="34"/>
      <c r="BR133" s="71">
        <f>BR57</f>
        <v>0.19</v>
      </c>
      <c r="BS133" s="72" t="str">
        <f t="shared" si="112"/>
        <v>Steuerberatung, Abschluss, Prüfung</v>
      </c>
      <c r="BT133" s="1234">
        <f>CF57</f>
        <v>0</v>
      </c>
      <c r="BU133" s="1254">
        <f t="shared" si="152"/>
        <v>0</v>
      </c>
      <c r="BV133" s="1254">
        <f t="shared" si="152"/>
        <v>0</v>
      </c>
      <c r="BW133" s="1254">
        <f t="shared" si="152"/>
        <v>0</v>
      </c>
      <c r="BX133" s="1254">
        <f t="shared" si="152"/>
        <v>0</v>
      </c>
      <c r="CU133" s="922"/>
      <c r="CV133" s="922"/>
      <c r="CW133" s="986"/>
      <c r="CX133" s="991">
        <f>CX57</f>
        <v>0.19</v>
      </c>
      <c r="CY133" s="60"/>
      <c r="CZ133" s="283"/>
      <c r="DC133" s="197"/>
      <c r="DD133" s="197"/>
    </row>
    <row r="134" spans="1:122" x14ac:dyDescent="0.2">
      <c r="A134" s="70">
        <f>A58</f>
        <v>0.19</v>
      </c>
      <c r="B134" s="71">
        <f>A58</f>
        <v>0.19</v>
      </c>
      <c r="C134" s="1424" t="str">
        <f t="shared" si="90"/>
        <v>Sonstiges</v>
      </c>
      <c r="D134" s="1425">
        <f t="shared" si="93"/>
        <v>0</v>
      </c>
      <c r="E134" s="1417"/>
      <c r="F134" s="1417"/>
      <c r="G134" s="1417"/>
      <c r="H134" s="1426"/>
      <c r="I134" s="144"/>
      <c r="J134" s="34"/>
      <c r="K134" s="34"/>
      <c r="L134" s="34"/>
      <c r="M134" s="34"/>
      <c r="N134" s="34"/>
      <c r="O134" s="34"/>
      <c r="P134" s="34"/>
      <c r="Q134" s="35"/>
      <c r="S134" s="1546"/>
      <c r="U134" s="34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67"/>
      <c r="AJ134" s="67"/>
      <c r="BA134" s="71">
        <f>AZ58</f>
        <v>0</v>
      </c>
      <c r="BB134" s="1101" t="str">
        <f t="shared" si="111"/>
        <v>Sonstiges</v>
      </c>
      <c r="BC134" s="1234">
        <f>BO58</f>
        <v>0</v>
      </c>
      <c r="BD134" s="1254">
        <f t="shared" si="151"/>
        <v>0</v>
      </c>
      <c r="BE134" s="1254">
        <f t="shared" si="151"/>
        <v>0</v>
      </c>
      <c r="BF134" s="1254">
        <f t="shared" si="151"/>
        <v>0</v>
      </c>
      <c r="BG134" s="1254">
        <f t="shared" si="151"/>
        <v>0</v>
      </c>
      <c r="BO134" s="34"/>
      <c r="BR134" s="71">
        <f>BQ58</f>
        <v>0</v>
      </c>
      <c r="BS134" s="72" t="str">
        <f t="shared" si="112"/>
        <v>Sonstiges</v>
      </c>
      <c r="BT134" s="1234">
        <f>CF58</f>
        <v>0</v>
      </c>
      <c r="BU134" s="1254">
        <f t="shared" si="152"/>
        <v>0</v>
      </c>
      <c r="BV134" s="1254">
        <f t="shared" si="152"/>
        <v>0</v>
      </c>
      <c r="BW134" s="1254">
        <f t="shared" si="152"/>
        <v>0</v>
      </c>
      <c r="BX134" s="1254">
        <f t="shared" si="152"/>
        <v>0</v>
      </c>
      <c r="CU134" s="922"/>
      <c r="CV134" s="922"/>
      <c r="CW134" s="986"/>
      <c r="CX134" s="991">
        <f>CX58</f>
        <v>7.0000000000000007E-2</v>
      </c>
      <c r="CY134" s="60"/>
      <c r="CZ134" s="283"/>
      <c r="DC134" s="197"/>
      <c r="DD134" s="197"/>
    </row>
    <row r="135" spans="1:122" x14ac:dyDescent="0.2">
      <c r="A135" s="70"/>
      <c r="B135" s="80" t="str">
        <f>IF($D$4=-1, 0,"")</f>
        <v/>
      </c>
      <c r="C135" s="1105" t="str">
        <f t="shared" si="90"/>
        <v>Summe Rechts- und Beratungskosten</v>
      </c>
      <c r="D135" s="1218">
        <f t="shared" si="93"/>
        <v>0</v>
      </c>
      <c r="E135" s="1218">
        <f>SUM(E132:E134)</f>
        <v>0</v>
      </c>
      <c r="F135" s="1218">
        <f>SUM(F132:F134)</f>
        <v>0</v>
      </c>
      <c r="G135" s="1218">
        <f>SUM(G132:G134)</f>
        <v>0</v>
      </c>
      <c r="H135" s="1218">
        <f>SUM(H132:H134)</f>
        <v>0</v>
      </c>
      <c r="I135" s="144"/>
      <c r="J135" s="34"/>
      <c r="K135" s="34"/>
      <c r="L135" s="34"/>
      <c r="M135" s="34"/>
      <c r="N135" s="34"/>
      <c r="O135" s="34"/>
      <c r="P135" s="34"/>
      <c r="Q135" s="35"/>
      <c r="S135" s="83"/>
      <c r="U135" s="34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67"/>
      <c r="AJ135" s="67"/>
      <c r="BA135" s="80" t="str">
        <f>IF($D$4=-1, 0,"")</f>
        <v/>
      </c>
      <c r="BB135" s="1105" t="str">
        <f t="shared" si="111"/>
        <v>Summe Rechts- und Beratungskosten</v>
      </c>
      <c r="BC135" s="1218">
        <f>BO59</f>
        <v>0</v>
      </c>
      <c r="BD135" s="1218">
        <f t="shared" ref="BD135:BG135" si="153">SUM(BD132:BD134)</f>
        <v>0</v>
      </c>
      <c r="BE135" s="1218">
        <f t="shared" si="153"/>
        <v>0</v>
      </c>
      <c r="BF135" s="1218">
        <f t="shared" si="153"/>
        <v>0</v>
      </c>
      <c r="BG135" s="1218">
        <f t="shared" si="153"/>
        <v>0</v>
      </c>
      <c r="BO135" s="34"/>
      <c r="BR135" s="80" t="str">
        <f>IF($D$4=-1, 0,"")</f>
        <v/>
      </c>
      <c r="BS135" s="97" t="str">
        <f t="shared" si="112"/>
        <v>Summe Rechts- und Beratungskosten</v>
      </c>
      <c r="BT135" s="1218">
        <f>CF59</f>
        <v>0</v>
      </c>
      <c r="BU135" s="1218">
        <f t="shared" ref="BU135:BX135" si="154">SUM(BU132:BU134)</f>
        <v>0</v>
      </c>
      <c r="BV135" s="1218">
        <f t="shared" si="154"/>
        <v>0</v>
      </c>
      <c r="BW135" s="1218">
        <f t="shared" si="154"/>
        <v>0</v>
      </c>
      <c r="BX135" s="1218">
        <f t="shared" si="154"/>
        <v>0</v>
      </c>
      <c r="CU135" s="922"/>
      <c r="CV135" s="922"/>
      <c r="CW135" s="986"/>
      <c r="CX135" s="991"/>
      <c r="CY135" s="60"/>
      <c r="CZ135" s="283"/>
      <c r="DC135" s="197"/>
      <c r="DD135" s="197"/>
    </row>
    <row r="136" spans="1:122" x14ac:dyDescent="0.2">
      <c r="A136" s="70"/>
      <c r="B136" s="188">
        <v>9</v>
      </c>
      <c r="C136" s="1102" t="str">
        <f t="shared" si="90"/>
        <v>Verschiedenes</v>
      </c>
      <c r="D136" s="1220"/>
      <c r="E136" s="1220"/>
      <c r="F136" s="1220"/>
      <c r="G136" s="1220"/>
      <c r="H136" s="1220"/>
      <c r="I136" s="144"/>
      <c r="J136" s="34"/>
      <c r="K136" s="34"/>
      <c r="L136" s="34"/>
      <c r="M136" s="34"/>
      <c r="N136" s="34"/>
      <c r="O136" s="34"/>
      <c r="P136" s="34"/>
      <c r="Q136" s="35"/>
      <c r="S136" s="90"/>
      <c r="U136" s="34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67"/>
      <c r="AJ136" s="67"/>
      <c r="BA136" s="188">
        <v>9</v>
      </c>
      <c r="BB136" s="1102" t="str">
        <f t="shared" si="111"/>
        <v>Verschiedenes</v>
      </c>
      <c r="BC136" s="1220"/>
      <c r="BD136" s="1220"/>
      <c r="BE136" s="1220"/>
      <c r="BF136" s="1220"/>
      <c r="BG136" s="1220"/>
      <c r="BO136" s="34"/>
      <c r="BR136" s="188">
        <v>9</v>
      </c>
      <c r="BS136" s="62" t="str">
        <f t="shared" si="112"/>
        <v>Verschiedenes</v>
      </c>
      <c r="BT136" s="1220"/>
      <c r="BU136" s="1220"/>
      <c r="BV136" s="1220"/>
      <c r="BW136" s="1220"/>
      <c r="BX136" s="1220"/>
      <c r="CU136" s="922"/>
      <c r="CV136" s="922"/>
      <c r="CW136" s="986"/>
      <c r="CX136" s="991"/>
      <c r="CY136" s="60"/>
      <c r="CZ136" s="283"/>
      <c r="DC136" s="197"/>
      <c r="DD136" s="197"/>
    </row>
    <row r="137" spans="1:122" x14ac:dyDescent="0.2">
      <c r="A137" s="70">
        <f t="shared" ref="A137:B140" si="155">A61</f>
        <v>0</v>
      </c>
      <c r="B137" s="71" t="str">
        <f t="shared" si="155"/>
        <v/>
      </c>
      <c r="C137" s="1428" t="str">
        <f t="shared" si="90"/>
        <v>Finanzaufwand / Zinsen *)</v>
      </c>
      <c r="D137" s="1419">
        <f t="shared" si="93"/>
        <v>0</v>
      </c>
      <c r="E137" s="1419">
        <f>'7 Finanzierung|Financing'!E56</f>
        <v>0</v>
      </c>
      <c r="F137" s="1419">
        <f>'7 Finanzierung|Financing'!F56</f>
        <v>0</v>
      </c>
      <c r="G137" s="1419">
        <f>'7 Finanzierung|Financing'!G56</f>
        <v>0</v>
      </c>
      <c r="H137" s="1415">
        <f>'7 Finanzierung|Financing'!H56</f>
        <v>0</v>
      </c>
      <c r="I137" s="144"/>
      <c r="J137" s="34"/>
      <c r="K137" s="34"/>
      <c r="L137" s="34"/>
      <c r="M137" s="34"/>
      <c r="N137" s="34"/>
      <c r="O137" s="34"/>
      <c r="P137" s="34"/>
      <c r="Q137" s="35"/>
      <c r="S137" s="1546"/>
      <c r="U137" s="34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67"/>
      <c r="AJ137" s="67"/>
      <c r="BA137" s="71" t="str">
        <f>BA61</f>
        <v/>
      </c>
      <c r="BB137" s="1106" t="str">
        <f t="shared" si="111"/>
        <v>Finanzaufwand / Zinsen *)</v>
      </c>
      <c r="BC137" s="1223">
        <f t="shared" ref="BC137:BC143" si="156">BO61</f>
        <v>0</v>
      </c>
      <c r="BD137" s="1254">
        <f t="shared" ref="BD137:BG141" si="157">IF($A137=$Q$2,E137*IF(OR($D$4=0,$D$4=3),$A137,$A137/(1+$A137)),0)</f>
        <v>0</v>
      </c>
      <c r="BE137" s="1254">
        <f t="shared" si="157"/>
        <v>0</v>
      </c>
      <c r="BF137" s="1254">
        <f t="shared" si="157"/>
        <v>0</v>
      </c>
      <c r="BG137" s="1254">
        <f t="shared" si="157"/>
        <v>0</v>
      </c>
      <c r="BO137" s="34"/>
      <c r="BR137" s="71" t="str">
        <f>BR61</f>
        <v/>
      </c>
      <c r="BS137" s="936" t="str">
        <f t="shared" si="112"/>
        <v>Finanzaufwand / Zinsen *)</v>
      </c>
      <c r="BT137" s="1223">
        <f t="shared" ref="BT137:BT143" si="158">CF61</f>
        <v>0</v>
      </c>
      <c r="BU137" s="1254">
        <f t="shared" ref="BU137:BX141" si="159">IF($A137=$Q$3,E137*IF(OR($D$4=0,$D$4=3),$A137,$A137/(1+$A137)),0)</f>
        <v>0</v>
      </c>
      <c r="BV137" s="1254">
        <f t="shared" si="159"/>
        <v>0</v>
      </c>
      <c r="BW137" s="1254">
        <f t="shared" si="159"/>
        <v>0</v>
      </c>
      <c r="BX137" s="1254">
        <f t="shared" si="159"/>
        <v>0</v>
      </c>
      <c r="CU137" s="922"/>
      <c r="CV137" s="922"/>
      <c r="CW137" s="986"/>
      <c r="CX137" s="991">
        <f>CX61</f>
        <v>0</v>
      </c>
      <c r="CY137" s="60"/>
      <c r="CZ137" s="283"/>
      <c r="DC137" s="197"/>
      <c r="DD137" s="197"/>
    </row>
    <row r="138" spans="1:122" x14ac:dyDescent="0.2">
      <c r="A138" s="70">
        <f t="shared" si="155"/>
        <v>0.19</v>
      </c>
      <c r="B138" s="71">
        <f t="shared" si="155"/>
        <v>0.19</v>
      </c>
      <c r="C138" s="1421" t="str">
        <f t="shared" si="90"/>
        <v>Reisekosten</v>
      </c>
      <c r="D138" s="1422">
        <f t="shared" si="93"/>
        <v>0</v>
      </c>
      <c r="E138" s="1414"/>
      <c r="F138" s="1414"/>
      <c r="G138" s="1414"/>
      <c r="H138" s="1423"/>
      <c r="I138" s="144"/>
      <c r="J138" s="34"/>
      <c r="K138" s="34"/>
      <c r="L138" s="34"/>
      <c r="M138" s="34"/>
      <c r="N138" s="34"/>
      <c r="O138" s="34"/>
      <c r="P138" s="34"/>
      <c r="Q138" s="35"/>
      <c r="S138" s="1546"/>
      <c r="U138" s="34"/>
      <c r="V138" s="37"/>
      <c r="W138" s="37"/>
      <c r="X138" s="37"/>
      <c r="Y138" s="37"/>
      <c r="Z138" s="37"/>
      <c r="AA138" s="37"/>
      <c r="AB138" s="37"/>
      <c r="AC138" s="37"/>
      <c r="AD138" s="37"/>
      <c r="AE138" s="37"/>
      <c r="AF138" s="37"/>
      <c r="AG138" s="37"/>
      <c r="AH138" s="37"/>
      <c r="AI138" s="67"/>
      <c r="AJ138" s="67"/>
      <c r="BA138" s="71">
        <f>BA62</f>
        <v>0.19</v>
      </c>
      <c r="BB138" s="1101" t="str">
        <f t="shared" si="111"/>
        <v>Reisekosten</v>
      </c>
      <c r="BC138" s="1234">
        <f t="shared" si="156"/>
        <v>0</v>
      </c>
      <c r="BD138" s="1254">
        <f t="shared" si="157"/>
        <v>0</v>
      </c>
      <c r="BE138" s="1254">
        <f t="shared" si="157"/>
        <v>0</v>
      </c>
      <c r="BF138" s="1254">
        <f t="shared" si="157"/>
        <v>0</v>
      </c>
      <c r="BG138" s="1254">
        <f t="shared" si="157"/>
        <v>0</v>
      </c>
      <c r="BO138" s="34"/>
      <c r="BR138" s="71">
        <f>BR62</f>
        <v>0.19</v>
      </c>
      <c r="BS138" s="72" t="str">
        <f t="shared" si="112"/>
        <v>Reisekosten</v>
      </c>
      <c r="BT138" s="1234">
        <f t="shared" si="158"/>
        <v>0</v>
      </c>
      <c r="BU138" s="1254">
        <f t="shared" si="159"/>
        <v>0</v>
      </c>
      <c r="BV138" s="1254">
        <f t="shared" si="159"/>
        <v>0</v>
      </c>
      <c r="BW138" s="1254">
        <f t="shared" si="159"/>
        <v>0</v>
      </c>
      <c r="BX138" s="1254">
        <f t="shared" si="159"/>
        <v>0</v>
      </c>
      <c r="CU138" s="91"/>
      <c r="CV138" s="91"/>
      <c r="CW138" s="986"/>
      <c r="CX138" s="991">
        <f>CX62</f>
        <v>0.19</v>
      </c>
      <c r="CY138" s="60"/>
      <c r="CZ138" s="38"/>
      <c r="DC138" s="463"/>
      <c r="DD138" s="463"/>
    </row>
    <row r="139" spans="1:122" x14ac:dyDescent="0.2">
      <c r="A139" s="70">
        <f t="shared" si="155"/>
        <v>7.0000000000000007E-2</v>
      </c>
      <c r="B139" s="71">
        <f t="shared" si="155"/>
        <v>7.0000000000000007E-2</v>
      </c>
      <c r="C139" s="1421" t="str">
        <f t="shared" si="90"/>
        <v>Fachliteratur, Bücher</v>
      </c>
      <c r="D139" s="1422">
        <f t="shared" si="93"/>
        <v>0</v>
      </c>
      <c r="E139" s="1414"/>
      <c r="F139" s="1414"/>
      <c r="G139" s="1414"/>
      <c r="H139" s="1423"/>
      <c r="I139" s="144"/>
      <c r="J139" s="34"/>
      <c r="K139" s="34"/>
      <c r="L139" s="34"/>
      <c r="M139" s="34"/>
      <c r="N139" s="34"/>
      <c r="O139" s="34"/>
      <c r="P139" s="34"/>
      <c r="Q139" s="35"/>
      <c r="S139" s="1546"/>
      <c r="U139" s="34"/>
      <c r="V139" s="37"/>
      <c r="W139" s="37"/>
      <c r="X139" s="37"/>
      <c r="Y139" s="37"/>
      <c r="Z139" s="37"/>
      <c r="AA139" s="37"/>
      <c r="AB139" s="37"/>
      <c r="AC139" s="37"/>
      <c r="AD139" s="37"/>
      <c r="AE139" s="37"/>
      <c r="AF139" s="37"/>
      <c r="AG139" s="37"/>
      <c r="AH139" s="37"/>
      <c r="AI139" s="67"/>
      <c r="AJ139" s="67"/>
      <c r="BA139" s="71">
        <f>BA63</f>
        <v>7.0000000000000007E-2</v>
      </c>
      <c r="BB139" s="1101" t="str">
        <f t="shared" si="111"/>
        <v>Fachliteratur, Bücher</v>
      </c>
      <c r="BC139" s="1234">
        <f t="shared" si="156"/>
        <v>0</v>
      </c>
      <c r="BD139" s="1254">
        <f t="shared" si="157"/>
        <v>0</v>
      </c>
      <c r="BE139" s="1254">
        <f t="shared" si="157"/>
        <v>0</v>
      </c>
      <c r="BF139" s="1254">
        <f t="shared" si="157"/>
        <v>0</v>
      </c>
      <c r="BG139" s="1254">
        <f t="shared" si="157"/>
        <v>0</v>
      </c>
      <c r="BO139" s="34"/>
      <c r="BR139" s="71">
        <f>BR63</f>
        <v>7.0000000000000007E-2</v>
      </c>
      <c r="BS139" s="72" t="str">
        <f t="shared" si="112"/>
        <v>Fachliteratur, Bücher</v>
      </c>
      <c r="BT139" s="1234">
        <f t="shared" si="158"/>
        <v>0</v>
      </c>
      <c r="BU139" s="1254">
        <f t="shared" si="159"/>
        <v>0</v>
      </c>
      <c r="BV139" s="1254">
        <f t="shared" si="159"/>
        <v>0</v>
      </c>
      <c r="BW139" s="1254">
        <f t="shared" si="159"/>
        <v>0</v>
      </c>
      <c r="BX139" s="1254">
        <f t="shared" si="159"/>
        <v>0</v>
      </c>
      <c r="CU139" s="1007"/>
      <c r="CV139" s="1007"/>
      <c r="CW139" s="986"/>
      <c r="CX139" s="991">
        <f>CX63</f>
        <v>7.0000000000000007E-2</v>
      </c>
      <c r="CY139" s="60"/>
      <c r="CZ139" s="1369"/>
      <c r="DC139" s="641"/>
      <c r="DD139" s="641"/>
    </row>
    <row r="140" spans="1:122" x14ac:dyDescent="0.2">
      <c r="A140" s="70">
        <f t="shared" si="155"/>
        <v>0.19</v>
      </c>
      <c r="B140" s="71">
        <f t="shared" si="155"/>
        <v>0.19</v>
      </c>
      <c r="C140" s="1421" t="str">
        <f t="shared" si="90"/>
        <v>Schulungen</v>
      </c>
      <c r="D140" s="1422">
        <f t="shared" si="93"/>
        <v>0</v>
      </c>
      <c r="E140" s="1414"/>
      <c r="F140" s="1414"/>
      <c r="G140" s="1414"/>
      <c r="H140" s="1423"/>
      <c r="I140" s="144"/>
      <c r="J140" s="34"/>
      <c r="K140" s="34"/>
      <c r="L140" s="34"/>
      <c r="M140" s="34"/>
      <c r="N140" s="34"/>
      <c r="O140" s="34"/>
      <c r="P140" s="34"/>
      <c r="Q140" s="35"/>
      <c r="S140" s="1546"/>
      <c r="U140" s="34"/>
      <c r="V140" s="37"/>
      <c r="W140" s="37"/>
      <c r="X140" s="37"/>
      <c r="Y140" s="37"/>
      <c r="Z140" s="37"/>
      <c r="AA140" s="37"/>
      <c r="AB140" s="37"/>
      <c r="AC140" s="37"/>
      <c r="AD140" s="37"/>
      <c r="AE140" s="37"/>
      <c r="AF140" s="37"/>
      <c r="AG140" s="37"/>
      <c r="AH140" s="37"/>
      <c r="AI140" s="67"/>
      <c r="AJ140" s="67"/>
      <c r="BA140" s="71">
        <f>BA64</f>
        <v>0.19</v>
      </c>
      <c r="BB140" s="1101" t="str">
        <f t="shared" si="111"/>
        <v>Schulungen</v>
      </c>
      <c r="BC140" s="1234">
        <f t="shared" si="156"/>
        <v>0</v>
      </c>
      <c r="BD140" s="1254">
        <f t="shared" si="157"/>
        <v>0</v>
      </c>
      <c r="BE140" s="1254">
        <f t="shared" si="157"/>
        <v>0</v>
      </c>
      <c r="BF140" s="1254">
        <f t="shared" si="157"/>
        <v>0</v>
      </c>
      <c r="BG140" s="1254">
        <f t="shared" si="157"/>
        <v>0</v>
      </c>
      <c r="BO140" s="34"/>
      <c r="BR140" s="71">
        <f>BR64</f>
        <v>0.19</v>
      </c>
      <c r="BS140" s="72" t="str">
        <f t="shared" si="112"/>
        <v>Schulungen</v>
      </c>
      <c r="BT140" s="1234">
        <f t="shared" si="158"/>
        <v>0</v>
      </c>
      <c r="BU140" s="1254">
        <f t="shared" si="159"/>
        <v>0</v>
      </c>
      <c r="BV140" s="1254">
        <f t="shared" si="159"/>
        <v>0</v>
      </c>
      <c r="BW140" s="1254">
        <f t="shared" si="159"/>
        <v>0</v>
      </c>
      <c r="BX140" s="1254">
        <f t="shared" si="159"/>
        <v>0</v>
      </c>
      <c r="CU140" s="1007"/>
      <c r="CV140" s="1007"/>
      <c r="CW140" s="986"/>
      <c r="CX140" s="991">
        <f>CX64</f>
        <v>0.19</v>
      </c>
      <c r="CY140" s="60"/>
      <c r="CZ140" s="283"/>
      <c r="DC140" s="641"/>
      <c r="DD140" s="641"/>
    </row>
    <row r="141" spans="1:122" x14ac:dyDescent="0.2">
      <c r="A141" s="70">
        <f>A65</f>
        <v>0</v>
      </c>
      <c r="B141" s="71">
        <f>A65</f>
        <v>0</v>
      </c>
      <c r="C141" s="1424" t="str">
        <f t="shared" si="90"/>
        <v>Versicherungen, Berufsgenossenschaft, Handwerkskammer etc.</v>
      </c>
      <c r="D141" s="1425">
        <f t="shared" si="93"/>
        <v>0</v>
      </c>
      <c r="E141" s="1417"/>
      <c r="F141" s="1417"/>
      <c r="G141" s="1417"/>
      <c r="H141" s="1417"/>
      <c r="I141" s="144"/>
      <c r="J141" s="34"/>
      <c r="K141" s="34"/>
      <c r="L141" s="34"/>
      <c r="M141" s="34"/>
      <c r="N141" s="34"/>
      <c r="O141" s="34"/>
      <c r="P141" s="34"/>
      <c r="Q141" s="35"/>
      <c r="S141" s="1546"/>
      <c r="U141" s="34"/>
      <c r="V141" s="37"/>
      <c r="W141" s="37"/>
      <c r="X141" s="37"/>
      <c r="Y141" s="37"/>
      <c r="Z141" s="37"/>
      <c r="AA141" s="37"/>
      <c r="AB141" s="37"/>
      <c r="AC141" s="37"/>
      <c r="AD141" s="37"/>
      <c r="AE141" s="37"/>
      <c r="AF141" s="37"/>
      <c r="AG141" s="37"/>
      <c r="AH141" s="37"/>
      <c r="AI141" s="67"/>
      <c r="AJ141" s="67"/>
      <c r="BA141" s="71">
        <f>AZ65</f>
        <v>0</v>
      </c>
      <c r="BB141" s="1101" t="str">
        <f t="shared" si="111"/>
        <v>Sonstiges</v>
      </c>
      <c r="BC141" s="1235">
        <f t="shared" si="156"/>
        <v>0</v>
      </c>
      <c r="BD141" s="1254">
        <f t="shared" si="157"/>
        <v>0</v>
      </c>
      <c r="BE141" s="1254">
        <f t="shared" si="157"/>
        <v>0</v>
      </c>
      <c r="BF141" s="1254">
        <f t="shared" si="157"/>
        <v>0</v>
      </c>
      <c r="BG141" s="1254">
        <f t="shared" si="157"/>
        <v>0</v>
      </c>
      <c r="BO141" s="34"/>
      <c r="BR141" s="71">
        <f>BQ65</f>
        <v>0</v>
      </c>
      <c r="BS141" s="72" t="str">
        <f t="shared" si="112"/>
        <v>Sonstiges</v>
      </c>
      <c r="BT141" s="1235">
        <f t="shared" si="158"/>
        <v>0</v>
      </c>
      <c r="BU141" s="1254">
        <f t="shared" si="159"/>
        <v>0</v>
      </c>
      <c r="BV141" s="1254">
        <f t="shared" si="159"/>
        <v>0</v>
      </c>
      <c r="BW141" s="1254">
        <f t="shared" si="159"/>
        <v>0</v>
      </c>
      <c r="BX141" s="1254">
        <f t="shared" si="159"/>
        <v>0</v>
      </c>
      <c r="CU141" s="1007"/>
      <c r="CV141" s="1007"/>
      <c r="CW141" s="986"/>
      <c r="CX141" s="991">
        <f>CX65</f>
        <v>7.0000000000000007E-2</v>
      </c>
      <c r="CY141" s="60"/>
      <c r="CZ141" s="283"/>
      <c r="DC141" s="641"/>
      <c r="DD141" s="641"/>
    </row>
    <row r="142" spans="1:122" ht="15" thickBot="1" x14ac:dyDescent="0.25">
      <c r="A142" s="926"/>
      <c r="B142" s="92"/>
      <c r="C142" s="1427" t="str">
        <f t="shared" si="90"/>
        <v>Summe Verschiedenes</v>
      </c>
      <c r="D142" s="1225">
        <f t="shared" si="93"/>
        <v>0</v>
      </c>
      <c r="E142" s="1226">
        <f>SUM(E137:E141)</f>
        <v>0</v>
      </c>
      <c r="F142" s="1226">
        <f>SUM(F137:F141)</f>
        <v>0</v>
      </c>
      <c r="G142" s="1226">
        <f>SUM(G137:G141)</f>
        <v>0</v>
      </c>
      <c r="H142" s="1226">
        <f>SUM(H137:H141)</f>
        <v>0</v>
      </c>
      <c r="I142" s="144"/>
      <c r="J142" s="34"/>
      <c r="K142" s="34"/>
      <c r="L142" s="34"/>
      <c r="M142" s="34"/>
      <c r="N142" s="34"/>
      <c r="O142" s="34"/>
      <c r="P142" s="34"/>
      <c r="Q142" s="35"/>
      <c r="U142" s="34"/>
      <c r="V142" s="37"/>
      <c r="W142" s="37"/>
      <c r="X142" s="37"/>
      <c r="Y142" s="37"/>
      <c r="Z142" s="37"/>
      <c r="AA142" s="37"/>
      <c r="AB142" s="37"/>
      <c r="AC142" s="37"/>
      <c r="AD142" s="37"/>
      <c r="AE142" s="37"/>
      <c r="AF142" s="37"/>
      <c r="AG142" s="37"/>
      <c r="AH142" s="37"/>
      <c r="AI142" s="67"/>
      <c r="AJ142" s="67"/>
      <c r="BA142" s="92"/>
      <c r="BB142" s="1105" t="str">
        <f t="shared" si="111"/>
        <v>Summe Verschiedenes</v>
      </c>
      <c r="BC142" s="1225">
        <f t="shared" si="156"/>
        <v>0</v>
      </c>
      <c r="BD142" s="1218">
        <f t="shared" ref="BD142:BG142" si="160">SUM(BD137:BD141)</f>
        <v>0</v>
      </c>
      <c r="BE142" s="1218">
        <f t="shared" si="160"/>
        <v>0</v>
      </c>
      <c r="BF142" s="1218">
        <f t="shared" si="160"/>
        <v>0</v>
      </c>
      <c r="BG142" s="1218">
        <f t="shared" si="160"/>
        <v>0</v>
      </c>
      <c r="BO142" s="34"/>
      <c r="BR142" s="92"/>
      <c r="BS142" s="97" t="str">
        <f t="shared" si="112"/>
        <v>Summe Verschiedenes</v>
      </c>
      <c r="BT142" s="1225">
        <f t="shared" si="158"/>
        <v>0</v>
      </c>
      <c r="BU142" s="1218">
        <f t="shared" ref="BU142:BX142" si="161">SUM(BU137:BU141)</f>
        <v>0</v>
      </c>
      <c r="BV142" s="1218">
        <f t="shared" si="161"/>
        <v>0</v>
      </c>
      <c r="BW142" s="1218">
        <f t="shared" si="161"/>
        <v>0</v>
      </c>
      <c r="BX142" s="1218">
        <f t="shared" si="161"/>
        <v>0</v>
      </c>
      <c r="CU142" s="1007"/>
      <c r="CV142" s="1007"/>
      <c r="CX142" s="991"/>
      <c r="CY142" s="60"/>
      <c r="CZ142" s="283"/>
      <c r="DC142" s="641"/>
      <c r="DD142" s="641"/>
    </row>
    <row r="143" spans="1:122" s="58" customFormat="1" ht="16.5" thickTop="1" thickBot="1" x14ac:dyDescent="0.25">
      <c r="A143" s="925"/>
      <c r="B143" s="101"/>
      <c r="C143" s="1107" t="str">
        <f t="shared" si="90"/>
        <v>Summe Betriebskosten I</v>
      </c>
      <c r="D143" s="1236">
        <f t="shared" si="93"/>
        <v>0</v>
      </c>
      <c r="E143" s="1236">
        <f>SUM(E83:E142)/2</f>
        <v>0</v>
      </c>
      <c r="F143" s="1236">
        <f>SUM(F83:F142)/2</f>
        <v>0</v>
      </c>
      <c r="G143" s="1236">
        <f>SUM(G83:G142)/2</f>
        <v>0</v>
      </c>
      <c r="H143" s="1236">
        <f>SUM(H83:H142)/2</f>
        <v>0</v>
      </c>
      <c r="I143" s="142"/>
      <c r="J143" s="55"/>
      <c r="K143" s="55"/>
      <c r="L143" s="55"/>
      <c r="M143" s="55"/>
      <c r="N143" s="55"/>
      <c r="O143" s="55"/>
      <c r="P143" s="55"/>
      <c r="Q143" s="35"/>
      <c r="R143" s="55"/>
      <c r="S143" s="122"/>
      <c r="T143" s="55"/>
      <c r="U143" s="55"/>
      <c r="V143" s="55"/>
      <c r="W143" s="55"/>
      <c r="X143" s="55"/>
      <c r="Y143" s="55"/>
      <c r="Z143" s="55"/>
      <c r="AA143" s="55"/>
      <c r="AB143" s="55"/>
      <c r="AC143" s="55"/>
      <c r="AD143" s="55"/>
      <c r="AE143" s="55"/>
      <c r="AF143" s="55"/>
      <c r="AG143" s="55"/>
      <c r="AH143" s="55"/>
      <c r="AI143" s="67"/>
      <c r="AJ143" s="67"/>
      <c r="AK143" s="55"/>
      <c r="AL143" s="55"/>
      <c r="AM143" s="55"/>
      <c r="AN143" s="55"/>
      <c r="AO143" s="55"/>
      <c r="AP143" s="55"/>
      <c r="AQ143" s="55"/>
      <c r="AR143" s="55"/>
      <c r="AS143" s="55"/>
      <c r="AT143" s="55"/>
      <c r="AU143" s="55"/>
      <c r="AV143" s="55"/>
      <c r="AW143" s="55"/>
      <c r="AX143" s="55"/>
      <c r="AY143" s="55"/>
      <c r="AZ143" s="55"/>
      <c r="BA143" s="1253"/>
      <c r="BB143" s="110" t="str">
        <f>"Summe MwSt "&amp;$Q$2*100&amp;"%"</f>
        <v>Summe MwSt 19%</v>
      </c>
      <c r="BC143" s="1237">
        <f t="shared" si="156"/>
        <v>0</v>
      </c>
      <c r="BD143" s="1232">
        <f>SUM(BD82:BD142)/2</f>
        <v>0</v>
      </c>
      <c r="BE143" s="1232">
        <f>SUM(BE82:BE142)/2</f>
        <v>0</v>
      </c>
      <c r="BF143" s="1232">
        <f>SUM(BF82:BF142)/2</f>
        <v>0</v>
      </c>
      <c r="BG143" s="1233">
        <f>SUM(BG82:BG142)/2</f>
        <v>0</v>
      </c>
      <c r="BH143" s="155"/>
      <c r="BI143" s="155"/>
      <c r="BJ143" s="155"/>
      <c r="BK143" s="155"/>
      <c r="BL143" s="155"/>
      <c r="BM143" s="155"/>
      <c r="BN143" s="155"/>
      <c r="BO143" s="55"/>
      <c r="BP143" s="155"/>
      <c r="BQ143" s="155"/>
      <c r="BR143" s="1253"/>
      <c r="BS143" s="110" t="str">
        <f>"Summe MwSt "&amp;$Q$3*100&amp;"%"</f>
        <v>Summe MwSt 7%</v>
      </c>
      <c r="BT143" s="1237">
        <f t="shared" si="158"/>
        <v>0</v>
      </c>
      <c r="BU143" s="1232">
        <f>SUM(BU82:BU142)/2</f>
        <v>0</v>
      </c>
      <c r="BV143" s="1232">
        <f>SUM(BV82:BV142)/2</f>
        <v>0</v>
      </c>
      <c r="BW143" s="1232">
        <f>SUM(BW82:BW142)/2</f>
        <v>0</v>
      </c>
      <c r="BX143" s="1233">
        <f>SUM(BX82:BX142)/2</f>
        <v>0</v>
      </c>
      <c r="BY143" s="55"/>
      <c r="BZ143" s="55"/>
      <c r="CA143" s="55"/>
      <c r="CB143" s="55"/>
      <c r="CC143" s="55"/>
      <c r="CD143" s="55"/>
      <c r="CE143" s="55"/>
      <c r="CF143" s="55"/>
      <c r="CG143" s="55"/>
      <c r="CU143" s="1007"/>
      <c r="CV143" s="1007"/>
      <c r="CW143" s="985"/>
      <c r="CX143" s="990"/>
      <c r="CY143" s="60"/>
      <c r="CZ143" s="283"/>
      <c r="DA143" s="174"/>
      <c r="DB143" s="173"/>
      <c r="DC143" s="641"/>
      <c r="DD143" s="641"/>
      <c r="DE143" s="345"/>
      <c r="DF143" s="345"/>
      <c r="DG143" s="345"/>
      <c r="DH143" s="345"/>
      <c r="DI143" s="345"/>
      <c r="DJ143" s="345"/>
      <c r="DK143" s="345"/>
      <c r="DL143" s="345"/>
      <c r="DM143" s="345"/>
      <c r="DN143" s="345"/>
      <c r="DO143" s="345"/>
      <c r="DP143" s="345"/>
      <c r="DQ143" s="345"/>
      <c r="DR143" s="345"/>
    </row>
    <row r="144" spans="1:122" ht="15" thickBot="1" x14ac:dyDescent="0.25">
      <c r="B144" s="61"/>
      <c r="C144" s="1108" t="str">
        <f t="shared" si="90"/>
        <v>Abschreibungen (aus "3 Anschaffungen|Investment")</v>
      </c>
      <c r="D144" s="1230">
        <f t="shared" si="93"/>
        <v>0</v>
      </c>
      <c r="E144" s="1230">
        <f ca="1">'3 Anschaffungen|Investment'!F55</f>
        <v>0</v>
      </c>
      <c r="F144" s="1230">
        <f ca="1">'3 Anschaffungen|Investment'!G55</f>
        <v>0</v>
      </c>
      <c r="G144" s="1230">
        <f ca="1">'3 Anschaffungen|Investment'!H55</f>
        <v>0</v>
      </c>
      <c r="H144" s="1230">
        <f ca="1">'3 Anschaffungen|Investment'!I55</f>
        <v>0</v>
      </c>
      <c r="I144" s="144"/>
      <c r="J144" s="34"/>
      <c r="K144" s="34"/>
      <c r="L144" s="34"/>
      <c r="M144" s="34"/>
      <c r="N144" s="34"/>
      <c r="O144" s="34"/>
      <c r="P144" s="34"/>
      <c r="Q144" s="35"/>
      <c r="S144" s="113"/>
      <c r="U144" s="34"/>
      <c r="V144" s="37"/>
      <c r="W144" s="37"/>
      <c r="X144" s="37"/>
      <c r="Y144" s="37"/>
      <c r="Z144" s="37"/>
      <c r="AA144" s="37"/>
      <c r="AB144" s="37"/>
      <c r="AC144" s="37"/>
      <c r="AD144" s="37"/>
      <c r="AE144" s="37"/>
      <c r="AF144" s="37"/>
      <c r="AG144" s="37"/>
      <c r="AH144" s="37"/>
      <c r="AI144" s="67"/>
      <c r="AJ144" s="67"/>
      <c r="BO144" s="34"/>
      <c r="CU144" s="1007"/>
      <c r="CV144" s="1007"/>
      <c r="CY144" s="60"/>
      <c r="CZ144" s="922"/>
      <c r="DC144" s="641"/>
      <c r="DD144" s="641"/>
    </row>
    <row r="145" spans="1:122" s="173" customFormat="1" ht="15.75" thickTop="1" thickBot="1" x14ac:dyDescent="0.25">
      <c r="A145" s="925"/>
      <c r="B145" s="109"/>
      <c r="C145" s="1109" t="str">
        <f>C69</f>
        <v>Summe Betriebskosten II</v>
      </c>
      <c r="D145" s="1237">
        <f t="shared" si="93"/>
        <v>0</v>
      </c>
      <c r="E145" s="1237">
        <f ca="1">SUM(E143:E144)</f>
        <v>0</v>
      </c>
      <c r="F145" s="1237">
        <f ca="1">SUM(F143:F144)</f>
        <v>0</v>
      </c>
      <c r="G145" s="1237">
        <f ca="1">SUM(G143:G144)</f>
        <v>0</v>
      </c>
      <c r="H145" s="1237">
        <f ca="1">SUM(H143:H144)</f>
        <v>0</v>
      </c>
      <c r="I145" s="170"/>
      <c r="J145" s="171"/>
      <c r="K145" s="171"/>
      <c r="L145" s="171"/>
      <c r="M145" s="171"/>
      <c r="N145" s="171"/>
      <c r="O145" s="171"/>
      <c r="P145" s="171"/>
      <c r="Q145" s="171"/>
      <c r="R145" s="55"/>
      <c r="S145" s="172"/>
      <c r="T145" s="171"/>
      <c r="U145" s="171"/>
      <c r="V145" s="171"/>
      <c r="W145" s="171"/>
      <c r="X145" s="171"/>
      <c r="Y145" s="171"/>
      <c r="Z145" s="171"/>
      <c r="AA145" s="171"/>
      <c r="AB145" s="171"/>
      <c r="AC145" s="171"/>
      <c r="AD145" s="171"/>
      <c r="AE145" s="171"/>
      <c r="AF145" s="171"/>
      <c r="AG145" s="171"/>
      <c r="AH145" s="171"/>
      <c r="AI145" s="67"/>
      <c r="AJ145" s="67"/>
      <c r="AK145" s="171"/>
      <c r="AL145" s="171"/>
      <c r="AM145" s="171"/>
      <c r="AN145" s="171"/>
      <c r="AO145" s="171"/>
      <c r="AP145" s="171"/>
      <c r="AQ145" s="171"/>
      <c r="AR145" s="171"/>
      <c r="AS145" s="171"/>
      <c r="AT145" s="171"/>
      <c r="AU145" s="171"/>
      <c r="AV145" s="171"/>
      <c r="AW145" s="171"/>
      <c r="AX145" s="171"/>
      <c r="AY145" s="171"/>
      <c r="AZ145" s="171"/>
      <c r="BA145" s="184"/>
      <c r="BB145" s="184"/>
      <c r="BC145" s="184"/>
      <c r="BD145" s="184"/>
      <c r="BE145" s="184"/>
      <c r="BF145" s="184"/>
      <c r="BG145" s="184"/>
      <c r="BH145" s="184"/>
      <c r="BI145" s="184"/>
      <c r="BJ145" s="184"/>
      <c r="BK145" s="184"/>
      <c r="BL145" s="184"/>
      <c r="BM145" s="184"/>
      <c r="BN145" s="184"/>
      <c r="BO145" s="171"/>
      <c r="BP145" s="184"/>
      <c r="BQ145" s="184"/>
      <c r="BR145" s="184"/>
      <c r="BS145" s="184"/>
      <c r="BT145" s="171"/>
      <c r="BU145" s="171"/>
      <c r="BV145" s="171"/>
      <c r="BW145" s="171"/>
      <c r="BX145" s="171"/>
      <c r="BY145" s="171"/>
      <c r="BZ145" s="171"/>
      <c r="CA145" s="171"/>
      <c r="CB145" s="171"/>
      <c r="CC145" s="171"/>
      <c r="CD145" s="171"/>
      <c r="CE145" s="171"/>
      <c r="CF145" s="171"/>
      <c r="CG145" s="171"/>
      <c r="CU145" s="922"/>
      <c r="CV145" s="922"/>
      <c r="CW145" s="985"/>
      <c r="CX145" s="990"/>
      <c r="CY145" s="60"/>
      <c r="CZ145" s="922"/>
      <c r="DA145" s="174"/>
      <c r="DC145" s="197"/>
      <c r="DD145" s="197"/>
      <c r="DE145" s="642"/>
      <c r="DF145" s="642"/>
      <c r="DG145" s="642"/>
      <c r="DH145" s="642"/>
      <c r="DI145" s="642"/>
      <c r="DJ145" s="642"/>
      <c r="DK145" s="642"/>
      <c r="DL145" s="642"/>
      <c r="DM145" s="642"/>
      <c r="DN145" s="642"/>
      <c r="DO145" s="642"/>
      <c r="DP145" s="642"/>
      <c r="DQ145" s="642"/>
      <c r="DR145" s="642"/>
    </row>
    <row r="146" spans="1:122" x14ac:dyDescent="0.2">
      <c r="C146" s="32" t="str">
        <f>C70</f>
        <v>*) wird aus Tabelle "Finanzierung" übernommen (auf ganze Euro gerundet!)</v>
      </c>
      <c r="D146" s="34"/>
      <c r="E146" s="95"/>
      <c r="F146" s="95"/>
      <c r="G146" s="95"/>
      <c r="H146" s="95"/>
      <c r="I146" s="34"/>
      <c r="J146" s="34"/>
      <c r="K146" s="34"/>
      <c r="L146" s="34"/>
      <c r="M146" s="34"/>
      <c r="N146" s="34"/>
      <c r="O146" s="34"/>
      <c r="P146" s="35"/>
      <c r="Q146" s="35"/>
      <c r="S146" s="113"/>
      <c r="U146" s="34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67"/>
      <c r="AJ146" s="67"/>
      <c r="BO146" s="35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922"/>
      <c r="CV146" s="922"/>
      <c r="CY146" s="60"/>
      <c r="CZ146" s="39"/>
      <c r="DC146" s="197"/>
      <c r="DD146" s="197"/>
    </row>
    <row r="147" spans="1:122" x14ac:dyDescent="0.2">
      <c r="C147" s="34"/>
      <c r="D147" s="34"/>
      <c r="E147" s="95"/>
      <c r="F147" s="95"/>
      <c r="G147" s="95"/>
      <c r="H147" s="95"/>
      <c r="I147" s="34"/>
      <c r="J147" s="34"/>
      <c r="K147" s="34"/>
      <c r="L147" s="34"/>
      <c r="M147" s="34"/>
      <c r="N147" s="34"/>
      <c r="O147" s="34"/>
      <c r="P147" s="35"/>
      <c r="Q147" s="35"/>
      <c r="S147" s="113"/>
      <c r="U147" s="34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67"/>
      <c r="AJ147" s="67"/>
      <c r="BO147" s="35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922"/>
      <c r="CV147" s="922"/>
      <c r="CZ147" s="39"/>
      <c r="DC147" s="197"/>
      <c r="DD147" s="197"/>
    </row>
    <row r="148" spans="1:122" s="173" customFormat="1" ht="18.75" thickBot="1" x14ac:dyDescent="0.25">
      <c r="A148" s="925"/>
      <c r="B148" s="175"/>
      <c r="C148" s="176" t="str">
        <f>IF($C$2="English",CZ148,CY148)</f>
        <v>4b  Anhang: Ausweis der MwSt in EURO aus der Differenz zwischen den Tabellen 4b und 4d</v>
      </c>
      <c r="D148" s="116"/>
      <c r="E148" s="116"/>
      <c r="F148" s="116"/>
      <c r="G148" s="116"/>
      <c r="H148" s="116"/>
      <c r="I148" s="171"/>
      <c r="J148" s="171"/>
      <c r="K148" s="171"/>
      <c r="L148" s="171"/>
      <c r="M148" s="171"/>
      <c r="N148" s="171"/>
      <c r="O148" s="171"/>
      <c r="P148" s="171"/>
      <c r="Q148" s="171"/>
      <c r="R148" s="55"/>
      <c r="S148" s="172"/>
      <c r="T148" s="171"/>
      <c r="U148" s="171"/>
      <c r="V148" s="177"/>
      <c r="W148" s="177"/>
      <c r="X148" s="177"/>
      <c r="Y148" s="177"/>
      <c r="Z148" s="177"/>
      <c r="AA148" s="177"/>
      <c r="AB148" s="177"/>
      <c r="AC148" s="177"/>
      <c r="AD148" s="177"/>
      <c r="AE148" s="177"/>
      <c r="AF148" s="177"/>
      <c r="AG148" s="177"/>
      <c r="AH148" s="177"/>
      <c r="AI148" s="155"/>
      <c r="AJ148" s="155"/>
      <c r="AK148" s="171"/>
      <c r="AL148" s="171"/>
      <c r="AM148" s="171"/>
      <c r="AN148" s="171"/>
      <c r="AO148" s="171"/>
      <c r="AP148" s="171"/>
      <c r="AQ148" s="171"/>
      <c r="AR148" s="171"/>
      <c r="AS148" s="171"/>
      <c r="AT148" s="171"/>
      <c r="AU148" s="171"/>
      <c r="AV148" s="171"/>
      <c r="AW148" s="171"/>
      <c r="AX148" s="171"/>
      <c r="AY148" s="171"/>
      <c r="AZ148" s="171"/>
      <c r="BA148" s="184"/>
      <c r="BB148" s="184"/>
      <c r="BC148" s="184"/>
      <c r="BD148" s="184"/>
      <c r="BE148" s="184"/>
      <c r="BF148" s="184"/>
      <c r="BG148" s="184"/>
      <c r="BH148" s="184"/>
      <c r="BI148" s="184"/>
      <c r="BJ148" s="184"/>
      <c r="BK148" s="184"/>
      <c r="BL148" s="184"/>
      <c r="BM148" s="184"/>
      <c r="BN148" s="184"/>
      <c r="BO148" s="171"/>
      <c r="BP148" s="184"/>
      <c r="BQ148" s="184"/>
      <c r="BR148" s="184"/>
      <c r="BS148" s="184"/>
      <c r="BT148" s="171"/>
      <c r="BU148" s="171"/>
      <c r="BV148" s="171"/>
      <c r="BW148" s="171"/>
      <c r="BX148" s="171"/>
      <c r="BY148" s="171"/>
      <c r="BZ148" s="171"/>
      <c r="CA148" s="171"/>
      <c r="CB148" s="171"/>
      <c r="CC148" s="171"/>
      <c r="CD148" s="171"/>
      <c r="CE148" s="171"/>
      <c r="CF148" s="171"/>
      <c r="CG148" s="171"/>
      <c r="CH148" s="171"/>
      <c r="CI148" s="171"/>
      <c r="CJ148" s="171"/>
      <c r="CK148" s="171"/>
      <c r="CL148" s="171"/>
      <c r="CM148" s="171"/>
      <c r="CN148" s="171"/>
      <c r="CO148" s="171"/>
      <c r="CP148" s="171"/>
      <c r="CQ148" s="171"/>
      <c r="CR148" s="171"/>
      <c r="CS148" s="171"/>
      <c r="CT148" s="171"/>
      <c r="CU148" s="174"/>
      <c r="CV148" s="174"/>
      <c r="CW148" s="985"/>
      <c r="CX148" s="990"/>
      <c r="CY148" s="959" t="s">
        <v>199</v>
      </c>
      <c r="CZ148" s="39" t="s">
        <v>311</v>
      </c>
      <c r="DA148" s="174"/>
      <c r="DC148" s="59"/>
      <c r="DD148" s="59"/>
      <c r="DE148" s="642"/>
      <c r="DF148" s="642"/>
      <c r="DG148" s="642"/>
      <c r="DH148" s="642"/>
      <c r="DI148" s="642"/>
      <c r="DJ148" s="642"/>
      <c r="DK148" s="642"/>
      <c r="DL148" s="642"/>
      <c r="DM148" s="642"/>
      <c r="DN148" s="642"/>
      <c r="DO148" s="642"/>
      <c r="DP148" s="642"/>
      <c r="DQ148" s="642"/>
      <c r="DR148" s="642"/>
    </row>
    <row r="149" spans="1:122" s="173" customFormat="1" x14ac:dyDescent="0.2">
      <c r="A149" s="925"/>
      <c r="B149" s="175"/>
      <c r="C149" s="178" t="str">
        <f>C73</f>
        <v>Summe der angefallenen MwSt  19%</v>
      </c>
      <c r="D149" s="1126">
        <f>P73</f>
        <v>0</v>
      </c>
      <c r="E149" s="120">
        <f>BD143</f>
        <v>0</v>
      </c>
      <c r="F149" s="120">
        <f>BE143</f>
        <v>0</v>
      </c>
      <c r="G149" s="120">
        <f>BF143</f>
        <v>0</v>
      </c>
      <c r="H149" s="120">
        <f>BG143</f>
        <v>0</v>
      </c>
      <c r="I149" s="170"/>
      <c r="J149" s="171"/>
      <c r="K149" s="171"/>
      <c r="L149" s="171"/>
      <c r="M149" s="171"/>
      <c r="N149" s="171"/>
      <c r="O149" s="171"/>
      <c r="P149" s="171"/>
      <c r="Q149" s="171"/>
      <c r="R149" s="55"/>
      <c r="S149" s="172"/>
      <c r="T149" s="171"/>
      <c r="U149" s="171"/>
      <c r="V149" s="177"/>
      <c r="W149" s="177"/>
      <c r="X149" s="177"/>
      <c r="Y149" s="177"/>
      <c r="Z149" s="177"/>
      <c r="AA149" s="177"/>
      <c r="AB149" s="177"/>
      <c r="AC149" s="177"/>
      <c r="AD149" s="177"/>
      <c r="AE149" s="177"/>
      <c r="AF149" s="177"/>
      <c r="AG149" s="177"/>
      <c r="AH149" s="177"/>
      <c r="AI149" s="67"/>
      <c r="AJ149" s="67"/>
      <c r="AK149" s="171"/>
      <c r="AL149" s="171"/>
      <c r="AM149" s="171"/>
      <c r="AN149" s="171"/>
      <c r="AO149" s="171"/>
      <c r="AP149" s="171"/>
      <c r="AQ149" s="171"/>
      <c r="AR149" s="171"/>
      <c r="AS149" s="171"/>
      <c r="AT149" s="171"/>
      <c r="AU149" s="171"/>
      <c r="AV149" s="171"/>
      <c r="AW149" s="171"/>
      <c r="AX149" s="171"/>
      <c r="AY149" s="171"/>
      <c r="AZ149" s="171"/>
      <c r="BA149" s="184"/>
      <c r="BB149" s="184"/>
      <c r="BC149" s="184"/>
      <c r="BD149" s="184"/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71"/>
      <c r="BP149" s="184"/>
      <c r="BQ149" s="184"/>
      <c r="BR149" s="184"/>
      <c r="BS149" s="184"/>
      <c r="BT149" s="171"/>
      <c r="BU149" s="171"/>
      <c r="BV149" s="171"/>
      <c r="BW149" s="171"/>
      <c r="BX149" s="171"/>
      <c r="BY149" s="171"/>
      <c r="BZ149" s="171"/>
      <c r="CA149" s="171"/>
      <c r="CB149" s="171"/>
      <c r="CC149" s="171"/>
      <c r="CD149" s="171"/>
      <c r="CE149" s="171"/>
      <c r="CF149" s="171"/>
      <c r="CG149" s="171"/>
      <c r="CH149" s="171"/>
      <c r="CI149" s="171"/>
      <c r="CJ149" s="171"/>
      <c r="CK149" s="171"/>
      <c r="CL149" s="171"/>
      <c r="CM149" s="171"/>
      <c r="CN149" s="171"/>
      <c r="CO149" s="171"/>
      <c r="CP149" s="171"/>
      <c r="CQ149" s="171"/>
      <c r="CR149" s="171"/>
      <c r="CS149" s="171"/>
      <c r="CT149" s="171"/>
      <c r="CU149" s="174"/>
      <c r="CV149" s="174"/>
      <c r="CW149" s="985"/>
      <c r="CX149" s="990"/>
      <c r="CY149" s="175"/>
      <c r="CZ149" s="39"/>
      <c r="DA149" s="174"/>
      <c r="DC149" s="59"/>
      <c r="DD149" s="59"/>
      <c r="DE149" s="642"/>
      <c r="DF149" s="642"/>
      <c r="DG149" s="642"/>
      <c r="DH149" s="642"/>
      <c r="DI149" s="642"/>
      <c r="DJ149" s="642"/>
      <c r="DK149" s="642"/>
      <c r="DL149" s="642"/>
      <c r="DM149" s="642"/>
      <c r="DN149" s="642"/>
      <c r="DO149" s="642"/>
      <c r="DP149" s="642"/>
      <c r="DQ149" s="642"/>
      <c r="DR149" s="642"/>
    </row>
    <row r="150" spans="1:122" s="173" customFormat="1" ht="15" thickBot="1" x14ac:dyDescent="0.25">
      <c r="A150" s="925"/>
      <c r="B150" s="175"/>
      <c r="C150" s="179" t="str">
        <f>C74</f>
        <v>Summe der angefallenen MwSt  7%</v>
      </c>
      <c r="D150" s="1127">
        <f>P74</f>
        <v>0</v>
      </c>
      <c r="E150" s="124">
        <f>BU143</f>
        <v>0</v>
      </c>
      <c r="F150" s="124">
        <f>BV143</f>
        <v>0</v>
      </c>
      <c r="G150" s="124">
        <f>BW143</f>
        <v>0</v>
      </c>
      <c r="H150" s="124">
        <f>BX143</f>
        <v>0</v>
      </c>
      <c r="I150" s="170"/>
      <c r="J150" s="171"/>
      <c r="K150" s="171"/>
      <c r="L150" s="171"/>
      <c r="M150" s="171"/>
      <c r="N150" s="171"/>
      <c r="O150" s="171"/>
      <c r="P150" s="171"/>
      <c r="Q150" s="171"/>
      <c r="R150" s="55"/>
      <c r="S150" s="172"/>
      <c r="T150" s="171"/>
      <c r="U150" s="171"/>
      <c r="V150" s="118"/>
      <c r="W150" s="118"/>
      <c r="X150" s="118"/>
      <c r="Y150" s="118"/>
      <c r="Z150" s="118"/>
      <c r="AA150" s="118"/>
      <c r="AB150" s="118"/>
      <c r="AC150" s="118"/>
      <c r="AD150" s="118"/>
      <c r="AE150" s="118"/>
      <c r="AF150" s="118"/>
      <c r="AG150" s="118"/>
      <c r="AH150" s="118"/>
      <c r="AI150" s="171"/>
      <c r="AJ150" s="171"/>
      <c r="AK150" s="171"/>
      <c r="AL150" s="171"/>
      <c r="AM150" s="171"/>
      <c r="AN150" s="171"/>
      <c r="AO150" s="171"/>
      <c r="AP150" s="171"/>
      <c r="AQ150" s="171"/>
      <c r="AR150" s="171"/>
      <c r="AS150" s="171"/>
      <c r="AT150" s="171"/>
      <c r="AU150" s="171"/>
      <c r="AV150" s="171"/>
      <c r="AW150" s="171"/>
      <c r="AX150" s="171"/>
      <c r="AY150" s="171"/>
      <c r="AZ150" s="171"/>
      <c r="BA150" s="184"/>
      <c r="BB150" s="184"/>
      <c r="BC150" s="184"/>
      <c r="BD150" s="184"/>
      <c r="BE150" s="184"/>
      <c r="BF150" s="184"/>
      <c r="BG150" s="184"/>
      <c r="BH150" s="184"/>
      <c r="BI150" s="184"/>
      <c r="BJ150" s="184"/>
      <c r="BK150" s="184"/>
      <c r="BL150" s="184"/>
      <c r="BM150" s="184"/>
      <c r="BN150" s="184"/>
      <c r="BO150" s="171"/>
      <c r="BP150" s="184"/>
      <c r="BQ150" s="184"/>
      <c r="BR150" s="184"/>
      <c r="BS150" s="184"/>
      <c r="BT150" s="171"/>
      <c r="BU150" s="171"/>
      <c r="BV150" s="171"/>
      <c r="BW150" s="171"/>
      <c r="BX150" s="171"/>
      <c r="BY150" s="171"/>
      <c r="BZ150" s="171"/>
      <c r="CA150" s="171"/>
      <c r="CB150" s="171"/>
      <c r="CC150" s="171"/>
      <c r="CD150" s="171"/>
      <c r="CE150" s="171"/>
      <c r="CF150" s="171"/>
      <c r="CG150" s="171"/>
      <c r="CH150" s="171"/>
      <c r="CI150" s="171"/>
      <c r="CJ150" s="171"/>
      <c r="CK150" s="171"/>
      <c r="CL150" s="171"/>
      <c r="CM150" s="171"/>
      <c r="CN150" s="171"/>
      <c r="CO150" s="171"/>
      <c r="CP150" s="171"/>
      <c r="CQ150" s="171"/>
      <c r="CR150" s="171"/>
      <c r="CS150" s="171"/>
      <c r="CT150" s="171"/>
      <c r="CU150" s="174"/>
      <c r="CV150" s="174"/>
      <c r="CW150" s="985"/>
      <c r="CX150" s="990"/>
      <c r="DA150" s="922"/>
      <c r="DC150" s="59"/>
      <c r="DD150" s="59"/>
      <c r="DE150" s="642"/>
      <c r="DF150" s="642"/>
      <c r="DG150" s="642"/>
      <c r="DH150" s="642"/>
      <c r="DI150" s="642"/>
      <c r="DJ150" s="642"/>
      <c r="DK150" s="642"/>
      <c r="DL150" s="642"/>
      <c r="DM150" s="642"/>
      <c r="DN150" s="642"/>
      <c r="DO150" s="642"/>
      <c r="DP150" s="642"/>
      <c r="DQ150" s="642"/>
      <c r="DR150" s="642"/>
    </row>
    <row r="151" spans="1:122" s="173" customFormat="1" ht="16.5" thickTop="1" thickBot="1" x14ac:dyDescent="0.25">
      <c r="A151" s="925"/>
      <c r="B151" s="175"/>
      <c r="C151" s="180" t="str">
        <f>C75</f>
        <v>Gesamtsumme angefallener MwSt</v>
      </c>
      <c r="D151" s="1124">
        <f>D150+D149</f>
        <v>0</v>
      </c>
      <c r="E151" s="1124">
        <f>E150+E149</f>
        <v>0</v>
      </c>
      <c r="F151" s="1124">
        <f>F150+F149</f>
        <v>0</v>
      </c>
      <c r="G151" s="1124">
        <f>G150+G149</f>
        <v>0</v>
      </c>
      <c r="H151" s="1125">
        <f>H150+H149</f>
        <v>0</v>
      </c>
      <c r="I151" s="170"/>
      <c r="J151" s="171"/>
      <c r="K151" s="171"/>
      <c r="L151" s="171"/>
      <c r="M151" s="171"/>
      <c r="N151" s="171"/>
      <c r="O151" s="171"/>
      <c r="P151" s="171"/>
      <c r="Q151" s="171"/>
      <c r="R151" s="55"/>
      <c r="S151" s="172"/>
      <c r="T151" s="171"/>
      <c r="U151" s="171"/>
      <c r="V151" s="118"/>
      <c r="W151" s="118"/>
      <c r="X151" s="118"/>
      <c r="Y151" s="118"/>
      <c r="Z151" s="118"/>
      <c r="AA151" s="118"/>
      <c r="AB151" s="118"/>
      <c r="AC151" s="118"/>
      <c r="AD151" s="118"/>
      <c r="AE151" s="118"/>
      <c r="AF151" s="118"/>
      <c r="AG151" s="118"/>
      <c r="AH151" s="118"/>
      <c r="AI151" s="171"/>
      <c r="AJ151" s="171"/>
      <c r="AK151" s="171"/>
      <c r="AL151" s="171"/>
      <c r="AM151" s="171"/>
      <c r="AN151" s="171"/>
      <c r="AO151" s="171"/>
      <c r="AP151" s="171"/>
      <c r="AQ151" s="171"/>
      <c r="AR151" s="171"/>
      <c r="AS151" s="171"/>
      <c r="AT151" s="171"/>
      <c r="AU151" s="171"/>
      <c r="AV151" s="171"/>
      <c r="AW151" s="171"/>
      <c r="AX151" s="171"/>
      <c r="AY151" s="171"/>
      <c r="AZ151" s="171"/>
      <c r="BA151" s="184"/>
      <c r="BB151" s="184"/>
      <c r="BC151" s="184"/>
      <c r="BD151" s="184"/>
      <c r="BE151" s="184"/>
      <c r="BF151" s="184"/>
      <c r="BG151" s="184"/>
      <c r="BH151" s="184"/>
      <c r="BI151" s="184"/>
      <c r="BJ151" s="184"/>
      <c r="BK151" s="184"/>
      <c r="BL151" s="184"/>
      <c r="BM151" s="184"/>
      <c r="BN151" s="184"/>
      <c r="BO151" s="171"/>
      <c r="BP151" s="184"/>
      <c r="BQ151" s="184"/>
      <c r="BR151" s="184"/>
      <c r="BS151" s="184"/>
      <c r="BT151" s="171"/>
      <c r="BU151" s="171"/>
      <c r="BV151" s="171"/>
      <c r="BW151" s="171"/>
      <c r="BX151" s="171"/>
      <c r="BY151" s="171"/>
      <c r="BZ151" s="171"/>
      <c r="CA151" s="171"/>
      <c r="CB151" s="171"/>
      <c r="CC151" s="171"/>
      <c r="CD151" s="171"/>
      <c r="CE151" s="171"/>
      <c r="CF151" s="171"/>
      <c r="CG151" s="171"/>
      <c r="CH151" s="171"/>
      <c r="CI151" s="171"/>
      <c r="CJ151" s="171"/>
      <c r="CK151" s="171"/>
      <c r="CL151" s="171"/>
      <c r="CM151" s="171"/>
      <c r="CN151" s="171"/>
      <c r="CO151" s="171"/>
      <c r="CP151" s="171"/>
      <c r="CQ151" s="171"/>
      <c r="CR151" s="171"/>
      <c r="CS151" s="171"/>
      <c r="CT151" s="171"/>
      <c r="CU151" s="174"/>
      <c r="CV151" s="174"/>
      <c r="CW151" s="985"/>
      <c r="CX151" s="990"/>
      <c r="CY151" s="959"/>
      <c r="DA151" s="922"/>
      <c r="DC151" s="59"/>
      <c r="DD151" s="59"/>
      <c r="DE151" s="642"/>
      <c r="DF151" s="642"/>
      <c r="DG151" s="642"/>
      <c r="DH151" s="642"/>
      <c r="DI151" s="642"/>
      <c r="DJ151" s="642"/>
      <c r="DK151" s="642"/>
      <c r="DL151" s="642"/>
      <c r="DM151" s="642"/>
      <c r="DN151" s="642"/>
      <c r="DO151" s="642"/>
      <c r="DP151" s="642"/>
      <c r="DQ151" s="642"/>
      <c r="DR151" s="642"/>
    </row>
    <row r="152" spans="1:122" s="34" customFormat="1" ht="15" x14ac:dyDescent="0.2">
      <c r="A152" s="886"/>
      <c r="B152" s="32"/>
      <c r="C152" s="181"/>
      <c r="D152" s="182"/>
      <c r="E152" s="183"/>
      <c r="F152" s="182"/>
      <c r="I152" s="171"/>
      <c r="P152" s="35"/>
      <c r="Q152" s="35"/>
      <c r="R152" s="55"/>
      <c r="S152" s="113"/>
      <c r="V152" s="37"/>
      <c r="W152" s="37"/>
      <c r="X152" s="37"/>
      <c r="Y152" s="37"/>
      <c r="Z152" s="37"/>
      <c r="AA152" s="37"/>
      <c r="AB152" s="37"/>
      <c r="AC152" s="37"/>
      <c r="AD152" s="37"/>
      <c r="AE152" s="37"/>
      <c r="AF152" s="37"/>
      <c r="AG152" s="37"/>
      <c r="AH152" s="37"/>
      <c r="BA152" s="67"/>
      <c r="BB152" s="67"/>
      <c r="BC152" s="67"/>
      <c r="BD152" s="67"/>
      <c r="BE152" s="67"/>
      <c r="BF152" s="67"/>
      <c r="BG152" s="67"/>
      <c r="BH152" s="67"/>
      <c r="BI152" s="67"/>
      <c r="BJ152" s="67"/>
      <c r="BK152" s="67"/>
      <c r="BL152" s="67"/>
      <c r="BM152" s="67"/>
      <c r="BN152" s="67"/>
      <c r="BO152" s="35"/>
      <c r="BP152" s="67"/>
      <c r="BQ152" s="67"/>
      <c r="BR152" s="67"/>
      <c r="BS152" s="67"/>
      <c r="CU152" s="922"/>
      <c r="CV152" s="922"/>
      <c r="CW152" s="909"/>
      <c r="CX152" s="989"/>
      <c r="CY152" s="959"/>
      <c r="CZ152" s="39"/>
      <c r="DA152" s="988"/>
      <c r="DB152" s="205"/>
      <c r="DC152" s="197"/>
      <c r="DD152" s="197"/>
      <c r="DE152" s="33"/>
      <c r="DF152" s="33"/>
      <c r="DG152" s="33"/>
      <c r="DH152" s="33"/>
      <c r="DI152" s="33"/>
      <c r="DJ152" s="33"/>
      <c r="DK152" s="33"/>
      <c r="DL152" s="33"/>
      <c r="DM152" s="33"/>
      <c r="DN152" s="33"/>
      <c r="DO152" s="33"/>
      <c r="DP152" s="33"/>
      <c r="DQ152" s="33"/>
      <c r="DR152" s="33"/>
    </row>
    <row r="153" spans="1:122" s="34" customFormat="1" x14ac:dyDescent="0.2">
      <c r="A153" s="886"/>
      <c r="B153" s="32"/>
      <c r="C153" s="181"/>
      <c r="D153" s="182"/>
      <c r="E153" s="183"/>
      <c r="F153" s="182"/>
      <c r="I153" s="171"/>
      <c r="P153" s="35"/>
      <c r="Q153" s="35"/>
      <c r="R153" s="55"/>
      <c r="S153" s="113"/>
      <c r="V153" s="37"/>
      <c r="W153" s="37"/>
      <c r="X153" s="37"/>
      <c r="Y153" s="37"/>
      <c r="Z153" s="37"/>
      <c r="AA153" s="37"/>
      <c r="AB153" s="37"/>
      <c r="AC153" s="37"/>
      <c r="AD153" s="37"/>
      <c r="AE153" s="37"/>
      <c r="AF153" s="37"/>
      <c r="AG153" s="37"/>
      <c r="AH153" s="37"/>
      <c r="BA153" s="67"/>
      <c r="BB153" s="67"/>
      <c r="BC153" s="67"/>
      <c r="BD153" s="67"/>
      <c r="BE153" s="67"/>
      <c r="BF153" s="67"/>
      <c r="BG153" s="67"/>
      <c r="BH153" s="67"/>
      <c r="BI153" s="67"/>
      <c r="BJ153" s="67"/>
      <c r="BK153" s="67"/>
      <c r="BL153" s="67"/>
      <c r="BM153" s="67"/>
      <c r="BN153" s="67"/>
      <c r="BO153" s="35"/>
      <c r="BP153" s="67"/>
      <c r="BQ153" s="67"/>
      <c r="BR153" s="67"/>
      <c r="BS153" s="67"/>
      <c r="CU153" s="922"/>
      <c r="CV153" s="922"/>
      <c r="CW153" s="909"/>
      <c r="CX153" s="989"/>
      <c r="CY153" s="964"/>
      <c r="CZ153" s="885"/>
      <c r="DA153" s="988"/>
      <c r="DB153" s="205"/>
      <c r="DC153" s="197"/>
      <c r="DD153" s="197"/>
      <c r="DE153" s="33"/>
      <c r="DF153" s="33"/>
      <c r="DG153" s="33"/>
      <c r="DH153" s="33"/>
      <c r="DI153" s="33"/>
      <c r="DJ153" s="33"/>
      <c r="DK153" s="33"/>
      <c r="DL153" s="33"/>
      <c r="DM153" s="33"/>
      <c r="DN153" s="33"/>
      <c r="DO153" s="33"/>
      <c r="DP153" s="33"/>
      <c r="DQ153" s="33"/>
      <c r="DR153" s="33"/>
    </row>
    <row r="154" spans="1:122" s="34" customFormat="1" x14ac:dyDescent="0.2">
      <c r="A154" s="886"/>
      <c r="B154" s="32"/>
      <c r="C154" s="181"/>
      <c r="D154" s="182"/>
      <c r="E154" s="183"/>
      <c r="F154" s="182"/>
      <c r="P154" s="35"/>
      <c r="Q154" s="35"/>
      <c r="R154" s="55"/>
      <c r="S154" s="113"/>
      <c r="V154" s="37"/>
      <c r="W154" s="37"/>
      <c r="X154" s="37"/>
      <c r="Y154" s="37"/>
      <c r="Z154" s="37"/>
      <c r="AA154" s="37"/>
      <c r="AB154" s="37"/>
      <c r="AC154" s="37"/>
      <c r="AD154" s="37"/>
      <c r="AE154" s="37"/>
      <c r="AF154" s="37"/>
      <c r="AG154" s="37"/>
      <c r="AH154" s="37"/>
      <c r="BA154" s="67"/>
      <c r="BB154" s="67"/>
      <c r="BC154" s="67"/>
      <c r="BD154" s="67"/>
      <c r="BE154" s="67"/>
      <c r="BF154" s="67"/>
      <c r="BG154" s="67"/>
      <c r="BH154" s="67"/>
      <c r="BI154" s="67"/>
      <c r="BJ154" s="67"/>
      <c r="BK154" s="67"/>
      <c r="BL154" s="67"/>
      <c r="BM154" s="67"/>
      <c r="BN154" s="67"/>
      <c r="BO154" s="35"/>
      <c r="BP154" s="67"/>
      <c r="BQ154" s="67"/>
      <c r="BR154" s="67"/>
      <c r="BS154" s="67"/>
      <c r="CU154" s="922"/>
      <c r="CV154" s="922"/>
      <c r="CW154" s="909"/>
      <c r="CX154" s="989"/>
      <c r="CY154" s="965"/>
      <c r="CZ154" s="885"/>
      <c r="DA154" s="988"/>
      <c r="DB154" s="205"/>
      <c r="DC154" s="197"/>
      <c r="DD154" s="197"/>
      <c r="DE154" s="33"/>
      <c r="DF154" s="33"/>
      <c r="DG154" s="33"/>
      <c r="DH154" s="33"/>
      <c r="DI154" s="33"/>
      <c r="DJ154" s="33"/>
      <c r="DK154" s="33"/>
      <c r="DL154" s="33"/>
      <c r="DM154" s="33"/>
      <c r="DN154" s="33"/>
      <c r="DO154" s="33"/>
      <c r="DP154" s="33"/>
      <c r="DQ154" s="33"/>
      <c r="DR154" s="33"/>
    </row>
    <row r="155" spans="1:122" s="34" customFormat="1" x14ac:dyDescent="0.2">
      <c r="A155" s="886"/>
      <c r="B155" s="32"/>
      <c r="C155" s="181"/>
      <c r="D155" s="182"/>
      <c r="E155" s="183"/>
      <c r="F155" s="182"/>
      <c r="P155" s="35"/>
      <c r="Q155" s="35"/>
      <c r="R155" s="55"/>
      <c r="S155" s="33" t="s">
        <v>251</v>
      </c>
      <c r="V155" s="37"/>
      <c r="W155" s="37"/>
      <c r="X155" s="37"/>
      <c r="Y155" s="37"/>
      <c r="Z155" s="37"/>
      <c r="AA155" s="37"/>
      <c r="AB155" s="37"/>
      <c r="AC155" s="37"/>
      <c r="AD155" s="37"/>
      <c r="AE155" s="37"/>
      <c r="AF155" s="37"/>
      <c r="AG155" s="37"/>
      <c r="AH155" s="37"/>
      <c r="BA155" s="67"/>
      <c r="BB155" s="67"/>
      <c r="BC155" s="67"/>
      <c r="BD155" s="67"/>
      <c r="BE155" s="67"/>
      <c r="BF155" s="67"/>
      <c r="BG155" s="67"/>
      <c r="BH155" s="67"/>
      <c r="BI155" s="67"/>
      <c r="BJ155" s="67"/>
      <c r="BK155" s="67"/>
      <c r="BL155" s="67"/>
      <c r="BM155" s="67"/>
      <c r="BN155" s="67"/>
      <c r="BO155" s="35"/>
      <c r="BP155" s="67"/>
      <c r="BQ155" s="67"/>
      <c r="BR155" s="67"/>
      <c r="BS155" s="67"/>
      <c r="CU155" s="922"/>
      <c r="CV155" s="922"/>
      <c r="CW155" s="909"/>
      <c r="CX155" s="989"/>
      <c r="CY155" s="965"/>
      <c r="CZ155" s="885"/>
      <c r="DA155" s="988"/>
      <c r="DB155" s="205"/>
      <c r="DC155" s="197"/>
      <c r="DD155" s="197"/>
      <c r="DE155" s="33"/>
      <c r="DF155" s="33"/>
      <c r="DG155" s="33"/>
      <c r="DH155" s="33"/>
      <c r="DI155" s="33"/>
      <c r="DJ155" s="33"/>
      <c r="DK155" s="33"/>
      <c r="DL155" s="33"/>
      <c r="DM155" s="33"/>
      <c r="DN155" s="33"/>
      <c r="DO155" s="33"/>
      <c r="DP155" s="33"/>
      <c r="DQ155" s="33"/>
      <c r="DR155" s="33"/>
    </row>
    <row r="156" spans="1:122" s="34" customFormat="1" x14ac:dyDescent="0.2">
      <c r="A156" s="886"/>
      <c r="B156" s="32"/>
      <c r="C156" s="181"/>
      <c r="D156" s="182"/>
      <c r="E156" s="183"/>
      <c r="F156" s="182"/>
      <c r="P156" s="35"/>
      <c r="Q156" s="35"/>
      <c r="R156" s="55"/>
      <c r="V156" s="37"/>
      <c r="W156" s="37"/>
      <c r="X156" s="37"/>
      <c r="Y156" s="37"/>
      <c r="Z156" s="37"/>
      <c r="AA156" s="37"/>
      <c r="AB156" s="37"/>
      <c r="AC156" s="37"/>
      <c r="AD156" s="37"/>
      <c r="AE156" s="37"/>
      <c r="AF156" s="37"/>
      <c r="AG156" s="37"/>
      <c r="AH156" s="37"/>
      <c r="BA156" s="67"/>
      <c r="BB156" s="67"/>
      <c r="BC156" s="67"/>
      <c r="BD156" s="67"/>
      <c r="BE156" s="67"/>
      <c r="BF156" s="67"/>
      <c r="BG156" s="67"/>
      <c r="BH156" s="67"/>
      <c r="BI156" s="67"/>
      <c r="BJ156" s="67"/>
      <c r="BK156" s="67"/>
      <c r="BL156" s="67"/>
      <c r="BM156" s="67"/>
      <c r="BN156" s="67"/>
      <c r="BO156" s="35"/>
      <c r="BP156" s="67"/>
      <c r="BQ156" s="67"/>
      <c r="BR156" s="67"/>
      <c r="BS156" s="67"/>
      <c r="CU156" s="922"/>
      <c r="CV156" s="922"/>
      <c r="CW156" s="909"/>
      <c r="CX156" s="989"/>
      <c r="CY156" s="965"/>
      <c r="CZ156" s="885"/>
      <c r="DA156" s="988"/>
      <c r="DB156" s="205"/>
      <c r="DC156" s="197"/>
      <c r="DD156" s="197"/>
      <c r="DE156" s="33"/>
      <c r="DF156" s="33"/>
      <c r="DG156" s="33"/>
      <c r="DH156" s="33"/>
      <c r="DI156" s="33"/>
      <c r="DJ156" s="33"/>
      <c r="DK156" s="33"/>
      <c r="DL156" s="33"/>
      <c r="DM156" s="33"/>
      <c r="DN156" s="33"/>
      <c r="DO156" s="33"/>
      <c r="DP156" s="33"/>
      <c r="DQ156" s="33"/>
      <c r="DR156" s="33"/>
    </row>
    <row r="157" spans="1:122" s="34" customFormat="1" x14ac:dyDescent="0.2">
      <c r="A157" s="886"/>
      <c r="B157" s="32"/>
      <c r="C157" s="181"/>
      <c r="D157" s="182"/>
      <c r="E157" s="183"/>
      <c r="F157" s="182"/>
      <c r="P157" s="35"/>
      <c r="Q157" s="35"/>
      <c r="R157" s="55"/>
      <c r="V157" s="37"/>
      <c r="W157" s="37"/>
      <c r="X157" s="37"/>
      <c r="Y157" s="37"/>
      <c r="Z157" s="37"/>
      <c r="AA157" s="37"/>
      <c r="AB157" s="37"/>
      <c r="AC157" s="37"/>
      <c r="AD157" s="37"/>
      <c r="AE157" s="37"/>
      <c r="AF157" s="37"/>
      <c r="AG157" s="37"/>
      <c r="AH157" s="37"/>
      <c r="BA157" s="67"/>
      <c r="BB157" s="67"/>
      <c r="BC157" s="67"/>
      <c r="BD157" s="67"/>
      <c r="BE157" s="67"/>
      <c r="BF157" s="67"/>
      <c r="BG157" s="67"/>
      <c r="BH157" s="67"/>
      <c r="BI157" s="67"/>
      <c r="BJ157" s="67"/>
      <c r="BK157" s="67"/>
      <c r="BL157" s="67"/>
      <c r="BM157" s="67"/>
      <c r="BN157" s="67"/>
      <c r="BO157" s="35"/>
      <c r="BP157" s="67"/>
      <c r="BQ157" s="67"/>
      <c r="BR157" s="67"/>
      <c r="BS157" s="67"/>
      <c r="CU157" s="922"/>
      <c r="CV157" s="922"/>
      <c r="CW157" s="909"/>
      <c r="CX157" s="989"/>
      <c r="CY157" s="965"/>
      <c r="CZ157" s="885"/>
      <c r="DA157" s="988"/>
      <c r="DB157" s="205"/>
      <c r="DC157" s="197"/>
      <c r="DD157" s="197"/>
      <c r="DE157" s="33"/>
      <c r="DF157" s="33"/>
      <c r="DG157" s="33"/>
      <c r="DH157" s="33"/>
      <c r="DI157" s="33"/>
      <c r="DJ157" s="33"/>
      <c r="DK157" s="33"/>
      <c r="DL157" s="33"/>
      <c r="DM157" s="33"/>
      <c r="DN157" s="33"/>
      <c r="DO157" s="33"/>
      <c r="DP157" s="33"/>
      <c r="DQ157" s="33"/>
      <c r="DR157" s="33"/>
    </row>
    <row r="158" spans="1:122" s="34" customFormat="1" x14ac:dyDescent="0.2">
      <c r="A158" s="886"/>
      <c r="B158" s="32"/>
      <c r="C158" s="181"/>
      <c r="D158" s="182"/>
      <c r="E158" s="183"/>
      <c r="F158" s="182"/>
      <c r="P158" s="35"/>
      <c r="Q158" s="35"/>
      <c r="R158" s="55"/>
      <c r="V158" s="37"/>
      <c r="W158" s="37"/>
      <c r="X158" s="37"/>
      <c r="Y158" s="37"/>
      <c r="Z158" s="37"/>
      <c r="AA158" s="37"/>
      <c r="AB158" s="37"/>
      <c r="AC158" s="37"/>
      <c r="AD158" s="37"/>
      <c r="AE158" s="37"/>
      <c r="AF158" s="37"/>
      <c r="AG158" s="37"/>
      <c r="AH158" s="37"/>
      <c r="BA158" s="67"/>
      <c r="BB158" s="67"/>
      <c r="BC158" s="67"/>
      <c r="BD158" s="67"/>
      <c r="BE158" s="67"/>
      <c r="BF158" s="67"/>
      <c r="BG158" s="67"/>
      <c r="BH158" s="67"/>
      <c r="BI158" s="67"/>
      <c r="BJ158" s="67"/>
      <c r="BK158" s="67"/>
      <c r="BL158" s="67"/>
      <c r="BM158" s="67"/>
      <c r="BN158" s="67"/>
      <c r="BO158" s="35"/>
      <c r="BP158" s="67"/>
      <c r="BQ158" s="67"/>
      <c r="BR158" s="67"/>
      <c r="BS158" s="67"/>
      <c r="CU158" s="922"/>
      <c r="CV158" s="922"/>
      <c r="CW158" s="909"/>
      <c r="CX158" s="989"/>
      <c r="CY158" s="965"/>
      <c r="CZ158" s="885"/>
      <c r="DA158" s="988"/>
      <c r="DB158" s="205"/>
      <c r="DC158" s="197"/>
      <c r="DD158" s="197"/>
      <c r="DE158" s="33"/>
      <c r="DF158" s="33"/>
      <c r="DG158" s="33"/>
      <c r="DH158" s="33"/>
      <c r="DI158" s="33"/>
      <c r="DJ158" s="33"/>
      <c r="DK158" s="33"/>
      <c r="DL158" s="33"/>
      <c r="DM158" s="33"/>
      <c r="DN158" s="33"/>
      <c r="DO158" s="33"/>
      <c r="DP158" s="33"/>
      <c r="DQ158" s="33"/>
      <c r="DR158" s="33"/>
    </row>
    <row r="159" spans="1:122" s="34" customFormat="1" x14ac:dyDescent="0.2">
      <c r="A159" s="886"/>
      <c r="B159" s="32"/>
      <c r="C159" s="181"/>
      <c r="D159" s="182"/>
      <c r="E159" s="183"/>
      <c r="F159" s="182"/>
      <c r="P159" s="35"/>
      <c r="Q159" s="35"/>
      <c r="R159" s="55"/>
      <c r="V159" s="37"/>
      <c r="W159" s="37"/>
      <c r="X159" s="37"/>
      <c r="Y159" s="37"/>
      <c r="Z159" s="37"/>
      <c r="AA159" s="37"/>
      <c r="AB159" s="37"/>
      <c r="AC159" s="37"/>
      <c r="AD159" s="37"/>
      <c r="AE159" s="37"/>
      <c r="AF159" s="37"/>
      <c r="AG159" s="37"/>
      <c r="AH159" s="37"/>
      <c r="BA159" s="67"/>
      <c r="BB159" s="67"/>
      <c r="BC159" s="67"/>
      <c r="BD159" s="67"/>
      <c r="BE159" s="67"/>
      <c r="BF159" s="67"/>
      <c r="BG159" s="67"/>
      <c r="BH159" s="67"/>
      <c r="BI159" s="67"/>
      <c r="BJ159" s="67"/>
      <c r="BK159" s="67"/>
      <c r="BL159" s="67"/>
      <c r="BM159" s="67"/>
      <c r="BN159" s="67"/>
      <c r="BO159" s="35"/>
      <c r="BP159" s="67"/>
      <c r="BQ159" s="67"/>
      <c r="BR159" s="67"/>
      <c r="BS159" s="67"/>
      <c r="CU159" s="922"/>
      <c r="CV159" s="922"/>
      <c r="CW159" s="909"/>
      <c r="CX159" s="989"/>
      <c r="CY159" s="965"/>
      <c r="CZ159" s="885"/>
      <c r="DA159" s="988"/>
      <c r="DB159" s="205"/>
      <c r="DC159" s="197"/>
      <c r="DD159" s="197"/>
      <c r="DE159" s="33"/>
      <c r="DF159" s="33"/>
      <c r="DG159" s="33"/>
      <c r="DH159" s="33"/>
      <c r="DI159" s="33"/>
      <c r="DJ159" s="33"/>
      <c r="DK159" s="33"/>
      <c r="DL159" s="33"/>
      <c r="DM159" s="33"/>
      <c r="DN159" s="33"/>
      <c r="DO159" s="33"/>
      <c r="DP159" s="33"/>
      <c r="DQ159" s="33"/>
      <c r="DR159" s="33"/>
    </row>
    <row r="160" spans="1:122" s="34" customFormat="1" x14ac:dyDescent="0.2">
      <c r="A160" s="886"/>
      <c r="B160" s="32"/>
      <c r="C160" s="181"/>
      <c r="D160" s="182"/>
      <c r="E160" s="183"/>
      <c r="F160" s="182"/>
      <c r="P160" s="35"/>
      <c r="Q160" s="35"/>
      <c r="R160" s="55"/>
      <c r="V160" s="37"/>
      <c r="W160" s="37"/>
      <c r="X160" s="37"/>
      <c r="Y160" s="37"/>
      <c r="Z160" s="37"/>
      <c r="AA160" s="37"/>
      <c r="AB160" s="37"/>
      <c r="AC160" s="37"/>
      <c r="AD160" s="37"/>
      <c r="AE160" s="37"/>
      <c r="AF160" s="37"/>
      <c r="AG160" s="37"/>
      <c r="AH160" s="37"/>
      <c r="BA160" s="67"/>
      <c r="BB160" s="67"/>
      <c r="BC160" s="67"/>
      <c r="BD160" s="67"/>
      <c r="BE160" s="67"/>
      <c r="BF160" s="67"/>
      <c r="BG160" s="67"/>
      <c r="BH160" s="67"/>
      <c r="BI160" s="67"/>
      <c r="BJ160" s="67"/>
      <c r="BK160" s="67"/>
      <c r="BL160" s="67"/>
      <c r="BM160" s="67"/>
      <c r="BN160" s="67"/>
      <c r="BO160" s="35"/>
      <c r="BP160" s="67"/>
      <c r="BQ160" s="67"/>
      <c r="BR160" s="67"/>
      <c r="BS160" s="67"/>
      <c r="CU160" s="922"/>
      <c r="CV160" s="922"/>
      <c r="CW160" s="909"/>
      <c r="CX160" s="989"/>
      <c r="CY160" s="965"/>
      <c r="CZ160" s="885"/>
      <c r="DA160" s="988"/>
      <c r="DB160" s="205"/>
      <c r="DC160" s="197"/>
      <c r="DD160" s="197"/>
      <c r="DE160" s="33"/>
      <c r="DF160" s="33"/>
      <c r="DG160" s="33"/>
      <c r="DH160" s="33"/>
      <c r="DI160" s="33"/>
      <c r="DJ160" s="33"/>
      <c r="DK160" s="33"/>
      <c r="DL160" s="33"/>
      <c r="DM160" s="33"/>
      <c r="DN160" s="33"/>
      <c r="DO160" s="33"/>
      <c r="DP160" s="33"/>
      <c r="DQ160" s="33"/>
      <c r="DR160" s="33"/>
    </row>
    <row r="161" spans="1:122" s="34" customFormat="1" hidden="1" x14ac:dyDescent="0.2">
      <c r="A161" s="886"/>
      <c r="B161" s="32"/>
      <c r="C161" s="181"/>
      <c r="D161" s="182"/>
      <c r="E161" s="183"/>
      <c r="F161" s="182"/>
      <c r="P161" s="35"/>
      <c r="Q161" s="35"/>
      <c r="R161" s="55"/>
      <c r="V161" s="37"/>
      <c r="W161" s="37"/>
      <c r="X161" s="37"/>
      <c r="Y161" s="37"/>
      <c r="Z161" s="37"/>
      <c r="AA161" s="37"/>
      <c r="AB161" s="37"/>
      <c r="AC161" s="37"/>
      <c r="AD161" s="37"/>
      <c r="AE161" s="37"/>
      <c r="AF161" s="37"/>
      <c r="AG161" s="37"/>
      <c r="AH161" s="37"/>
      <c r="BA161" s="67"/>
      <c r="BB161" s="67"/>
      <c r="BC161" s="67"/>
      <c r="BD161" s="67"/>
      <c r="BE161" s="67"/>
      <c r="BF161" s="67"/>
      <c r="BG161" s="67"/>
      <c r="BH161" s="67"/>
      <c r="BI161" s="67"/>
      <c r="BJ161" s="67"/>
      <c r="BK161" s="67"/>
      <c r="BL161" s="67"/>
      <c r="BM161" s="67"/>
      <c r="BN161" s="67"/>
      <c r="BO161" s="35"/>
      <c r="BP161" s="67"/>
      <c r="BQ161" s="67"/>
      <c r="BR161" s="67"/>
      <c r="BS161" s="67"/>
      <c r="CU161" s="922"/>
      <c r="CV161" s="922"/>
      <c r="CW161" s="909"/>
      <c r="CX161" s="989"/>
      <c r="CY161" s="965"/>
      <c r="CZ161" s="885"/>
      <c r="DA161" s="988"/>
      <c r="DB161" s="205"/>
      <c r="DC161" s="197"/>
      <c r="DD161" s="197"/>
      <c r="DE161" s="33"/>
      <c r="DF161" s="33"/>
      <c r="DG161" s="33"/>
      <c r="DH161" s="33"/>
      <c r="DI161" s="33"/>
      <c r="DJ161" s="33"/>
      <c r="DK161" s="33"/>
      <c r="DL161" s="33"/>
      <c r="DM161" s="33"/>
      <c r="DN161" s="33"/>
      <c r="DO161" s="33"/>
      <c r="DP161" s="33"/>
      <c r="DQ161" s="33"/>
      <c r="DR161" s="33"/>
    </row>
    <row r="162" spans="1:122" s="34" customFormat="1" hidden="1" x14ac:dyDescent="0.2">
      <c r="A162" s="886"/>
      <c r="B162" s="32"/>
      <c r="C162" s="181"/>
      <c r="D162" s="182"/>
      <c r="E162" s="183"/>
      <c r="F162" s="182"/>
      <c r="P162" s="35"/>
      <c r="Q162" s="35"/>
      <c r="R162" s="55"/>
      <c r="V162" s="37"/>
      <c r="W162" s="37"/>
      <c r="X162" s="37"/>
      <c r="Y162" s="37"/>
      <c r="Z162" s="37"/>
      <c r="AA162" s="37"/>
      <c r="AB162" s="37"/>
      <c r="AC162" s="37"/>
      <c r="AD162" s="37"/>
      <c r="AE162" s="37"/>
      <c r="AF162" s="37"/>
      <c r="AG162" s="37"/>
      <c r="AH162" s="37"/>
      <c r="BA162" s="67"/>
      <c r="BB162" s="67"/>
      <c r="BC162" s="67"/>
      <c r="BD162" s="67"/>
      <c r="BE162" s="67"/>
      <c r="BF162" s="67"/>
      <c r="BG162" s="67"/>
      <c r="BH162" s="67"/>
      <c r="BI162" s="67"/>
      <c r="BJ162" s="67"/>
      <c r="BK162" s="67"/>
      <c r="BL162" s="67"/>
      <c r="BM162" s="67"/>
      <c r="BN162" s="67"/>
      <c r="BO162" s="35"/>
      <c r="BP162" s="67"/>
      <c r="BQ162" s="67"/>
      <c r="BR162" s="67"/>
      <c r="BS162" s="67"/>
      <c r="CU162" s="922"/>
      <c r="CV162" s="922"/>
      <c r="CW162" s="909"/>
      <c r="CX162" s="989"/>
      <c r="CY162" s="965"/>
      <c r="CZ162" s="885"/>
      <c r="DA162" s="988"/>
      <c r="DB162" s="205"/>
      <c r="DC162" s="197"/>
      <c r="DD162" s="197"/>
      <c r="DE162" s="33"/>
      <c r="DF162" s="33"/>
      <c r="DG162" s="33"/>
      <c r="DH162" s="33"/>
      <c r="DI162" s="33"/>
      <c r="DJ162" s="33"/>
      <c r="DK162" s="33"/>
      <c r="DL162" s="33"/>
      <c r="DM162" s="33"/>
      <c r="DN162" s="33"/>
      <c r="DO162" s="33"/>
      <c r="DP162" s="33"/>
      <c r="DQ162" s="33"/>
      <c r="DR162" s="33"/>
    </row>
    <row r="163" spans="1:122" s="34" customFormat="1" hidden="1" x14ac:dyDescent="0.2">
      <c r="A163" s="886"/>
      <c r="B163" s="32"/>
      <c r="C163" s="181"/>
      <c r="D163" s="182"/>
      <c r="E163" s="183"/>
      <c r="F163" s="182"/>
      <c r="P163" s="35"/>
      <c r="Q163" s="35"/>
      <c r="R163" s="55"/>
      <c r="V163" s="37"/>
      <c r="W163" s="37"/>
      <c r="X163" s="37"/>
      <c r="Y163" s="37"/>
      <c r="Z163" s="37"/>
      <c r="AA163" s="37"/>
      <c r="AB163" s="37"/>
      <c r="AC163" s="37"/>
      <c r="AD163" s="37"/>
      <c r="AE163" s="37"/>
      <c r="AF163" s="37"/>
      <c r="AG163" s="37"/>
      <c r="AH163" s="37"/>
      <c r="BA163" s="67"/>
      <c r="BB163" s="67"/>
      <c r="BC163" s="67"/>
      <c r="BD163" s="67"/>
      <c r="BE163" s="67"/>
      <c r="BF163" s="67"/>
      <c r="BG163" s="67"/>
      <c r="BH163" s="67"/>
      <c r="BI163" s="67"/>
      <c r="BJ163" s="67"/>
      <c r="BK163" s="67"/>
      <c r="BL163" s="67"/>
      <c r="BM163" s="67"/>
      <c r="BN163" s="67"/>
      <c r="BO163" s="35"/>
      <c r="BP163" s="67"/>
      <c r="BQ163" s="67"/>
      <c r="BR163" s="67"/>
      <c r="BS163" s="67"/>
      <c r="CU163" s="922"/>
      <c r="CV163" s="922"/>
      <c r="CW163" s="909"/>
      <c r="CX163" s="989"/>
      <c r="CY163" s="965"/>
      <c r="CZ163" s="885"/>
      <c r="DA163" s="988"/>
      <c r="DB163" s="205"/>
      <c r="DC163" s="197"/>
      <c r="DD163" s="197"/>
      <c r="DE163" s="33"/>
      <c r="DF163" s="33"/>
      <c r="DG163" s="33"/>
      <c r="DH163" s="33"/>
      <c r="DI163" s="33"/>
      <c r="DJ163" s="33"/>
      <c r="DK163" s="33"/>
      <c r="DL163" s="33"/>
      <c r="DM163" s="33"/>
      <c r="DN163" s="33"/>
      <c r="DO163" s="33"/>
      <c r="DP163" s="33"/>
      <c r="DQ163" s="33"/>
      <c r="DR163" s="33"/>
    </row>
    <row r="164" spans="1:122" s="34" customFormat="1" ht="17.25" hidden="1" customHeight="1" x14ac:dyDescent="0.2">
      <c r="A164" s="886"/>
      <c r="B164" s="32"/>
      <c r="C164" s="181"/>
      <c r="D164" s="938"/>
      <c r="E164" s="183"/>
      <c r="F164" s="182"/>
      <c r="P164" s="35"/>
      <c r="Q164" s="35"/>
      <c r="R164" s="55"/>
      <c r="V164" s="37"/>
      <c r="W164" s="37"/>
      <c r="X164" s="37"/>
      <c r="Y164" s="37"/>
      <c r="Z164" s="37"/>
      <c r="AA164" s="37"/>
      <c r="AB164" s="37"/>
      <c r="AC164" s="37"/>
      <c r="AD164" s="37"/>
      <c r="AE164" s="37"/>
      <c r="AF164" s="37"/>
      <c r="AG164" s="37"/>
      <c r="AH164" s="37"/>
      <c r="BA164" s="67"/>
      <c r="BB164" s="67"/>
      <c r="BC164" s="67"/>
      <c r="BD164" s="67"/>
      <c r="BE164" s="67"/>
      <c r="BF164" s="67"/>
      <c r="BG164" s="67"/>
      <c r="BH164" s="67"/>
      <c r="BI164" s="67"/>
      <c r="BJ164" s="67"/>
      <c r="BK164" s="67"/>
      <c r="BL164" s="67"/>
      <c r="BM164" s="67"/>
      <c r="BN164" s="67"/>
      <c r="BO164" s="35"/>
      <c r="BP164" s="67"/>
      <c r="BQ164" s="67"/>
      <c r="BR164" s="67"/>
      <c r="BS164" s="67"/>
      <c r="CU164" s="922"/>
      <c r="CV164" s="922"/>
      <c r="CW164" s="909"/>
      <c r="CX164" s="989"/>
      <c r="CY164" s="965"/>
      <c r="CZ164" s="885"/>
      <c r="DA164" s="988"/>
      <c r="DB164" s="205"/>
      <c r="DC164" s="197"/>
      <c r="DD164" s="197"/>
      <c r="DE164" s="33"/>
      <c r="DF164" s="33"/>
      <c r="DG164" s="33"/>
      <c r="DH164" s="33"/>
      <c r="DI164" s="33"/>
      <c r="DJ164" s="33"/>
      <c r="DK164" s="33"/>
      <c r="DL164" s="33"/>
      <c r="DM164" s="33"/>
      <c r="DN164" s="33"/>
      <c r="DO164" s="33"/>
      <c r="DP164" s="33"/>
      <c r="DQ164" s="33"/>
      <c r="DR164" s="33"/>
    </row>
    <row r="165" spans="1:122" s="34" customFormat="1" hidden="1" x14ac:dyDescent="0.2">
      <c r="A165" s="886"/>
      <c r="B165" s="32"/>
      <c r="C165" s="181"/>
      <c r="D165" s="182"/>
      <c r="E165" s="183"/>
      <c r="F165" s="182"/>
      <c r="P165" s="35"/>
      <c r="Q165" s="35"/>
      <c r="R165" s="55"/>
      <c r="V165" s="37"/>
      <c r="W165" s="37"/>
      <c r="X165" s="37"/>
      <c r="Y165" s="37"/>
      <c r="Z165" s="37"/>
      <c r="AA165" s="37"/>
      <c r="AB165" s="37"/>
      <c r="AC165" s="37"/>
      <c r="AD165" s="37"/>
      <c r="AE165" s="37"/>
      <c r="AF165" s="37"/>
      <c r="AG165" s="37"/>
      <c r="AH165" s="37"/>
      <c r="BA165" s="67"/>
      <c r="BB165" s="67"/>
      <c r="BC165" s="67"/>
      <c r="BD165" s="67"/>
      <c r="BE165" s="67"/>
      <c r="BF165" s="67"/>
      <c r="BG165" s="67"/>
      <c r="BH165" s="67"/>
      <c r="BI165" s="67"/>
      <c r="BJ165" s="67"/>
      <c r="BK165" s="67"/>
      <c r="BL165" s="67"/>
      <c r="BM165" s="67"/>
      <c r="BN165" s="67"/>
      <c r="BO165" s="35"/>
      <c r="BP165" s="67"/>
      <c r="BQ165" s="67"/>
      <c r="BR165" s="67"/>
      <c r="BS165" s="67"/>
      <c r="CU165" s="922"/>
      <c r="CV165" s="922"/>
      <c r="CW165" s="909"/>
      <c r="CX165" s="989"/>
      <c r="CY165" s="965"/>
      <c r="CZ165" s="885"/>
      <c r="DA165" s="988"/>
      <c r="DB165" s="205"/>
      <c r="DC165" s="197"/>
      <c r="DD165" s="197"/>
      <c r="DE165" s="33"/>
      <c r="DF165" s="33"/>
      <c r="DG165" s="33"/>
      <c r="DH165" s="33"/>
      <c r="DI165" s="33"/>
      <c r="DJ165" s="33"/>
      <c r="DK165" s="33"/>
      <c r="DL165" s="33"/>
      <c r="DM165" s="33"/>
      <c r="DN165" s="33"/>
      <c r="DO165" s="33"/>
      <c r="DP165" s="33"/>
      <c r="DQ165" s="33"/>
      <c r="DR165" s="33"/>
    </row>
    <row r="166" spans="1:122" s="34" customFormat="1" ht="24.75" hidden="1" x14ac:dyDescent="0.2">
      <c r="A166" s="886"/>
      <c r="B166" s="40" t="str">
        <f ca="1">IF($C$2="English",CZ166,CY166)</f>
        <v>4c Betriebskosten für das Jahr 2017 in EUR (mit MwSt;nur zur Kenntnis)</v>
      </c>
      <c r="C166" s="41"/>
      <c r="P166" s="41"/>
      <c r="Q166" s="41"/>
      <c r="R166" s="55"/>
      <c r="V166" s="37"/>
      <c r="W166" s="37"/>
      <c r="X166" s="37"/>
      <c r="Y166" s="37"/>
      <c r="Z166" s="37"/>
      <c r="AA166" s="37"/>
      <c r="AB166" s="37"/>
      <c r="AC166" s="37"/>
      <c r="AD166" s="37"/>
      <c r="AE166" s="37"/>
      <c r="AF166" s="37"/>
      <c r="AG166" s="37"/>
      <c r="AH166" s="37"/>
      <c r="BA166" s="67"/>
      <c r="BB166" s="67"/>
      <c r="BC166" s="67"/>
      <c r="BD166" s="67"/>
      <c r="BE166" s="67"/>
      <c r="BF166" s="67"/>
      <c r="BG166" s="67"/>
      <c r="BH166" s="67"/>
      <c r="BI166" s="67"/>
      <c r="BJ166" s="67"/>
      <c r="BK166" s="67"/>
      <c r="BL166" s="67"/>
      <c r="BM166" s="67"/>
      <c r="BN166" s="67"/>
      <c r="BO166" s="41"/>
      <c r="BP166" s="67"/>
      <c r="BQ166" s="67"/>
      <c r="BR166" s="67"/>
      <c r="BS166" s="67"/>
      <c r="CU166" s="922"/>
      <c r="CV166" s="922"/>
      <c r="CW166" s="909"/>
      <c r="CX166" s="989"/>
      <c r="CY166" s="956" t="str">
        <f ca="1">"4c Betriebskosten für das Jahr " &amp;'1 Pers.Ausgaben|Pers Expenses'!$C$4&amp;" in EUR" &amp; IF('Deckblatt Gruender|Data Founder'!M1&gt;0," (ohne MwSt;nur zur Kenntnis)"," (mit MwSt;nur zur Kenntnis)")</f>
        <v>4c Betriebskosten für das Jahr 2017 in EUR (mit MwSt;nur zur Kenntnis)</v>
      </c>
      <c r="CZ166" s="885"/>
      <c r="DA166" s="988"/>
      <c r="DB166" s="205"/>
      <c r="DC166" s="197"/>
      <c r="DD166" s="197"/>
      <c r="DE166" s="33"/>
      <c r="DF166" s="33"/>
      <c r="DG166" s="33"/>
      <c r="DH166" s="33"/>
      <c r="DI166" s="33"/>
      <c r="DJ166" s="33"/>
      <c r="DK166" s="33"/>
      <c r="DL166" s="33"/>
      <c r="DM166" s="33"/>
      <c r="DN166" s="33"/>
      <c r="DO166" s="33"/>
      <c r="DP166" s="33"/>
      <c r="DQ166" s="33"/>
      <c r="DR166" s="33"/>
    </row>
    <row r="167" spans="1:122" s="208" customFormat="1" ht="15.75" hidden="1" thickBot="1" x14ac:dyDescent="0.25">
      <c r="A167" s="886"/>
      <c r="B167" s="887" t="str">
        <f>IF($C$2="English",CZ167,CY167)</f>
        <v/>
      </c>
      <c r="D167" s="45">
        <f>IF(D4&gt;0,-1,1)</f>
        <v>1</v>
      </c>
      <c r="P167" s="207"/>
      <c r="Q167" s="207"/>
      <c r="R167" s="661"/>
      <c r="V167" s="888"/>
      <c r="W167" s="888"/>
      <c r="X167" s="888"/>
      <c r="Y167" s="888"/>
      <c r="Z167" s="888"/>
      <c r="AA167" s="888"/>
      <c r="AB167" s="888"/>
      <c r="AC167" s="888"/>
      <c r="AD167" s="888"/>
      <c r="AE167" s="888"/>
      <c r="AF167" s="888"/>
      <c r="AG167" s="888"/>
      <c r="AH167" s="888"/>
      <c r="BA167" s="908"/>
      <c r="BB167" s="908"/>
      <c r="BC167" s="908"/>
      <c r="BD167" s="908"/>
      <c r="BE167" s="908"/>
      <c r="BF167" s="908"/>
      <c r="BG167" s="908"/>
      <c r="BH167" s="908"/>
      <c r="BI167" s="908"/>
      <c r="BJ167" s="908"/>
      <c r="BK167" s="908"/>
      <c r="BL167" s="908"/>
      <c r="BM167" s="908"/>
      <c r="BN167" s="908"/>
      <c r="BO167" s="207"/>
      <c r="BP167" s="908"/>
      <c r="BQ167" s="908"/>
      <c r="BR167" s="908"/>
      <c r="BS167" s="908"/>
      <c r="CU167" s="34"/>
      <c r="CV167" s="34"/>
      <c r="CW167" s="909"/>
      <c r="CX167" s="989"/>
      <c r="CY167" s="956" t="str">
        <f>IF($D$4=-1,"   ┌   MwSt-Satz der jeweiligen Kostenart","")</f>
        <v/>
      </c>
      <c r="CZ167" s="905"/>
      <c r="DA167" s="988"/>
      <c r="DB167" s="205"/>
      <c r="DC167" s="33"/>
      <c r="DD167" s="33"/>
      <c r="DE167" s="33"/>
      <c r="DF167" s="33"/>
      <c r="DG167" s="33"/>
      <c r="DH167" s="33"/>
      <c r="DI167" s="33"/>
      <c r="DJ167" s="33"/>
      <c r="DK167" s="33"/>
      <c r="DL167" s="33"/>
    </row>
    <row r="168" spans="1:122" ht="15" hidden="1" thickBot="1" x14ac:dyDescent="0.25">
      <c r="B168" s="49" t="str">
        <f t="shared" ref="B168:P168" si="162">B5</f>
        <v>No.</v>
      </c>
      <c r="C168" s="50" t="str">
        <f t="shared" si="162"/>
        <v>Kostenart</v>
      </c>
      <c r="D168" s="51" t="str">
        <f t="shared" si="162"/>
        <v>Jan.</v>
      </c>
      <c r="E168" s="51" t="str">
        <f t="shared" si="162"/>
        <v>Febr.</v>
      </c>
      <c r="F168" s="51" t="str">
        <f t="shared" si="162"/>
        <v>März</v>
      </c>
      <c r="G168" s="51" t="str">
        <f t="shared" si="162"/>
        <v>April</v>
      </c>
      <c r="H168" s="51" t="str">
        <f t="shared" si="162"/>
        <v>Mai</v>
      </c>
      <c r="I168" s="51" t="str">
        <f t="shared" si="162"/>
        <v>Juni</v>
      </c>
      <c r="J168" s="51" t="str">
        <f t="shared" si="162"/>
        <v>Juli</v>
      </c>
      <c r="K168" s="51" t="str">
        <f t="shared" si="162"/>
        <v>Aug.</v>
      </c>
      <c r="L168" s="51" t="str">
        <f t="shared" si="162"/>
        <v>Sept.</v>
      </c>
      <c r="M168" s="51" t="str">
        <f t="shared" si="162"/>
        <v>Okt.</v>
      </c>
      <c r="N168" s="51" t="str">
        <f t="shared" si="162"/>
        <v>Nov.</v>
      </c>
      <c r="O168" s="51" t="str">
        <f t="shared" si="162"/>
        <v>Dez.</v>
      </c>
      <c r="P168" s="52" t="str">
        <f t="shared" ca="1" si="162"/>
        <v>Jahr 2017</v>
      </c>
      <c r="Q168" s="184"/>
      <c r="S168" s="34"/>
      <c r="U168" s="34"/>
      <c r="V168" s="37"/>
      <c r="W168" s="37"/>
      <c r="X168" s="37"/>
      <c r="Y168" s="37"/>
      <c r="Z168" s="37"/>
      <c r="AA168" s="37"/>
      <c r="AB168" s="37"/>
      <c r="AC168" s="37"/>
      <c r="AD168" s="37"/>
      <c r="AE168" s="37"/>
      <c r="AF168" s="37"/>
      <c r="AG168" s="37"/>
      <c r="AH168" s="37"/>
      <c r="BO168" s="52">
        <f>BO5</f>
        <v>0</v>
      </c>
      <c r="CY168" s="966"/>
    </row>
    <row r="169" spans="1:122" hidden="1" x14ac:dyDescent="0.2">
      <c r="A169" s="928"/>
      <c r="B169" s="185">
        <v>1</v>
      </c>
      <c r="C169" s="62" t="str">
        <f t="shared" ref="C169:C232" si="163">C6</f>
        <v>Bürokosten</v>
      </c>
      <c r="D169" s="63"/>
      <c r="E169" s="63"/>
      <c r="F169" s="63"/>
      <c r="G169" s="63"/>
      <c r="H169" s="63"/>
      <c r="I169" s="63"/>
      <c r="J169" s="63"/>
      <c r="K169" s="63"/>
      <c r="L169" s="63"/>
      <c r="M169" s="63"/>
      <c r="N169" s="63"/>
      <c r="O169" s="63"/>
      <c r="P169" s="64"/>
      <c r="Q169" s="186"/>
      <c r="S169" s="34"/>
      <c r="U169" s="34"/>
      <c r="V169" s="37"/>
      <c r="W169" s="37"/>
      <c r="X169" s="37"/>
      <c r="Y169" s="37"/>
      <c r="Z169" s="37"/>
      <c r="AA169" s="37"/>
      <c r="AB169" s="37"/>
      <c r="AC169" s="37"/>
      <c r="AD169" s="37"/>
      <c r="AE169" s="37"/>
      <c r="AF169" s="37"/>
      <c r="AG169" s="37"/>
      <c r="AH169" s="37"/>
      <c r="BO169" s="64"/>
      <c r="CX169" s="996"/>
      <c r="CY169" s="967"/>
    </row>
    <row r="170" spans="1:122" hidden="1" x14ac:dyDescent="0.2">
      <c r="A170" s="929"/>
      <c r="B170" s="71">
        <f t="shared" ref="B170:B228" si="164">A7</f>
        <v>0.19</v>
      </c>
      <c r="C170" s="72" t="str">
        <f t="shared" si="163"/>
        <v>Raummiete</v>
      </c>
      <c r="D170" s="168">
        <f>D7*POWER((1+$B170),$D$167)</f>
        <v>0</v>
      </c>
      <c r="E170" s="168">
        <f t="shared" ref="E170:O170" si="165">E7*POWER((1+$B170),$D$167)</f>
        <v>0</v>
      </c>
      <c r="F170" s="168">
        <f t="shared" si="165"/>
        <v>0</v>
      </c>
      <c r="G170" s="168">
        <f t="shared" si="165"/>
        <v>0</v>
      </c>
      <c r="H170" s="168">
        <f t="shared" si="165"/>
        <v>0</v>
      </c>
      <c r="I170" s="168">
        <f t="shared" si="165"/>
        <v>0</v>
      </c>
      <c r="J170" s="168">
        <f t="shared" si="165"/>
        <v>0</v>
      </c>
      <c r="K170" s="168">
        <f t="shared" si="165"/>
        <v>0</v>
      </c>
      <c r="L170" s="168">
        <f t="shared" si="165"/>
        <v>0</v>
      </c>
      <c r="M170" s="168">
        <f t="shared" si="165"/>
        <v>0</v>
      </c>
      <c r="N170" s="168">
        <f t="shared" si="165"/>
        <v>0</v>
      </c>
      <c r="O170" s="168">
        <f t="shared" si="165"/>
        <v>0</v>
      </c>
      <c r="P170" s="74">
        <f t="shared" ref="P170:P175" si="166">SUM(D170:O170)</f>
        <v>0</v>
      </c>
      <c r="Q170" s="186"/>
      <c r="S170" s="34"/>
      <c r="U170" s="34"/>
      <c r="V170" s="37"/>
      <c r="W170" s="37"/>
      <c r="X170" s="37"/>
      <c r="Y170" s="37"/>
      <c r="Z170" s="37"/>
      <c r="AA170" s="37"/>
      <c r="AB170" s="37"/>
      <c r="AC170" s="37"/>
      <c r="AD170" s="37"/>
      <c r="AE170" s="37"/>
      <c r="AF170" s="37"/>
      <c r="AG170" s="37"/>
      <c r="AH170" s="37"/>
      <c r="BO170" s="74">
        <f t="shared" ref="BO170:BO175" si="167">SUM(BC170:BN170)</f>
        <v>0</v>
      </c>
      <c r="CW170" s="986"/>
      <c r="CX170" s="991"/>
      <c r="CY170" s="923"/>
    </row>
    <row r="171" spans="1:122" hidden="1" x14ac:dyDescent="0.2">
      <c r="A171" s="929"/>
      <c r="B171" s="71">
        <f t="shared" si="164"/>
        <v>0.19</v>
      </c>
      <c r="C171" s="72" t="str">
        <f t="shared" si="163"/>
        <v>Strom, Wasser, Heizung, sonst. Nebenkosten</v>
      </c>
      <c r="D171" s="168">
        <f t="shared" ref="D171:O171" si="168">D8*POWER((1+$B171),$D$167)</f>
        <v>0</v>
      </c>
      <c r="E171" s="168">
        <f t="shared" si="168"/>
        <v>0</v>
      </c>
      <c r="F171" s="168">
        <f t="shared" si="168"/>
        <v>0</v>
      </c>
      <c r="G171" s="168">
        <f t="shared" si="168"/>
        <v>0</v>
      </c>
      <c r="H171" s="168">
        <f t="shared" si="168"/>
        <v>0</v>
      </c>
      <c r="I171" s="168">
        <f t="shared" si="168"/>
        <v>0</v>
      </c>
      <c r="J171" s="168">
        <f t="shared" si="168"/>
        <v>0</v>
      </c>
      <c r="K171" s="168">
        <f t="shared" si="168"/>
        <v>0</v>
      </c>
      <c r="L171" s="168">
        <f t="shared" si="168"/>
        <v>0</v>
      </c>
      <c r="M171" s="168">
        <f t="shared" si="168"/>
        <v>0</v>
      </c>
      <c r="N171" s="168">
        <f t="shared" si="168"/>
        <v>0</v>
      </c>
      <c r="O171" s="168">
        <f t="shared" si="168"/>
        <v>0</v>
      </c>
      <c r="P171" s="74">
        <f t="shared" si="166"/>
        <v>0</v>
      </c>
      <c r="Q171" s="186"/>
      <c r="S171" s="34"/>
      <c r="U171" s="34"/>
      <c r="V171" s="37"/>
      <c r="W171" s="37"/>
      <c r="X171" s="37"/>
      <c r="Y171" s="37"/>
      <c r="Z171" s="37"/>
      <c r="AA171" s="37"/>
      <c r="AB171" s="37"/>
      <c r="AC171" s="37"/>
      <c r="AD171" s="37"/>
      <c r="AE171" s="37"/>
      <c r="AF171" s="37"/>
      <c r="AG171" s="37"/>
      <c r="AH171" s="37"/>
      <c r="BO171" s="74">
        <f t="shared" si="167"/>
        <v>0</v>
      </c>
      <c r="CW171" s="986"/>
      <c r="CX171" s="991"/>
      <c r="CY171" s="923"/>
    </row>
    <row r="172" spans="1:122" hidden="1" x14ac:dyDescent="0.2">
      <c r="A172" s="929"/>
      <c r="B172" s="71">
        <f t="shared" si="164"/>
        <v>0.19</v>
      </c>
      <c r="C172" s="72" t="str">
        <f t="shared" si="163"/>
        <v>Telefon, Fax, Internet, Porto</v>
      </c>
      <c r="D172" s="168">
        <f t="shared" ref="D172:O172" si="169">D9*POWER((1+$B172),$D$167)</f>
        <v>0</v>
      </c>
      <c r="E172" s="168">
        <f t="shared" si="169"/>
        <v>0</v>
      </c>
      <c r="F172" s="168">
        <f t="shared" si="169"/>
        <v>0</v>
      </c>
      <c r="G172" s="168">
        <f t="shared" si="169"/>
        <v>0</v>
      </c>
      <c r="H172" s="168">
        <f t="shared" si="169"/>
        <v>0</v>
      </c>
      <c r="I172" s="168">
        <f t="shared" si="169"/>
        <v>0</v>
      </c>
      <c r="J172" s="168">
        <f t="shared" si="169"/>
        <v>0</v>
      </c>
      <c r="K172" s="168">
        <f t="shared" si="169"/>
        <v>0</v>
      </c>
      <c r="L172" s="168">
        <f t="shared" si="169"/>
        <v>0</v>
      </c>
      <c r="M172" s="168">
        <f t="shared" si="169"/>
        <v>0</v>
      </c>
      <c r="N172" s="168">
        <f t="shared" si="169"/>
        <v>0</v>
      </c>
      <c r="O172" s="168">
        <f t="shared" si="169"/>
        <v>0</v>
      </c>
      <c r="P172" s="74">
        <f t="shared" si="166"/>
        <v>0</v>
      </c>
      <c r="Q172" s="186"/>
      <c r="S172" s="34"/>
      <c r="U172" s="34"/>
      <c r="V172" s="37"/>
      <c r="W172" s="37"/>
      <c r="X172" s="37"/>
      <c r="Y172" s="37"/>
      <c r="Z172" s="37"/>
      <c r="AA172" s="37"/>
      <c r="AB172" s="37"/>
      <c r="AC172" s="37"/>
      <c r="AD172" s="37"/>
      <c r="AE172" s="37"/>
      <c r="AF172" s="37"/>
      <c r="AG172" s="37"/>
      <c r="AH172" s="37"/>
      <c r="BO172" s="74">
        <f t="shared" si="167"/>
        <v>0</v>
      </c>
      <c r="CW172" s="986"/>
      <c r="CX172" s="991"/>
      <c r="CY172" s="923"/>
    </row>
    <row r="173" spans="1:122" hidden="1" x14ac:dyDescent="0.2">
      <c r="A173" s="929"/>
      <c r="B173" s="71">
        <f t="shared" si="164"/>
        <v>0.19</v>
      </c>
      <c r="C173" s="72" t="str">
        <f t="shared" si="163"/>
        <v>Geringw. Wirtschaftsgüter (Büromöbel, Einrichtungen,...)</v>
      </c>
      <c r="D173" s="168">
        <f t="shared" ref="D173:O173" si="170">D10*POWER((1+$B173),$D$167)</f>
        <v>0</v>
      </c>
      <c r="E173" s="168">
        <f t="shared" si="170"/>
        <v>0</v>
      </c>
      <c r="F173" s="168">
        <f t="shared" si="170"/>
        <v>0</v>
      </c>
      <c r="G173" s="168">
        <f t="shared" si="170"/>
        <v>0</v>
      </c>
      <c r="H173" s="168">
        <f t="shared" si="170"/>
        <v>0</v>
      </c>
      <c r="I173" s="168">
        <f t="shared" si="170"/>
        <v>0</v>
      </c>
      <c r="J173" s="168">
        <f t="shared" si="170"/>
        <v>0</v>
      </c>
      <c r="K173" s="168">
        <f t="shared" si="170"/>
        <v>0</v>
      </c>
      <c r="L173" s="168">
        <f t="shared" si="170"/>
        <v>0</v>
      </c>
      <c r="M173" s="168">
        <f t="shared" si="170"/>
        <v>0</v>
      </c>
      <c r="N173" s="168">
        <f t="shared" si="170"/>
        <v>0</v>
      </c>
      <c r="O173" s="168">
        <f t="shared" si="170"/>
        <v>0</v>
      </c>
      <c r="P173" s="74">
        <f t="shared" si="166"/>
        <v>0</v>
      </c>
      <c r="Q173" s="186"/>
      <c r="S173" s="34"/>
      <c r="U173" s="34"/>
      <c r="V173" s="37"/>
      <c r="W173" s="37"/>
      <c r="X173" s="37"/>
      <c r="Y173" s="37"/>
      <c r="Z173" s="37"/>
      <c r="AA173" s="37"/>
      <c r="AB173" s="37"/>
      <c r="AC173" s="37"/>
      <c r="AD173" s="37"/>
      <c r="AE173" s="37"/>
      <c r="AF173" s="37"/>
      <c r="AG173" s="37"/>
      <c r="AH173" s="37"/>
      <c r="BO173" s="74">
        <f t="shared" si="167"/>
        <v>0</v>
      </c>
      <c r="CW173" s="986"/>
      <c r="CX173" s="991"/>
      <c r="CY173" s="923"/>
    </row>
    <row r="174" spans="1:122" hidden="1" x14ac:dyDescent="0.2">
      <c r="A174" s="929"/>
      <c r="B174" s="71">
        <f t="shared" si="164"/>
        <v>0.19</v>
      </c>
      <c r="C174" s="72" t="str">
        <f t="shared" si="163"/>
        <v>IT (Lizenzen, Windows, Office, Wartung)</v>
      </c>
      <c r="D174" s="168">
        <f t="shared" ref="D174:O174" si="171">D11*POWER((1+$B174),$D$167)</f>
        <v>0</v>
      </c>
      <c r="E174" s="168">
        <f t="shared" si="171"/>
        <v>0</v>
      </c>
      <c r="F174" s="168">
        <f t="shared" si="171"/>
        <v>0</v>
      </c>
      <c r="G174" s="168">
        <f t="shared" si="171"/>
        <v>0</v>
      </c>
      <c r="H174" s="168">
        <f t="shared" si="171"/>
        <v>0</v>
      </c>
      <c r="I174" s="168">
        <f t="shared" si="171"/>
        <v>0</v>
      </c>
      <c r="J174" s="168">
        <f t="shared" si="171"/>
        <v>0</v>
      </c>
      <c r="K174" s="168">
        <f t="shared" si="171"/>
        <v>0</v>
      </c>
      <c r="L174" s="168">
        <f t="shared" si="171"/>
        <v>0</v>
      </c>
      <c r="M174" s="168">
        <f t="shared" si="171"/>
        <v>0</v>
      </c>
      <c r="N174" s="168">
        <f t="shared" si="171"/>
        <v>0</v>
      </c>
      <c r="O174" s="168">
        <f t="shared" si="171"/>
        <v>0</v>
      </c>
      <c r="P174" s="74">
        <f t="shared" si="166"/>
        <v>0</v>
      </c>
      <c r="Q174" s="186"/>
      <c r="S174" s="34"/>
      <c r="U174" s="34"/>
      <c r="V174" s="37"/>
      <c r="W174" s="37"/>
      <c r="X174" s="37"/>
      <c r="Y174" s="37"/>
      <c r="Z174" s="37"/>
      <c r="AA174" s="37"/>
      <c r="AB174" s="37"/>
      <c r="AC174" s="37"/>
      <c r="AD174" s="37"/>
      <c r="AE174" s="37"/>
      <c r="AF174" s="37"/>
      <c r="AG174" s="37"/>
      <c r="AH174" s="37"/>
      <c r="BO174" s="74">
        <f t="shared" si="167"/>
        <v>0</v>
      </c>
      <c r="CW174" s="986"/>
      <c r="CX174" s="991"/>
      <c r="CY174" s="923"/>
    </row>
    <row r="175" spans="1:122" hidden="1" x14ac:dyDescent="0.2">
      <c r="A175" s="929"/>
      <c r="B175" s="71">
        <f t="shared" si="164"/>
        <v>0.19</v>
      </c>
      <c r="C175" s="72" t="str">
        <f t="shared" si="163"/>
        <v>Studio-/ Büro-Miete inkl. Nebenkosten</v>
      </c>
      <c r="D175" s="935">
        <f t="shared" ref="D175:O175" si="172">D12*POWER((1+$B175),$D$167)</f>
        <v>0</v>
      </c>
      <c r="E175" s="935">
        <f t="shared" si="172"/>
        <v>0</v>
      </c>
      <c r="F175" s="935">
        <f t="shared" si="172"/>
        <v>0</v>
      </c>
      <c r="G175" s="935">
        <f t="shared" si="172"/>
        <v>0</v>
      </c>
      <c r="H175" s="935">
        <f t="shared" si="172"/>
        <v>0</v>
      </c>
      <c r="I175" s="935">
        <f t="shared" si="172"/>
        <v>0</v>
      </c>
      <c r="J175" s="935">
        <f t="shared" si="172"/>
        <v>0</v>
      </c>
      <c r="K175" s="935">
        <f t="shared" si="172"/>
        <v>0</v>
      </c>
      <c r="L175" s="935">
        <f t="shared" si="172"/>
        <v>0</v>
      </c>
      <c r="M175" s="935">
        <f t="shared" si="172"/>
        <v>0</v>
      </c>
      <c r="N175" s="935">
        <f t="shared" si="172"/>
        <v>0</v>
      </c>
      <c r="O175" s="935">
        <f t="shared" si="172"/>
        <v>0</v>
      </c>
      <c r="P175" s="78">
        <f t="shared" si="166"/>
        <v>0</v>
      </c>
      <c r="Q175" s="186"/>
      <c r="S175" s="34"/>
      <c r="U175" s="34"/>
      <c r="V175" s="37"/>
      <c r="W175" s="37"/>
      <c r="X175" s="37"/>
      <c r="Y175" s="37"/>
      <c r="Z175" s="37"/>
      <c r="AA175" s="37"/>
      <c r="AB175" s="37"/>
      <c r="AC175" s="37"/>
      <c r="AD175" s="37"/>
      <c r="AE175" s="37"/>
      <c r="AF175" s="37"/>
      <c r="AG175" s="37"/>
      <c r="AH175" s="37"/>
      <c r="BO175" s="78">
        <f t="shared" si="167"/>
        <v>0</v>
      </c>
      <c r="CW175" s="986"/>
      <c r="CX175" s="991"/>
      <c r="CY175" s="923"/>
    </row>
    <row r="176" spans="1:122" hidden="1" x14ac:dyDescent="0.2">
      <c r="A176" s="929"/>
      <c r="B176" s="80"/>
      <c r="C176" s="81" t="str">
        <f t="shared" si="163"/>
        <v>Summe Bürokosten</v>
      </c>
      <c r="D176" s="163">
        <f>SUM(D170:D175)</f>
        <v>0</v>
      </c>
      <c r="E176" s="163">
        <f t="shared" ref="E176:O176" si="173">SUM(E170:E175)</f>
        <v>0</v>
      </c>
      <c r="F176" s="163">
        <f t="shared" si="173"/>
        <v>0</v>
      </c>
      <c r="G176" s="163">
        <f t="shared" si="173"/>
        <v>0</v>
      </c>
      <c r="H176" s="163">
        <f t="shared" si="173"/>
        <v>0</v>
      </c>
      <c r="I176" s="163">
        <f t="shared" si="173"/>
        <v>0</v>
      </c>
      <c r="J176" s="163">
        <f t="shared" si="173"/>
        <v>0</v>
      </c>
      <c r="K176" s="163">
        <f t="shared" si="173"/>
        <v>0</v>
      </c>
      <c r="L176" s="163">
        <f t="shared" si="173"/>
        <v>0</v>
      </c>
      <c r="M176" s="163">
        <f t="shared" si="173"/>
        <v>0</v>
      </c>
      <c r="N176" s="163">
        <f t="shared" si="173"/>
        <v>0</v>
      </c>
      <c r="O176" s="163">
        <f t="shared" si="173"/>
        <v>0</v>
      </c>
      <c r="P176" s="82">
        <f>SUM(D176:O176)</f>
        <v>0</v>
      </c>
      <c r="Q176" s="187"/>
      <c r="S176" s="183"/>
      <c r="T176" s="183"/>
      <c r="U176" s="34"/>
      <c r="V176" s="37"/>
      <c r="W176" s="37"/>
      <c r="X176" s="37"/>
      <c r="Y176" s="37"/>
      <c r="Z176" s="37"/>
      <c r="AA176" s="37"/>
      <c r="AB176" s="37"/>
      <c r="AC176" s="37"/>
      <c r="AD176" s="37"/>
      <c r="AE176" s="37"/>
      <c r="AF176" s="37"/>
      <c r="AG176" s="37"/>
      <c r="AH176" s="37"/>
      <c r="BO176" s="82">
        <f>SUM(BC176:BN176)</f>
        <v>0</v>
      </c>
      <c r="CW176" s="986"/>
      <c r="CX176" s="991"/>
      <c r="CY176" s="923"/>
    </row>
    <row r="177" spans="1:103" hidden="1" x14ac:dyDescent="0.2">
      <c r="A177" s="929"/>
      <c r="B177" s="188">
        <f>B14</f>
        <v>2</v>
      </c>
      <c r="C177" s="87" t="str">
        <f t="shared" si="163"/>
        <v>Produktionskosten</v>
      </c>
      <c r="D177" s="88"/>
      <c r="E177" s="88"/>
      <c r="F177" s="88"/>
      <c r="G177" s="88"/>
      <c r="H177" s="88"/>
      <c r="I177" s="88"/>
      <c r="J177" s="88"/>
      <c r="K177" s="88"/>
      <c r="L177" s="88"/>
      <c r="M177" s="88"/>
      <c r="N177" s="88"/>
      <c r="O177" s="88"/>
      <c r="P177" s="89"/>
      <c r="Q177" s="186"/>
      <c r="S177" s="183"/>
      <c r="T177" s="183"/>
      <c r="U177" s="34"/>
      <c r="V177" s="37"/>
      <c r="W177" s="37"/>
      <c r="X177" s="37"/>
      <c r="Y177" s="37"/>
      <c r="Z177" s="37"/>
      <c r="AA177" s="37"/>
      <c r="AB177" s="37"/>
      <c r="AC177" s="37"/>
      <c r="AD177" s="37"/>
      <c r="AE177" s="37"/>
      <c r="AF177" s="37"/>
      <c r="AG177" s="37"/>
      <c r="AH177" s="37"/>
      <c r="BO177" s="89"/>
      <c r="CW177" s="986"/>
      <c r="CX177" s="991"/>
      <c r="CY177" s="923"/>
    </row>
    <row r="178" spans="1:103" hidden="1" x14ac:dyDescent="0.2">
      <c r="A178" s="929"/>
      <c r="B178" s="71">
        <f t="shared" si="164"/>
        <v>0.19</v>
      </c>
      <c r="C178" s="72" t="str">
        <f t="shared" si="163"/>
        <v>Raummiete</v>
      </c>
      <c r="D178" s="168">
        <f t="shared" ref="D178:O178" si="174">D15*POWER((1+$B178),$D$167)</f>
        <v>0</v>
      </c>
      <c r="E178" s="168">
        <f t="shared" si="174"/>
        <v>0</v>
      </c>
      <c r="F178" s="168">
        <f t="shared" si="174"/>
        <v>0</v>
      </c>
      <c r="G178" s="168">
        <f t="shared" si="174"/>
        <v>0</v>
      </c>
      <c r="H178" s="168">
        <f t="shared" si="174"/>
        <v>0</v>
      </c>
      <c r="I178" s="168">
        <f t="shared" si="174"/>
        <v>0</v>
      </c>
      <c r="J178" s="168">
        <f t="shared" si="174"/>
        <v>0</v>
      </c>
      <c r="K178" s="168">
        <f t="shared" si="174"/>
        <v>0</v>
      </c>
      <c r="L178" s="168">
        <f t="shared" si="174"/>
        <v>0</v>
      </c>
      <c r="M178" s="168">
        <f t="shared" si="174"/>
        <v>0</v>
      </c>
      <c r="N178" s="168">
        <f t="shared" si="174"/>
        <v>0</v>
      </c>
      <c r="O178" s="168">
        <f t="shared" si="174"/>
        <v>0</v>
      </c>
      <c r="P178" s="74">
        <f t="shared" ref="P178:P184" si="175">SUM(D178:O178)</f>
        <v>0</v>
      </c>
      <c r="Q178" s="186"/>
      <c r="S178" s="183"/>
      <c r="T178" s="183"/>
      <c r="U178" s="34"/>
      <c r="V178" s="37"/>
      <c r="W178" s="37"/>
      <c r="X178" s="37"/>
      <c r="Y178" s="37"/>
      <c r="Z178" s="37"/>
      <c r="AA178" s="37"/>
      <c r="AB178" s="37"/>
      <c r="AC178" s="37"/>
      <c r="AD178" s="37"/>
      <c r="AE178" s="37"/>
      <c r="AF178" s="37"/>
      <c r="AG178" s="37"/>
      <c r="AH178" s="37"/>
      <c r="BO178" s="74">
        <f t="shared" ref="BO178:BO190" si="176">SUM(BC178:BN178)</f>
        <v>0</v>
      </c>
      <c r="CW178" s="986"/>
      <c r="CX178" s="991"/>
      <c r="CY178" s="923"/>
    </row>
    <row r="179" spans="1:103" hidden="1" x14ac:dyDescent="0.2">
      <c r="A179" s="929"/>
      <c r="B179" s="71">
        <f t="shared" si="164"/>
        <v>0.19</v>
      </c>
      <c r="C179" s="72" t="str">
        <f t="shared" si="163"/>
        <v>Strom, Wasser, Heizung, sonst. Nebenkosten</v>
      </c>
      <c r="D179" s="168">
        <f t="shared" ref="D179:O179" si="177">D16*POWER((1+$B179),$D$167)</f>
        <v>0</v>
      </c>
      <c r="E179" s="168">
        <f t="shared" si="177"/>
        <v>0</v>
      </c>
      <c r="F179" s="168">
        <f t="shared" si="177"/>
        <v>0</v>
      </c>
      <c r="G179" s="168">
        <f t="shared" si="177"/>
        <v>0</v>
      </c>
      <c r="H179" s="168">
        <f t="shared" si="177"/>
        <v>0</v>
      </c>
      <c r="I179" s="168">
        <f t="shared" si="177"/>
        <v>0</v>
      </c>
      <c r="J179" s="168">
        <f t="shared" si="177"/>
        <v>0</v>
      </c>
      <c r="K179" s="168">
        <f t="shared" si="177"/>
        <v>0</v>
      </c>
      <c r="L179" s="168">
        <f t="shared" si="177"/>
        <v>0</v>
      </c>
      <c r="M179" s="168">
        <f t="shared" si="177"/>
        <v>0</v>
      </c>
      <c r="N179" s="168">
        <f t="shared" si="177"/>
        <v>0</v>
      </c>
      <c r="O179" s="168">
        <f t="shared" si="177"/>
        <v>0</v>
      </c>
      <c r="P179" s="74">
        <f t="shared" si="175"/>
        <v>0</v>
      </c>
      <c r="Q179" s="186"/>
      <c r="S179" s="183"/>
      <c r="T179" s="183"/>
      <c r="U179" s="34"/>
      <c r="V179" s="37"/>
      <c r="W179" s="37"/>
      <c r="X179" s="37"/>
      <c r="Y179" s="37"/>
      <c r="Z179" s="37"/>
      <c r="AA179" s="37"/>
      <c r="AB179" s="37"/>
      <c r="AC179" s="37"/>
      <c r="AD179" s="37"/>
      <c r="AE179" s="37"/>
      <c r="AF179" s="37"/>
      <c r="AG179" s="37"/>
      <c r="AH179" s="37"/>
      <c r="BO179" s="74">
        <f t="shared" si="176"/>
        <v>0</v>
      </c>
      <c r="CW179" s="986"/>
      <c r="CX179" s="991"/>
      <c r="CY179" s="923"/>
    </row>
    <row r="180" spans="1:103" hidden="1" x14ac:dyDescent="0.2">
      <c r="A180" s="929"/>
      <c r="B180" s="71">
        <f t="shared" si="164"/>
        <v>0.19</v>
      </c>
      <c r="C180" s="72" t="str">
        <f t="shared" si="163"/>
        <v>Materialaufwand zur Produktion (19%)</v>
      </c>
      <c r="D180" s="168">
        <f t="shared" ref="D180:O180" si="178">D17*POWER((1+$B180),$D$167)</f>
        <v>0</v>
      </c>
      <c r="E180" s="168">
        <f t="shared" si="178"/>
        <v>0</v>
      </c>
      <c r="F180" s="168">
        <f t="shared" si="178"/>
        <v>0</v>
      </c>
      <c r="G180" s="168">
        <f t="shared" si="178"/>
        <v>0</v>
      </c>
      <c r="H180" s="168">
        <f t="shared" si="178"/>
        <v>0</v>
      </c>
      <c r="I180" s="168">
        <f t="shared" si="178"/>
        <v>0</v>
      </c>
      <c r="J180" s="168">
        <f t="shared" si="178"/>
        <v>0</v>
      </c>
      <c r="K180" s="168">
        <f t="shared" si="178"/>
        <v>0</v>
      </c>
      <c r="L180" s="168">
        <f t="shared" si="178"/>
        <v>0</v>
      </c>
      <c r="M180" s="168">
        <f t="shared" si="178"/>
        <v>0</v>
      </c>
      <c r="N180" s="168">
        <f t="shared" si="178"/>
        <v>0</v>
      </c>
      <c r="O180" s="168">
        <f t="shared" si="178"/>
        <v>0</v>
      </c>
      <c r="P180" s="74">
        <f t="shared" si="175"/>
        <v>0</v>
      </c>
      <c r="Q180" s="186"/>
      <c r="S180" s="183"/>
      <c r="T180" s="183"/>
      <c r="U180" s="34"/>
      <c r="V180" s="37"/>
      <c r="W180" s="37"/>
      <c r="X180" s="37"/>
      <c r="Y180" s="37"/>
      <c r="Z180" s="37"/>
      <c r="AA180" s="37"/>
      <c r="AB180" s="37"/>
      <c r="AC180" s="37"/>
      <c r="AD180" s="37"/>
      <c r="AE180" s="37"/>
      <c r="AF180" s="37"/>
      <c r="AG180" s="37"/>
      <c r="AH180" s="37"/>
      <c r="BO180" s="74">
        <f t="shared" si="176"/>
        <v>0</v>
      </c>
      <c r="CW180" s="986"/>
      <c r="CX180" s="991"/>
      <c r="CY180" s="923"/>
    </row>
    <row r="181" spans="1:103" hidden="1" x14ac:dyDescent="0.2">
      <c r="A181" s="929"/>
      <c r="B181" s="71">
        <f t="shared" si="164"/>
        <v>7.0000000000000007E-2</v>
      </c>
      <c r="C181" s="72" t="str">
        <f t="shared" si="163"/>
        <v>Materialaufwand zur Produktion (7%)</v>
      </c>
      <c r="D181" s="168">
        <f t="shared" ref="D181:O181" si="179">D18*POWER((1+$B181),$D$167)</f>
        <v>0</v>
      </c>
      <c r="E181" s="168">
        <f t="shared" si="179"/>
        <v>0</v>
      </c>
      <c r="F181" s="168">
        <f t="shared" si="179"/>
        <v>0</v>
      </c>
      <c r="G181" s="168">
        <f t="shared" si="179"/>
        <v>0</v>
      </c>
      <c r="H181" s="168">
        <f t="shared" si="179"/>
        <v>0</v>
      </c>
      <c r="I181" s="168">
        <f t="shared" si="179"/>
        <v>0</v>
      </c>
      <c r="J181" s="168">
        <f t="shared" si="179"/>
        <v>0</v>
      </c>
      <c r="K181" s="168">
        <f t="shared" si="179"/>
        <v>0</v>
      </c>
      <c r="L181" s="168">
        <f t="shared" si="179"/>
        <v>0</v>
      </c>
      <c r="M181" s="168">
        <f t="shared" si="179"/>
        <v>0</v>
      </c>
      <c r="N181" s="168">
        <f t="shared" si="179"/>
        <v>0</v>
      </c>
      <c r="O181" s="168">
        <f t="shared" si="179"/>
        <v>0</v>
      </c>
      <c r="P181" s="74">
        <f t="shared" si="175"/>
        <v>0</v>
      </c>
      <c r="Q181" s="186"/>
      <c r="S181" s="183"/>
      <c r="T181" s="183"/>
      <c r="U181" s="34"/>
      <c r="V181" s="37"/>
      <c r="W181" s="37"/>
      <c r="X181" s="37"/>
      <c r="Y181" s="37"/>
      <c r="Z181" s="37"/>
      <c r="AA181" s="37"/>
      <c r="AB181" s="37"/>
      <c r="AC181" s="37"/>
      <c r="AD181" s="37"/>
      <c r="AE181" s="37"/>
      <c r="AF181" s="37"/>
      <c r="AG181" s="37"/>
      <c r="AH181" s="37"/>
      <c r="BO181" s="74">
        <f t="shared" si="176"/>
        <v>0</v>
      </c>
      <c r="CW181" s="986"/>
      <c r="CX181" s="991"/>
      <c r="CY181" s="923"/>
    </row>
    <row r="182" spans="1:103" hidden="1" x14ac:dyDescent="0.2">
      <c r="A182" s="929"/>
      <c r="B182" s="71">
        <f t="shared" si="164"/>
        <v>0.19</v>
      </c>
      <c r="C182" s="72" t="str">
        <f t="shared" si="163"/>
        <v>Produktionsbedarf, geringwertige Wirtschaftsgüter</v>
      </c>
      <c r="D182" s="168">
        <f t="shared" ref="D182:O182" si="180">D19*POWER((1+$B182),$D$167)</f>
        <v>0</v>
      </c>
      <c r="E182" s="168">
        <f t="shared" si="180"/>
        <v>0</v>
      </c>
      <c r="F182" s="168">
        <f t="shared" si="180"/>
        <v>0</v>
      </c>
      <c r="G182" s="168">
        <f t="shared" si="180"/>
        <v>0</v>
      </c>
      <c r="H182" s="168">
        <f t="shared" si="180"/>
        <v>0</v>
      </c>
      <c r="I182" s="168">
        <f t="shared" si="180"/>
        <v>0</v>
      </c>
      <c r="J182" s="168">
        <f t="shared" si="180"/>
        <v>0</v>
      </c>
      <c r="K182" s="168">
        <f t="shared" si="180"/>
        <v>0</v>
      </c>
      <c r="L182" s="168">
        <f t="shared" si="180"/>
        <v>0</v>
      </c>
      <c r="M182" s="168">
        <f t="shared" si="180"/>
        <v>0</v>
      </c>
      <c r="N182" s="168">
        <f t="shared" si="180"/>
        <v>0</v>
      </c>
      <c r="O182" s="168">
        <f t="shared" si="180"/>
        <v>0</v>
      </c>
      <c r="P182" s="74">
        <f t="shared" si="175"/>
        <v>0</v>
      </c>
      <c r="Q182" s="187"/>
      <c r="S182" s="183"/>
      <c r="T182" s="183"/>
      <c r="U182" s="34"/>
      <c r="V182" s="37"/>
      <c r="W182" s="37"/>
      <c r="X182" s="37"/>
      <c r="Y182" s="37"/>
      <c r="Z182" s="37"/>
      <c r="AA182" s="37"/>
      <c r="AB182" s="37"/>
      <c r="AC182" s="37"/>
      <c r="AD182" s="37"/>
      <c r="AE182" s="37"/>
      <c r="AF182" s="37"/>
      <c r="AG182" s="37"/>
      <c r="AH182" s="37"/>
      <c r="BO182" s="74">
        <f t="shared" si="176"/>
        <v>0</v>
      </c>
      <c r="CW182" s="986"/>
      <c r="CX182" s="991"/>
      <c r="CY182" s="923"/>
    </row>
    <row r="183" spans="1:103" hidden="1" x14ac:dyDescent="0.2">
      <c r="A183" s="929"/>
      <c r="B183" s="71">
        <f t="shared" si="164"/>
        <v>0.19</v>
      </c>
      <c r="C183" s="72" t="str">
        <f t="shared" si="163"/>
        <v>Leasingraten für Produktionsanlagen, -maschinen</v>
      </c>
      <c r="D183" s="168">
        <f t="shared" ref="D183:O183" si="181">D20*POWER((1+$B183),$D$167)</f>
        <v>0</v>
      </c>
      <c r="E183" s="168">
        <f t="shared" si="181"/>
        <v>0</v>
      </c>
      <c r="F183" s="168">
        <f t="shared" si="181"/>
        <v>0</v>
      </c>
      <c r="G183" s="168">
        <f t="shared" si="181"/>
        <v>0</v>
      </c>
      <c r="H183" s="168">
        <f t="shared" si="181"/>
        <v>0</v>
      </c>
      <c r="I183" s="168">
        <f t="shared" si="181"/>
        <v>0</v>
      </c>
      <c r="J183" s="168">
        <f t="shared" si="181"/>
        <v>0</v>
      </c>
      <c r="K183" s="168">
        <f t="shared" si="181"/>
        <v>0</v>
      </c>
      <c r="L183" s="168">
        <f t="shared" si="181"/>
        <v>0</v>
      </c>
      <c r="M183" s="168">
        <f t="shared" si="181"/>
        <v>0</v>
      </c>
      <c r="N183" s="168">
        <f t="shared" si="181"/>
        <v>0</v>
      </c>
      <c r="O183" s="168">
        <f t="shared" si="181"/>
        <v>0</v>
      </c>
      <c r="P183" s="74">
        <f t="shared" si="175"/>
        <v>0</v>
      </c>
      <c r="Q183" s="186"/>
      <c r="S183" s="34"/>
      <c r="U183" s="34"/>
      <c r="V183" s="37"/>
      <c r="W183" s="37"/>
      <c r="X183" s="37"/>
      <c r="Y183" s="37"/>
      <c r="Z183" s="37"/>
      <c r="AA183" s="37"/>
      <c r="AB183" s="37"/>
      <c r="AC183" s="37"/>
      <c r="AD183" s="37"/>
      <c r="AE183" s="37"/>
      <c r="AF183" s="37"/>
      <c r="AG183" s="37"/>
      <c r="AH183" s="37"/>
      <c r="BO183" s="74">
        <f t="shared" si="176"/>
        <v>0</v>
      </c>
      <c r="CW183" s="986"/>
      <c r="CX183" s="991"/>
      <c r="CY183" s="923"/>
    </row>
    <row r="184" spans="1:103" hidden="1" x14ac:dyDescent="0.2">
      <c r="A184" s="929"/>
      <c r="B184" s="71">
        <f t="shared" si="164"/>
        <v>0.19</v>
      </c>
      <c r="C184" s="72" t="str">
        <f t="shared" si="163"/>
        <v>Instandhaltung und Reparaturen</v>
      </c>
      <c r="D184" s="168">
        <f t="shared" ref="D184:O184" si="182">D21*POWER((1+$B184),$D$167)</f>
        <v>0</v>
      </c>
      <c r="E184" s="168">
        <f t="shared" si="182"/>
        <v>0</v>
      </c>
      <c r="F184" s="168">
        <f t="shared" si="182"/>
        <v>0</v>
      </c>
      <c r="G184" s="168">
        <f t="shared" si="182"/>
        <v>0</v>
      </c>
      <c r="H184" s="168">
        <f t="shared" si="182"/>
        <v>0</v>
      </c>
      <c r="I184" s="168">
        <f t="shared" si="182"/>
        <v>0</v>
      </c>
      <c r="J184" s="168">
        <f t="shared" si="182"/>
        <v>0</v>
      </c>
      <c r="K184" s="168">
        <f t="shared" si="182"/>
        <v>0</v>
      </c>
      <c r="L184" s="168">
        <f t="shared" si="182"/>
        <v>0</v>
      </c>
      <c r="M184" s="168">
        <f t="shared" si="182"/>
        <v>0</v>
      </c>
      <c r="N184" s="168">
        <f t="shared" si="182"/>
        <v>0</v>
      </c>
      <c r="O184" s="168">
        <f t="shared" si="182"/>
        <v>0</v>
      </c>
      <c r="P184" s="74">
        <f t="shared" si="175"/>
        <v>0</v>
      </c>
      <c r="Q184" s="186"/>
      <c r="S184" s="34"/>
      <c r="U184" s="34"/>
      <c r="V184" s="37"/>
      <c r="W184" s="37"/>
      <c r="X184" s="37"/>
      <c r="Y184" s="37"/>
      <c r="Z184" s="37"/>
      <c r="AA184" s="37"/>
      <c r="AB184" s="37"/>
      <c r="AC184" s="37"/>
      <c r="AD184" s="37"/>
      <c r="AE184" s="37"/>
      <c r="AF184" s="37"/>
      <c r="AG184" s="37"/>
      <c r="AH184" s="37"/>
      <c r="BO184" s="74">
        <f t="shared" si="176"/>
        <v>0</v>
      </c>
      <c r="CW184" s="986"/>
      <c r="CX184" s="991"/>
      <c r="CY184" s="923"/>
    </row>
    <row r="185" spans="1:103" hidden="1" x14ac:dyDescent="0.2">
      <c r="A185" s="929"/>
      <c r="B185" s="71">
        <f t="shared" si="164"/>
        <v>0.19</v>
      </c>
      <c r="C185" s="72" t="str">
        <f t="shared" si="163"/>
        <v>Verbrauchsmaterialien Studio  5.000 Euro, Büro 2000</v>
      </c>
      <c r="D185" s="935">
        <f t="shared" ref="D185:O185" si="183">D22*POWER((1+$B185),$D$167)</f>
        <v>0</v>
      </c>
      <c r="E185" s="935">
        <f t="shared" si="183"/>
        <v>0</v>
      </c>
      <c r="F185" s="935">
        <f t="shared" si="183"/>
        <v>0</v>
      </c>
      <c r="G185" s="935">
        <f t="shared" si="183"/>
        <v>0</v>
      </c>
      <c r="H185" s="935">
        <f t="shared" si="183"/>
        <v>0</v>
      </c>
      <c r="I185" s="935">
        <f t="shared" si="183"/>
        <v>0</v>
      </c>
      <c r="J185" s="935">
        <f t="shared" si="183"/>
        <v>0</v>
      </c>
      <c r="K185" s="935">
        <f t="shared" si="183"/>
        <v>0</v>
      </c>
      <c r="L185" s="935">
        <f t="shared" si="183"/>
        <v>0</v>
      </c>
      <c r="M185" s="935">
        <f t="shared" si="183"/>
        <v>0</v>
      </c>
      <c r="N185" s="935">
        <f t="shared" si="183"/>
        <v>0</v>
      </c>
      <c r="O185" s="935">
        <f t="shared" si="183"/>
        <v>0</v>
      </c>
      <c r="P185" s="78">
        <f t="shared" ref="P185:P190" si="184">SUM(D185:O185)</f>
        <v>0</v>
      </c>
      <c r="Q185" s="186"/>
      <c r="S185" s="34"/>
      <c r="U185" s="34"/>
      <c r="V185" s="37"/>
      <c r="W185" s="37"/>
      <c r="X185" s="37"/>
      <c r="Y185" s="37"/>
      <c r="Z185" s="37"/>
      <c r="AA185" s="37"/>
      <c r="AB185" s="37"/>
      <c r="AC185" s="37"/>
      <c r="AD185" s="37"/>
      <c r="AE185" s="37"/>
      <c r="AF185" s="37"/>
      <c r="AG185" s="37"/>
      <c r="AH185" s="37"/>
      <c r="BO185" s="78">
        <f t="shared" si="176"/>
        <v>0</v>
      </c>
      <c r="CW185" s="986"/>
      <c r="CX185" s="991"/>
      <c r="CY185" s="923"/>
    </row>
    <row r="186" spans="1:103" hidden="1" x14ac:dyDescent="0.2">
      <c r="A186" s="929"/>
      <c r="B186" s="80"/>
      <c r="C186" s="97" t="str">
        <f t="shared" si="163"/>
        <v>Summe Produktionskosten</v>
      </c>
      <c r="D186" s="163">
        <f>SUM(D178:D185)</f>
        <v>0</v>
      </c>
      <c r="E186" s="163">
        <f t="shared" ref="E186:O186" si="185">SUM(E178:E185)</f>
        <v>0</v>
      </c>
      <c r="F186" s="163">
        <f t="shared" si="185"/>
        <v>0</v>
      </c>
      <c r="G186" s="163">
        <f t="shared" si="185"/>
        <v>0</v>
      </c>
      <c r="H186" s="163">
        <f t="shared" si="185"/>
        <v>0</v>
      </c>
      <c r="I186" s="163">
        <f t="shared" si="185"/>
        <v>0</v>
      </c>
      <c r="J186" s="163">
        <f t="shared" si="185"/>
        <v>0</v>
      </c>
      <c r="K186" s="163">
        <f t="shared" si="185"/>
        <v>0</v>
      </c>
      <c r="L186" s="163">
        <f t="shared" si="185"/>
        <v>0</v>
      </c>
      <c r="M186" s="163">
        <f t="shared" si="185"/>
        <v>0</v>
      </c>
      <c r="N186" s="163">
        <f t="shared" si="185"/>
        <v>0</v>
      </c>
      <c r="O186" s="163">
        <f t="shared" si="185"/>
        <v>0</v>
      </c>
      <c r="P186" s="209">
        <f t="shared" si="184"/>
        <v>0</v>
      </c>
      <c r="Q186" s="186"/>
      <c r="S186" s="34"/>
      <c r="U186" s="34"/>
      <c r="V186" s="37"/>
      <c r="W186" s="37"/>
      <c r="X186" s="37"/>
      <c r="Y186" s="37"/>
      <c r="Z186" s="37"/>
      <c r="AA186" s="37"/>
      <c r="AB186" s="37"/>
      <c r="AC186" s="37"/>
      <c r="AD186" s="37"/>
      <c r="AE186" s="37"/>
      <c r="AF186" s="37"/>
      <c r="AG186" s="37"/>
      <c r="AH186" s="37"/>
      <c r="BO186" s="209">
        <f t="shared" si="176"/>
        <v>0</v>
      </c>
      <c r="CW186" s="986"/>
      <c r="CX186" s="991"/>
      <c r="CY186" s="923"/>
    </row>
    <row r="187" spans="1:103" hidden="1" x14ac:dyDescent="0.2">
      <c r="A187" s="929"/>
      <c r="B187" s="188">
        <v>3</v>
      </c>
      <c r="C187" s="87" t="str">
        <f t="shared" si="163"/>
        <v>Personalkosten (nur Angestellte)</v>
      </c>
      <c r="D187" s="88"/>
      <c r="E187" s="88"/>
      <c r="F187" s="88"/>
      <c r="G187" s="88"/>
      <c r="H187" s="88"/>
      <c r="I187" s="88"/>
      <c r="J187" s="88"/>
      <c r="K187" s="88"/>
      <c r="L187" s="88"/>
      <c r="M187" s="88"/>
      <c r="N187" s="88"/>
      <c r="O187" s="88"/>
      <c r="P187" s="74"/>
      <c r="Q187" s="186"/>
      <c r="S187" s="34"/>
      <c r="U187" s="34"/>
      <c r="V187" s="37"/>
      <c r="W187" s="37"/>
      <c r="X187" s="37"/>
      <c r="Y187" s="37"/>
      <c r="Z187" s="37"/>
      <c r="AA187" s="37"/>
      <c r="AB187" s="37"/>
      <c r="AC187" s="37"/>
      <c r="AD187" s="37"/>
      <c r="AE187" s="37"/>
      <c r="AF187" s="37"/>
      <c r="AG187" s="37"/>
      <c r="AH187" s="37"/>
      <c r="BO187" s="74"/>
      <c r="CW187" s="986"/>
      <c r="CX187" s="991"/>
      <c r="CY187" s="923"/>
    </row>
    <row r="188" spans="1:103" hidden="1" x14ac:dyDescent="0.2">
      <c r="A188" s="929"/>
      <c r="B188" s="71">
        <f t="shared" si="164"/>
        <v>0</v>
      </c>
      <c r="C188" s="72" t="str">
        <f t="shared" si="163"/>
        <v>Löhne, Gehälter mit Nebenkosten (s. Nebenrechnung)</v>
      </c>
      <c r="D188" s="168">
        <f t="shared" ref="D188:O188" si="186">D25*POWER((1+$B188),$D$167)</f>
        <v>0</v>
      </c>
      <c r="E188" s="168">
        <f t="shared" si="186"/>
        <v>0</v>
      </c>
      <c r="F188" s="168">
        <f t="shared" si="186"/>
        <v>0</v>
      </c>
      <c r="G188" s="168">
        <f t="shared" si="186"/>
        <v>0</v>
      </c>
      <c r="H188" s="168">
        <f t="shared" si="186"/>
        <v>0</v>
      </c>
      <c r="I188" s="168">
        <f t="shared" si="186"/>
        <v>0</v>
      </c>
      <c r="J188" s="168">
        <f t="shared" si="186"/>
        <v>0</v>
      </c>
      <c r="K188" s="168">
        <f t="shared" si="186"/>
        <v>0</v>
      </c>
      <c r="L188" s="168">
        <f t="shared" si="186"/>
        <v>0</v>
      </c>
      <c r="M188" s="168">
        <f t="shared" si="186"/>
        <v>0</v>
      </c>
      <c r="N188" s="168">
        <f t="shared" si="186"/>
        <v>0</v>
      </c>
      <c r="O188" s="168">
        <f t="shared" si="186"/>
        <v>0</v>
      </c>
      <c r="P188" s="74">
        <f t="shared" si="184"/>
        <v>0</v>
      </c>
      <c r="Q188" s="186"/>
      <c r="S188" s="34"/>
      <c r="U188" s="34"/>
      <c r="V188" s="37"/>
      <c r="W188" s="37"/>
      <c r="X188" s="37"/>
      <c r="Y188" s="37"/>
      <c r="Z188" s="37"/>
      <c r="AA188" s="37"/>
      <c r="AB188" s="37"/>
      <c r="AC188" s="37"/>
      <c r="AD188" s="37"/>
      <c r="AE188" s="37"/>
      <c r="AF188" s="37"/>
      <c r="AG188" s="37"/>
      <c r="AH188" s="37"/>
      <c r="BO188" s="74">
        <f t="shared" si="176"/>
        <v>0</v>
      </c>
      <c r="CW188" s="986"/>
      <c r="CX188" s="991"/>
      <c r="CY188" s="923"/>
    </row>
    <row r="189" spans="1:103" hidden="1" x14ac:dyDescent="0.2">
      <c r="A189" s="929"/>
      <c r="B189" s="71">
        <f t="shared" si="164"/>
        <v>0.19</v>
      </c>
      <c r="C189" s="158" t="str">
        <f t="shared" si="163"/>
        <v>Sonstiges</v>
      </c>
      <c r="D189" s="935">
        <f t="shared" ref="D189:O189" si="187">D26*POWER((1+$B189),$D$167)</f>
        <v>0</v>
      </c>
      <c r="E189" s="935">
        <f t="shared" si="187"/>
        <v>0</v>
      </c>
      <c r="F189" s="935">
        <f t="shared" si="187"/>
        <v>0</v>
      </c>
      <c r="G189" s="935">
        <f t="shared" si="187"/>
        <v>0</v>
      </c>
      <c r="H189" s="935">
        <f t="shared" si="187"/>
        <v>0</v>
      </c>
      <c r="I189" s="935">
        <f t="shared" si="187"/>
        <v>0</v>
      </c>
      <c r="J189" s="935">
        <f t="shared" si="187"/>
        <v>0</v>
      </c>
      <c r="K189" s="935">
        <f t="shared" si="187"/>
        <v>0</v>
      </c>
      <c r="L189" s="935">
        <f t="shared" si="187"/>
        <v>0</v>
      </c>
      <c r="M189" s="935">
        <f t="shared" si="187"/>
        <v>0</v>
      </c>
      <c r="N189" s="935">
        <f t="shared" si="187"/>
        <v>0</v>
      </c>
      <c r="O189" s="935">
        <f t="shared" si="187"/>
        <v>0</v>
      </c>
      <c r="P189" s="78">
        <f t="shared" si="184"/>
        <v>0</v>
      </c>
      <c r="Q189" s="186"/>
      <c r="S189" s="34"/>
      <c r="U189" s="34"/>
      <c r="V189" s="37"/>
      <c r="W189" s="37"/>
      <c r="X189" s="37"/>
      <c r="Y189" s="37"/>
      <c r="Z189" s="37"/>
      <c r="AA189" s="37"/>
      <c r="AB189" s="37"/>
      <c r="AC189" s="37"/>
      <c r="AD189" s="37"/>
      <c r="AE189" s="37"/>
      <c r="AF189" s="37"/>
      <c r="AG189" s="37"/>
      <c r="AH189" s="37"/>
      <c r="BO189" s="78">
        <f t="shared" si="176"/>
        <v>0</v>
      </c>
      <c r="CW189" s="986"/>
      <c r="CX189" s="991"/>
      <c r="CY189" s="923"/>
    </row>
    <row r="190" spans="1:103" hidden="1" x14ac:dyDescent="0.2">
      <c r="A190" s="929"/>
      <c r="B190" s="80"/>
      <c r="C190" s="97" t="str">
        <f t="shared" si="163"/>
        <v>Summe Personalkosten</v>
      </c>
      <c r="D190" s="163">
        <f t="shared" ref="D190:N190" si="188">SUM(D188:D189)</f>
        <v>0</v>
      </c>
      <c r="E190" s="163">
        <f t="shared" si="188"/>
        <v>0</v>
      </c>
      <c r="F190" s="163">
        <f t="shared" si="188"/>
        <v>0</v>
      </c>
      <c r="G190" s="163">
        <f t="shared" si="188"/>
        <v>0</v>
      </c>
      <c r="H190" s="163">
        <f t="shared" si="188"/>
        <v>0</v>
      </c>
      <c r="I190" s="163">
        <f t="shared" si="188"/>
        <v>0</v>
      </c>
      <c r="J190" s="163">
        <f t="shared" si="188"/>
        <v>0</v>
      </c>
      <c r="K190" s="163">
        <f t="shared" si="188"/>
        <v>0</v>
      </c>
      <c r="L190" s="163">
        <f t="shared" si="188"/>
        <v>0</v>
      </c>
      <c r="M190" s="163">
        <f t="shared" si="188"/>
        <v>0</v>
      </c>
      <c r="N190" s="163">
        <f t="shared" si="188"/>
        <v>0</v>
      </c>
      <c r="O190" s="163">
        <f>SUM(O188:O189)</f>
        <v>0</v>
      </c>
      <c r="P190" s="209">
        <f t="shared" si="184"/>
        <v>0</v>
      </c>
      <c r="Q190" s="186"/>
      <c r="S190" s="34"/>
      <c r="U190" s="34"/>
      <c r="V190" s="37"/>
      <c r="W190" s="37"/>
      <c r="X190" s="37"/>
      <c r="Y190" s="37"/>
      <c r="Z190" s="37"/>
      <c r="AA190" s="37"/>
      <c r="AB190" s="37"/>
      <c r="AC190" s="37"/>
      <c r="AD190" s="37"/>
      <c r="AE190" s="37"/>
      <c r="AF190" s="37"/>
      <c r="AG190" s="37"/>
      <c r="AH190" s="37"/>
      <c r="BO190" s="209">
        <f t="shared" si="176"/>
        <v>0</v>
      </c>
      <c r="CW190" s="986"/>
      <c r="CX190" s="991"/>
      <c r="CY190" s="923"/>
    </row>
    <row r="191" spans="1:103" hidden="1" x14ac:dyDescent="0.2">
      <c r="A191" s="929"/>
      <c r="B191" s="188">
        <v>4</v>
      </c>
      <c r="C191" s="87" t="str">
        <f t="shared" si="163"/>
        <v>Reisekosten</v>
      </c>
      <c r="D191" s="88"/>
      <c r="E191" s="88"/>
      <c r="F191" s="88"/>
      <c r="G191" s="88"/>
      <c r="H191" s="88"/>
      <c r="I191" s="88"/>
      <c r="J191" s="88"/>
      <c r="K191" s="88"/>
      <c r="L191" s="88"/>
      <c r="M191" s="88"/>
      <c r="N191" s="88"/>
      <c r="O191" s="88"/>
      <c r="P191" s="89"/>
      <c r="Q191" s="187"/>
      <c r="S191" s="34"/>
      <c r="U191" s="34"/>
      <c r="V191" s="37"/>
      <c r="W191" s="37"/>
      <c r="X191" s="37"/>
      <c r="Y191" s="37"/>
      <c r="Z191" s="37"/>
      <c r="AA191" s="37"/>
      <c r="AB191" s="37"/>
      <c r="AC191" s="37"/>
      <c r="AD191" s="37"/>
      <c r="AE191" s="37"/>
      <c r="AF191" s="37"/>
      <c r="AG191" s="37"/>
      <c r="AH191" s="37"/>
      <c r="BO191" s="89"/>
      <c r="CW191" s="986"/>
      <c r="CX191" s="991"/>
      <c r="CY191" s="923"/>
    </row>
    <row r="192" spans="1:103" hidden="1" x14ac:dyDescent="0.2">
      <c r="A192" s="929"/>
      <c r="B192" s="71">
        <f t="shared" si="164"/>
        <v>0.19</v>
      </c>
      <c r="C192" s="72" t="str">
        <f t="shared" si="163"/>
        <v>Fahrtkosten</v>
      </c>
      <c r="D192" s="168">
        <f>D29*POWER((1+$B192),$D$167)</f>
        <v>0</v>
      </c>
      <c r="E192" s="168">
        <f t="shared" ref="E192:O192" si="189">E29*POWER((1+$B192),$D$167)</f>
        <v>0</v>
      </c>
      <c r="F192" s="168">
        <f t="shared" si="189"/>
        <v>0</v>
      </c>
      <c r="G192" s="168">
        <f t="shared" si="189"/>
        <v>0</v>
      </c>
      <c r="H192" s="168">
        <f t="shared" si="189"/>
        <v>0</v>
      </c>
      <c r="I192" s="168">
        <f t="shared" si="189"/>
        <v>0</v>
      </c>
      <c r="J192" s="168">
        <f t="shared" si="189"/>
        <v>0</v>
      </c>
      <c r="K192" s="168">
        <f t="shared" si="189"/>
        <v>0</v>
      </c>
      <c r="L192" s="168">
        <f t="shared" si="189"/>
        <v>0</v>
      </c>
      <c r="M192" s="168">
        <f t="shared" si="189"/>
        <v>0</v>
      </c>
      <c r="N192" s="168">
        <f t="shared" si="189"/>
        <v>0</v>
      </c>
      <c r="O192" s="168">
        <f t="shared" si="189"/>
        <v>0</v>
      </c>
      <c r="P192" s="74">
        <f>SUM(D192:O192)</f>
        <v>0</v>
      </c>
      <c r="Q192" s="186"/>
      <c r="S192" s="34"/>
      <c r="U192" s="34"/>
      <c r="V192" s="37"/>
      <c r="W192" s="37"/>
      <c r="X192" s="37"/>
      <c r="Y192" s="37"/>
      <c r="Z192" s="37"/>
      <c r="AA192" s="37"/>
      <c r="AB192" s="37"/>
      <c r="AC192" s="37"/>
      <c r="AD192" s="37"/>
      <c r="AE192" s="37"/>
      <c r="AF192" s="37"/>
      <c r="AG192" s="37"/>
      <c r="AH192" s="37"/>
      <c r="BO192" s="74">
        <f>SUM(BC192:BN192)</f>
        <v>0</v>
      </c>
      <c r="CW192" s="986"/>
      <c r="CX192" s="991"/>
      <c r="CY192" s="923"/>
    </row>
    <row r="193" spans="1:103" hidden="1" x14ac:dyDescent="0.2">
      <c r="A193" s="929"/>
      <c r="B193" s="71">
        <f t="shared" si="164"/>
        <v>0.19</v>
      </c>
      <c r="C193" s="72" t="str">
        <f t="shared" si="163"/>
        <v>Reisekostenpauschalen</v>
      </c>
      <c r="D193" s="168">
        <f>D30*POWER((1+$B193),$D$167)</f>
        <v>0</v>
      </c>
      <c r="E193" s="168">
        <f t="shared" ref="E193:O193" si="190">E30*POWER((1+$B193),$D$167)</f>
        <v>0</v>
      </c>
      <c r="F193" s="168">
        <f t="shared" si="190"/>
        <v>0</v>
      </c>
      <c r="G193" s="168">
        <f t="shared" si="190"/>
        <v>0</v>
      </c>
      <c r="H193" s="168">
        <f t="shared" si="190"/>
        <v>0</v>
      </c>
      <c r="I193" s="168">
        <f t="shared" si="190"/>
        <v>0</v>
      </c>
      <c r="J193" s="168">
        <f t="shared" si="190"/>
        <v>0</v>
      </c>
      <c r="K193" s="168">
        <f t="shared" si="190"/>
        <v>0</v>
      </c>
      <c r="L193" s="168">
        <f t="shared" si="190"/>
        <v>0</v>
      </c>
      <c r="M193" s="168">
        <f t="shared" si="190"/>
        <v>0</v>
      </c>
      <c r="N193" s="168">
        <f t="shared" si="190"/>
        <v>0</v>
      </c>
      <c r="O193" s="168">
        <f t="shared" si="190"/>
        <v>0</v>
      </c>
      <c r="P193" s="74">
        <f>SUM(D193:O193)</f>
        <v>0</v>
      </c>
      <c r="Q193" s="186"/>
      <c r="S193" s="34"/>
      <c r="U193" s="34"/>
      <c r="V193" s="37"/>
      <c r="W193" s="37"/>
      <c r="X193" s="37"/>
      <c r="Y193" s="37"/>
      <c r="Z193" s="37"/>
      <c r="AA193" s="37"/>
      <c r="AB193" s="37"/>
      <c r="AC193" s="37"/>
      <c r="AD193" s="37"/>
      <c r="AE193" s="37"/>
      <c r="AF193" s="37"/>
      <c r="AG193" s="37"/>
      <c r="AH193" s="37"/>
      <c r="BO193" s="74">
        <f>SUM(BC193:BN193)</f>
        <v>0</v>
      </c>
      <c r="CW193" s="986"/>
      <c r="CX193" s="991"/>
      <c r="CY193" s="923"/>
    </row>
    <row r="194" spans="1:103" hidden="1" x14ac:dyDescent="0.2">
      <c r="A194" s="929"/>
      <c r="B194" s="71">
        <f t="shared" si="164"/>
        <v>7.0000000000000007E-2</v>
      </c>
      <c r="C194" s="72" t="str">
        <f t="shared" si="163"/>
        <v>Übernachtungen</v>
      </c>
      <c r="D194" s="168">
        <f t="shared" ref="D194:O194" si="191">D31*POWER((1+$B194),$D$167)</f>
        <v>0</v>
      </c>
      <c r="E194" s="168">
        <f t="shared" si="191"/>
        <v>0</v>
      </c>
      <c r="F194" s="168">
        <f t="shared" si="191"/>
        <v>0</v>
      </c>
      <c r="G194" s="168">
        <f t="shared" si="191"/>
        <v>0</v>
      </c>
      <c r="H194" s="168">
        <f t="shared" si="191"/>
        <v>0</v>
      </c>
      <c r="I194" s="168">
        <f t="shared" si="191"/>
        <v>0</v>
      </c>
      <c r="J194" s="168">
        <f t="shared" si="191"/>
        <v>0</v>
      </c>
      <c r="K194" s="168">
        <f t="shared" si="191"/>
        <v>0</v>
      </c>
      <c r="L194" s="168">
        <f t="shared" si="191"/>
        <v>0</v>
      </c>
      <c r="M194" s="168">
        <f t="shared" si="191"/>
        <v>0</v>
      </c>
      <c r="N194" s="168">
        <f t="shared" si="191"/>
        <v>0</v>
      </c>
      <c r="O194" s="168">
        <f t="shared" si="191"/>
        <v>0</v>
      </c>
      <c r="P194" s="74">
        <f>SUM(D194:O194)</f>
        <v>0</v>
      </c>
      <c r="Q194" s="186"/>
      <c r="S194" s="34"/>
      <c r="U194" s="34"/>
      <c r="V194" s="37"/>
      <c r="W194" s="37"/>
      <c r="X194" s="37"/>
      <c r="Y194" s="37"/>
      <c r="Z194" s="37"/>
      <c r="AA194" s="37"/>
      <c r="AB194" s="37"/>
      <c r="AC194" s="37"/>
      <c r="AD194" s="37"/>
      <c r="AE194" s="37"/>
      <c r="AF194" s="37"/>
      <c r="AG194" s="37"/>
      <c r="AH194" s="37"/>
      <c r="BO194" s="74">
        <f>SUM(BC194:BN194)</f>
        <v>0</v>
      </c>
      <c r="CW194" s="986"/>
      <c r="CX194" s="991"/>
      <c r="CY194" s="923"/>
    </row>
    <row r="195" spans="1:103" hidden="1" x14ac:dyDescent="0.2">
      <c r="A195" s="929"/>
      <c r="B195" s="71">
        <f t="shared" si="164"/>
        <v>0.19</v>
      </c>
      <c r="C195" s="72" t="str">
        <f t="shared" si="163"/>
        <v>Kosten  für Ausbelichtungen u. Foto-Dienstleiustungen</v>
      </c>
      <c r="D195" s="935">
        <f t="shared" ref="D195:O195" si="192">D32*POWER((1+$B195),$D$167)</f>
        <v>0</v>
      </c>
      <c r="E195" s="935">
        <f t="shared" si="192"/>
        <v>0</v>
      </c>
      <c r="F195" s="935">
        <f t="shared" si="192"/>
        <v>0</v>
      </c>
      <c r="G195" s="935">
        <f t="shared" si="192"/>
        <v>0</v>
      </c>
      <c r="H195" s="935">
        <f t="shared" si="192"/>
        <v>0</v>
      </c>
      <c r="I195" s="935">
        <f t="shared" si="192"/>
        <v>0</v>
      </c>
      <c r="J195" s="935">
        <f t="shared" si="192"/>
        <v>0</v>
      </c>
      <c r="K195" s="935">
        <f t="shared" si="192"/>
        <v>0</v>
      </c>
      <c r="L195" s="935">
        <f t="shared" si="192"/>
        <v>0</v>
      </c>
      <c r="M195" s="935">
        <f t="shared" si="192"/>
        <v>0</v>
      </c>
      <c r="N195" s="935">
        <f t="shared" si="192"/>
        <v>0</v>
      </c>
      <c r="O195" s="935">
        <f t="shared" si="192"/>
        <v>0</v>
      </c>
      <c r="P195" s="78">
        <f>SUM(D195:O195)</f>
        <v>0</v>
      </c>
      <c r="Q195" s="187"/>
      <c r="S195" s="34"/>
      <c r="U195" s="34"/>
      <c r="V195" s="37"/>
      <c r="W195" s="37"/>
      <c r="X195" s="37"/>
      <c r="Y195" s="37"/>
      <c r="Z195" s="37"/>
      <c r="AA195" s="37"/>
      <c r="AB195" s="37"/>
      <c r="AC195" s="37"/>
      <c r="AD195" s="37"/>
      <c r="AE195" s="37"/>
      <c r="AF195" s="37"/>
      <c r="AG195" s="37"/>
      <c r="AH195" s="37"/>
      <c r="BO195" s="78">
        <f>SUM(BC195:BN195)</f>
        <v>0</v>
      </c>
      <c r="CW195" s="986"/>
      <c r="CX195" s="991"/>
      <c r="CY195" s="923"/>
    </row>
    <row r="196" spans="1:103" hidden="1" x14ac:dyDescent="0.2">
      <c r="A196" s="929"/>
      <c r="B196" s="80"/>
      <c r="C196" s="97" t="str">
        <f t="shared" si="163"/>
        <v>Summe Reisekosten</v>
      </c>
      <c r="D196" s="163">
        <f>SUM(D192:D195)</f>
        <v>0</v>
      </c>
      <c r="E196" s="163">
        <f t="shared" ref="E196:N196" si="193">SUM(E192:E195)</f>
        <v>0</v>
      </c>
      <c r="F196" s="163">
        <f t="shared" si="193"/>
        <v>0</v>
      </c>
      <c r="G196" s="163">
        <f t="shared" si="193"/>
        <v>0</v>
      </c>
      <c r="H196" s="163">
        <f t="shared" si="193"/>
        <v>0</v>
      </c>
      <c r="I196" s="163">
        <f t="shared" si="193"/>
        <v>0</v>
      </c>
      <c r="J196" s="163">
        <f t="shared" si="193"/>
        <v>0</v>
      </c>
      <c r="K196" s="163">
        <f t="shared" si="193"/>
        <v>0</v>
      </c>
      <c r="L196" s="163">
        <f t="shared" si="193"/>
        <v>0</v>
      </c>
      <c r="M196" s="163">
        <f t="shared" si="193"/>
        <v>0</v>
      </c>
      <c r="N196" s="163">
        <f t="shared" si="193"/>
        <v>0</v>
      </c>
      <c r="O196" s="163">
        <f>SUM(O192:O195)</f>
        <v>0</v>
      </c>
      <c r="P196" s="209">
        <f>SUM(D196:O196)</f>
        <v>0</v>
      </c>
      <c r="Q196" s="186"/>
      <c r="S196" s="34"/>
      <c r="U196" s="34"/>
      <c r="V196" s="37"/>
      <c r="W196" s="37"/>
      <c r="X196" s="37"/>
      <c r="Y196" s="37"/>
      <c r="Z196" s="37"/>
      <c r="AA196" s="37"/>
      <c r="AB196" s="37"/>
      <c r="AC196" s="37"/>
      <c r="AD196" s="37"/>
      <c r="AE196" s="37"/>
      <c r="AF196" s="37"/>
      <c r="AG196" s="37"/>
      <c r="AH196" s="37"/>
      <c r="BO196" s="209">
        <f>SUM(BC196:BN196)</f>
        <v>0</v>
      </c>
      <c r="CW196" s="986"/>
      <c r="CX196" s="991"/>
      <c r="CY196" s="967"/>
    </row>
    <row r="197" spans="1:103" hidden="1" x14ac:dyDescent="0.2">
      <c r="A197" s="929"/>
      <c r="B197" s="188">
        <v>5</v>
      </c>
      <c r="C197" s="87" t="str">
        <f t="shared" si="163"/>
        <v>Versicherungen und Beiträge (betrieblich!)</v>
      </c>
      <c r="D197" s="88"/>
      <c r="E197" s="88"/>
      <c r="F197" s="88"/>
      <c r="G197" s="88"/>
      <c r="H197" s="88"/>
      <c r="I197" s="88"/>
      <c r="J197" s="88"/>
      <c r="K197" s="88"/>
      <c r="L197" s="88"/>
      <c r="M197" s="88"/>
      <c r="N197" s="88"/>
      <c r="O197" s="88"/>
      <c r="P197" s="89"/>
      <c r="Q197" s="186"/>
      <c r="S197" s="34"/>
      <c r="U197" s="34"/>
      <c r="V197" s="37"/>
      <c r="W197" s="37"/>
      <c r="X197" s="37"/>
      <c r="Y197" s="37"/>
      <c r="Z197" s="37"/>
      <c r="AA197" s="37"/>
      <c r="AB197" s="37"/>
      <c r="AC197" s="37"/>
      <c r="AD197" s="37"/>
      <c r="AE197" s="37"/>
      <c r="AF197" s="37"/>
      <c r="AG197" s="37"/>
      <c r="AH197" s="37"/>
      <c r="BO197" s="89"/>
      <c r="CW197" s="986"/>
      <c r="CX197" s="991"/>
      <c r="CY197" s="967"/>
    </row>
    <row r="198" spans="1:103" hidden="1" x14ac:dyDescent="0.2">
      <c r="A198" s="929"/>
      <c r="B198" s="71">
        <f t="shared" si="164"/>
        <v>0.19</v>
      </c>
      <c r="C198" s="72" t="str">
        <f t="shared" si="163"/>
        <v>Haftpflicht</v>
      </c>
      <c r="D198" s="168">
        <f t="shared" ref="D198:O198" si="194">D35*POWER((1+$B198),$D$167)</f>
        <v>0</v>
      </c>
      <c r="E198" s="168">
        <f t="shared" si="194"/>
        <v>0</v>
      </c>
      <c r="F198" s="168">
        <f t="shared" si="194"/>
        <v>0</v>
      </c>
      <c r="G198" s="168">
        <f t="shared" si="194"/>
        <v>0</v>
      </c>
      <c r="H198" s="168">
        <f t="shared" si="194"/>
        <v>0</v>
      </c>
      <c r="I198" s="168">
        <f t="shared" si="194"/>
        <v>0</v>
      </c>
      <c r="J198" s="168">
        <f t="shared" si="194"/>
        <v>0</v>
      </c>
      <c r="K198" s="168">
        <f t="shared" si="194"/>
        <v>0</v>
      </c>
      <c r="L198" s="168">
        <f t="shared" si="194"/>
        <v>0</v>
      </c>
      <c r="M198" s="168">
        <f t="shared" si="194"/>
        <v>0</v>
      </c>
      <c r="N198" s="168">
        <f t="shared" si="194"/>
        <v>0</v>
      </c>
      <c r="O198" s="168">
        <f t="shared" si="194"/>
        <v>0</v>
      </c>
      <c r="P198" s="74">
        <f>SUM(D198:O198)</f>
        <v>0</v>
      </c>
      <c r="Q198" s="186"/>
      <c r="S198" s="34"/>
      <c r="U198" s="34"/>
      <c r="V198" s="37"/>
      <c r="W198" s="37"/>
      <c r="X198" s="37"/>
      <c r="Y198" s="37"/>
      <c r="Z198" s="37"/>
      <c r="AA198" s="37"/>
      <c r="AB198" s="37"/>
      <c r="AC198" s="37"/>
      <c r="AD198" s="37"/>
      <c r="AE198" s="37"/>
      <c r="AF198" s="37"/>
      <c r="AG198" s="37"/>
      <c r="AH198" s="37"/>
      <c r="BO198" s="74">
        <f>SUM(BC198:BN198)</f>
        <v>0</v>
      </c>
      <c r="CW198" s="986"/>
      <c r="CX198" s="991"/>
      <c r="CY198" s="967"/>
    </row>
    <row r="199" spans="1:103" hidden="1" x14ac:dyDescent="0.2">
      <c r="A199" s="929"/>
      <c r="B199" s="71">
        <f t="shared" si="164"/>
        <v>0.19</v>
      </c>
      <c r="C199" s="72" t="str">
        <f t="shared" si="163"/>
        <v>Rechtschutzversicherung</v>
      </c>
      <c r="D199" s="168">
        <f t="shared" ref="D199:O199" si="195">D36*POWER((1+$B199),$D$167)</f>
        <v>0</v>
      </c>
      <c r="E199" s="168">
        <f t="shared" si="195"/>
        <v>0</v>
      </c>
      <c r="F199" s="168">
        <f t="shared" si="195"/>
        <v>0</v>
      </c>
      <c r="G199" s="168">
        <f t="shared" si="195"/>
        <v>0</v>
      </c>
      <c r="H199" s="168">
        <f t="shared" si="195"/>
        <v>0</v>
      </c>
      <c r="I199" s="168">
        <f t="shared" si="195"/>
        <v>0</v>
      </c>
      <c r="J199" s="168">
        <f t="shared" si="195"/>
        <v>0</v>
      </c>
      <c r="K199" s="168">
        <f t="shared" si="195"/>
        <v>0</v>
      </c>
      <c r="L199" s="168">
        <f t="shared" si="195"/>
        <v>0</v>
      </c>
      <c r="M199" s="168">
        <f t="shared" si="195"/>
        <v>0</v>
      </c>
      <c r="N199" s="168">
        <f t="shared" si="195"/>
        <v>0</v>
      </c>
      <c r="O199" s="168">
        <f t="shared" si="195"/>
        <v>0</v>
      </c>
      <c r="P199" s="74">
        <f>SUM(D199:O199)</f>
        <v>0</v>
      </c>
      <c r="Q199" s="186"/>
      <c r="S199" s="34"/>
      <c r="U199" s="34"/>
      <c r="V199" s="37"/>
      <c r="W199" s="37"/>
      <c r="X199" s="37"/>
      <c r="Y199" s="37"/>
      <c r="Z199" s="37"/>
      <c r="AA199" s="37"/>
      <c r="AB199" s="37"/>
      <c r="AC199" s="37"/>
      <c r="AD199" s="37"/>
      <c r="AE199" s="37"/>
      <c r="AF199" s="37"/>
      <c r="AG199" s="37"/>
      <c r="AH199" s="37"/>
      <c r="BO199" s="74">
        <f>SUM(BC199:BN199)</f>
        <v>0</v>
      </c>
      <c r="CW199" s="986"/>
      <c r="CX199" s="991"/>
      <c r="CY199" s="967"/>
    </row>
    <row r="200" spans="1:103" hidden="1" x14ac:dyDescent="0.2">
      <c r="A200" s="929"/>
      <c r="B200" s="71">
        <f t="shared" si="164"/>
        <v>0.19</v>
      </c>
      <c r="C200" s="72" t="str">
        <f t="shared" si="163"/>
        <v>Beiträge (IHK, Berufsverbände, ...)</v>
      </c>
      <c r="D200" s="168">
        <f t="shared" ref="D200:O200" si="196">D37*POWER((1+$B200),$D$167)</f>
        <v>0</v>
      </c>
      <c r="E200" s="168">
        <f t="shared" si="196"/>
        <v>0</v>
      </c>
      <c r="F200" s="168">
        <f t="shared" si="196"/>
        <v>0</v>
      </c>
      <c r="G200" s="168">
        <f t="shared" si="196"/>
        <v>0</v>
      </c>
      <c r="H200" s="168">
        <f t="shared" si="196"/>
        <v>0</v>
      </c>
      <c r="I200" s="168">
        <f t="shared" si="196"/>
        <v>0</v>
      </c>
      <c r="J200" s="168">
        <f t="shared" si="196"/>
        <v>0</v>
      </c>
      <c r="K200" s="168">
        <f t="shared" si="196"/>
        <v>0</v>
      </c>
      <c r="L200" s="168">
        <f t="shared" si="196"/>
        <v>0</v>
      </c>
      <c r="M200" s="168">
        <f t="shared" si="196"/>
        <v>0</v>
      </c>
      <c r="N200" s="168">
        <f t="shared" si="196"/>
        <v>0</v>
      </c>
      <c r="O200" s="168">
        <f t="shared" si="196"/>
        <v>0</v>
      </c>
      <c r="P200" s="74">
        <f>SUM(D200:O200)</f>
        <v>0</v>
      </c>
      <c r="Q200" s="186"/>
      <c r="S200" s="34"/>
      <c r="U200" s="34"/>
      <c r="V200" s="37"/>
      <c r="W200" s="37"/>
      <c r="X200" s="37"/>
      <c r="Y200" s="37"/>
      <c r="Z200" s="37"/>
      <c r="AA200" s="37"/>
      <c r="AB200" s="37"/>
      <c r="AC200" s="37"/>
      <c r="AD200" s="37"/>
      <c r="AE200" s="37"/>
      <c r="AF200" s="37"/>
      <c r="AG200" s="37"/>
      <c r="AH200" s="37"/>
      <c r="BO200" s="74">
        <f>SUM(BC200:BN200)</f>
        <v>0</v>
      </c>
      <c r="CW200" s="986"/>
      <c r="CX200" s="991"/>
      <c r="CY200" s="967"/>
    </row>
    <row r="201" spans="1:103" hidden="1" x14ac:dyDescent="0.2">
      <c r="A201" s="929"/>
      <c r="B201" s="71">
        <f t="shared" si="164"/>
        <v>0.19</v>
      </c>
      <c r="C201" s="72" t="str">
        <f t="shared" si="163"/>
        <v>Sonstiges</v>
      </c>
      <c r="D201" s="168">
        <f t="shared" ref="D201:O201" si="197">D38*POWER((1+$B201),$D$167)</f>
        <v>0</v>
      </c>
      <c r="E201" s="168">
        <f t="shared" si="197"/>
        <v>0</v>
      </c>
      <c r="F201" s="168">
        <f t="shared" si="197"/>
        <v>0</v>
      </c>
      <c r="G201" s="168">
        <f t="shared" si="197"/>
        <v>0</v>
      </c>
      <c r="H201" s="168">
        <f t="shared" si="197"/>
        <v>0</v>
      </c>
      <c r="I201" s="168">
        <f t="shared" si="197"/>
        <v>0</v>
      </c>
      <c r="J201" s="168">
        <f t="shared" si="197"/>
        <v>0</v>
      </c>
      <c r="K201" s="168">
        <f t="shared" si="197"/>
        <v>0</v>
      </c>
      <c r="L201" s="168">
        <f t="shared" si="197"/>
        <v>0</v>
      </c>
      <c r="M201" s="168">
        <f t="shared" si="197"/>
        <v>0</v>
      </c>
      <c r="N201" s="168">
        <f t="shared" si="197"/>
        <v>0</v>
      </c>
      <c r="O201" s="168">
        <f t="shared" si="197"/>
        <v>0</v>
      </c>
      <c r="P201" s="74">
        <f>SUM(D201:O201)</f>
        <v>0</v>
      </c>
      <c r="Q201" s="186"/>
      <c r="S201" s="34"/>
      <c r="U201" s="34"/>
      <c r="V201" s="37"/>
      <c r="W201" s="37"/>
      <c r="X201" s="37"/>
      <c r="Y201" s="37"/>
      <c r="Z201" s="37"/>
      <c r="AA201" s="37"/>
      <c r="AB201" s="37"/>
      <c r="AC201" s="37"/>
      <c r="AD201" s="37"/>
      <c r="AE201" s="37"/>
      <c r="AF201" s="37"/>
      <c r="AG201" s="37"/>
      <c r="AH201" s="37"/>
      <c r="BO201" s="74">
        <f>SUM(BC201:BN201)</f>
        <v>0</v>
      </c>
      <c r="CW201" s="986"/>
      <c r="CX201" s="991"/>
      <c r="CY201" s="967"/>
    </row>
    <row r="202" spans="1:103" hidden="1" x14ac:dyDescent="0.2">
      <c r="A202" s="929"/>
      <c r="B202" s="162"/>
      <c r="C202" s="97" t="str">
        <f t="shared" si="163"/>
        <v>Summe Versicherungen und Beiträge (betrieblich!)</v>
      </c>
      <c r="D202" s="163">
        <f t="shared" ref="D202:N202" si="198">SUM(D198:D201)</f>
        <v>0</v>
      </c>
      <c r="E202" s="163">
        <f t="shared" si="198"/>
        <v>0</v>
      </c>
      <c r="F202" s="163">
        <f t="shared" si="198"/>
        <v>0</v>
      </c>
      <c r="G202" s="163">
        <f t="shared" si="198"/>
        <v>0</v>
      </c>
      <c r="H202" s="163">
        <f t="shared" si="198"/>
        <v>0</v>
      </c>
      <c r="I202" s="163">
        <f t="shared" si="198"/>
        <v>0</v>
      </c>
      <c r="J202" s="163">
        <f t="shared" si="198"/>
        <v>0</v>
      </c>
      <c r="K202" s="163">
        <f t="shared" si="198"/>
        <v>0</v>
      </c>
      <c r="L202" s="163">
        <f t="shared" si="198"/>
        <v>0</v>
      </c>
      <c r="M202" s="163">
        <f t="shared" si="198"/>
        <v>0</v>
      </c>
      <c r="N202" s="163">
        <f t="shared" si="198"/>
        <v>0</v>
      </c>
      <c r="O202" s="163">
        <f>SUM(O198:O201)</f>
        <v>0</v>
      </c>
      <c r="P202" s="209">
        <f>SUM(D202:O202)</f>
        <v>0</v>
      </c>
      <c r="Q202" s="186"/>
      <c r="S202" s="34"/>
      <c r="U202" s="34"/>
      <c r="V202" s="37"/>
      <c r="W202" s="37"/>
      <c r="X202" s="37"/>
      <c r="Y202" s="37"/>
      <c r="Z202" s="37"/>
      <c r="AA202" s="37"/>
      <c r="AB202" s="37"/>
      <c r="AC202" s="37"/>
      <c r="AD202" s="37"/>
      <c r="AE202" s="37"/>
      <c r="AF202" s="37"/>
      <c r="AG202" s="37"/>
      <c r="AH202" s="37"/>
      <c r="BO202" s="209">
        <f>SUM(BC202:BN202)</f>
        <v>0</v>
      </c>
      <c r="CW202" s="986"/>
      <c r="CX202" s="991"/>
      <c r="CY202" s="967"/>
    </row>
    <row r="203" spans="1:103" hidden="1" x14ac:dyDescent="0.2">
      <c r="A203" s="929"/>
      <c r="B203" s="188">
        <v>6</v>
      </c>
      <c r="C203" s="62" t="str">
        <f t="shared" si="163"/>
        <v>KFZ Kosten / Betriebliche Nutzung</v>
      </c>
      <c r="D203" s="88"/>
      <c r="E203" s="88"/>
      <c r="F203" s="88"/>
      <c r="G203" s="88"/>
      <c r="H203" s="88"/>
      <c r="I203" s="88"/>
      <c r="J203" s="88"/>
      <c r="K203" s="88"/>
      <c r="L203" s="88"/>
      <c r="M203" s="88"/>
      <c r="N203" s="88"/>
      <c r="O203" s="88"/>
      <c r="P203" s="89"/>
      <c r="Q203" s="186"/>
      <c r="S203" s="34"/>
      <c r="U203" s="34"/>
      <c r="V203" s="37"/>
      <c r="W203" s="37"/>
      <c r="X203" s="37"/>
      <c r="Y203" s="37"/>
      <c r="Z203" s="37"/>
      <c r="AA203" s="37"/>
      <c r="AB203" s="37"/>
      <c r="AC203" s="37"/>
      <c r="AD203" s="37"/>
      <c r="AE203" s="37"/>
      <c r="AF203" s="37"/>
      <c r="AG203" s="37"/>
      <c r="AH203" s="37"/>
      <c r="BO203" s="89"/>
      <c r="CW203" s="986"/>
      <c r="CX203" s="991"/>
      <c r="CY203" s="967"/>
    </row>
    <row r="204" spans="1:103" hidden="1" x14ac:dyDescent="0.2">
      <c r="A204" s="929"/>
      <c r="B204" s="71">
        <f t="shared" si="164"/>
        <v>0.19</v>
      </c>
      <c r="C204" s="72" t="str">
        <f t="shared" si="163"/>
        <v>Leasingraten Kfz</v>
      </c>
      <c r="D204" s="168">
        <f t="shared" ref="D204:O204" si="199">D41*POWER((1+$B204),$D$167)</f>
        <v>0</v>
      </c>
      <c r="E204" s="168">
        <f t="shared" si="199"/>
        <v>0</v>
      </c>
      <c r="F204" s="168">
        <f t="shared" si="199"/>
        <v>0</v>
      </c>
      <c r="G204" s="168">
        <f t="shared" si="199"/>
        <v>0</v>
      </c>
      <c r="H204" s="168">
        <f t="shared" si="199"/>
        <v>0</v>
      </c>
      <c r="I204" s="168">
        <f t="shared" si="199"/>
        <v>0</v>
      </c>
      <c r="J204" s="168">
        <f t="shared" si="199"/>
        <v>0</v>
      </c>
      <c r="K204" s="168">
        <f t="shared" si="199"/>
        <v>0</v>
      </c>
      <c r="L204" s="168">
        <f t="shared" si="199"/>
        <v>0</v>
      </c>
      <c r="M204" s="168">
        <f t="shared" si="199"/>
        <v>0</v>
      </c>
      <c r="N204" s="168">
        <f t="shared" si="199"/>
        <v>0</v>
      </c>
      <c r="O204" s="168">
        <f t="shared" si="199"/>
        <v>0</v>
      </c>
      <c r="P204" s="74">
        <f t="shared" ref="P204:P209" si="200">SUM(D204:O204)</f>
        <v>0</v>
      </c>
      <c r="Q204" s="186"/>
      <c r="S204" s="34"/>
      <c r="U204" s="34"/>
      <c r="V204" s="37"/>
      <c r="W204" s="37"/>
      <c r="X204" s="37"/>
      <c r="Y204" s="37"/>
      <c r="Z204" s="37"/>
      <c r="AA204" s="37"/>
      <c r="AB204" s="37"/>
      <c r="AC204" s="37"/>
      <c r="AD204" s="37"/>
      <c r="AE204" s="37"/>
      <c r="AF204" s="37"/>
      <c r="AG204" s="37"/>
      <c r="AH204" s="37"/>
      <c r="BO204" s="74">
        <f t="shared" ref="BO204:BO209" si="201">SUM(BC204:BN204)</f>
        <v>0</v>
      </c>
      <c r="CW204" s="986"/>
      <c r="CX204" s="991"/>
      <c r="CY204" s="967"/>
    </row>
    <row r="205" spans="1:103" hidden="1" x14ac:dyDescent="0.2">
      <c r="A205" s="929"/>
      <c r="B205" s="71">
        <f t="shared" si="164"/>
        <v>0.19</v>
      </c>
      <c r="C205" s="72" t="str">
        <f t="shared" si="163"/>
        <v>Versicherungen/Kfz-Steuer</v>
      </c>
      <c r="D205" s="168">
        <f t="shared" ref="D205:O205" si="202">D42*POWER((1+$B205),$D$167)</f>
        <v>0</v>
      </c>
      <c r="E205" s="168">
        <f t="shared" si="202"/>
        <v>0</v>
      </c>
      <c r="F205" s="168">
        <f t="shared" si="202"/>
        <v>0</v>
      </c>
      <c r="G205" s="168">
        <f t="shared" si="202"/>
        <v>0</v>
      </c>
      <c r="H205" s="168">
        <f t="shared" si="202"/>
        <v>0</v>
      </c>
      <c r="I205" s="168">
        <f t="shared" si="202"/>
        <v>0</v>
      </c>
      <c r="J205" s="168">
        <f t="shared" si="202"/>
        <v>0</v>
      </c>
      <c r="K205" s="168">
        <f t="shared" si="202"/>
        <v>0</v>
      </c>
      <c r="L205" s="168">
        <f t="shared" si="202"/>
        <v>0</v>
      </c>
      <c r="M205" s="168">
        <f t="shared" si="202"/>
        <v>0</v>
      </c>
      <c r="N205" s="168">
        <f t="shared" si="202"/>
        <v>0</v>
      </c>
      <c r="O205" s="168">
        <f t="shared" si="202"/>
        <v>0</v>
      </c>
      <c r="P205" s="74">
        <f t="shared" si="200"/>
        <v>0</v>
      </c>
      <c r="Q205" s="186"/>
      <c r="S205" s="34"/>
      <c r="U205" s="34"/>
      <c r="V205" s="37"/>
      <c r="W205" s="37"/>
      <c r="X205" s="37"/>
      <c r="Y205" s="37"/>
      <c r="Z205" s="37"/>
      <c r="AA205" s="37"/>
      <c r="AB205" s="37"/>
      <c r="AC205" s="37"/>
      <c r="AD205" s="37"/>
      <c r="AE205" s="37"/>
      <c r="AF205" s="37"/>
      <c r="AG205" s="37"/>
      <c r="AH205" s="37"/>
      <c r="BO205" s="74">
        <f t="shared" si="201"/>
        <v>0</v>
      </c>
      <c r="CW205" s="986"/>
      <c r="CX205" s="991"/>
      <c r="CY205" s="967"/>
    </row>
    <row r="206" spans="1:103" hidden="1" x14ac:dyDescent="0.2">
      <c r="A206" s="929"/>
      <c r="B206" s="71">
        <f t="shared" si="164"/>
        <v>0.19</v>
      </c>
      <c r="C206" s="72" t="str">
        <f t="shared" si="163"/>
        <v>Fahrzeugkosten (Tanken und Reparatur)</v>
      </c>
      <c r="D206" s="168">
        <f t="shared" ref="D206:O206" si="203">D43*POWER((1+$B206),$D$167)</f>
        <v>0</v>
      </c>
      <c r="E206" s="168">
        <f t="shared" si="203"/>
        <v>0</v>
      </c>
      <c r="F206" s="168">
        <f t="shared" si="203"/>
        <v>0</v>
      </c>
      <c r="G206" s="168">
        <f t="shared" si="203"/>
        <v>0</v>
      </c>
      <c r="H206" s="168">
        <f t="shared" si="203"/>
        <v>0</v>
      </c>
      <c r="I206" s="168">
        <f t="shared" si="203"/>
        <v>0</v>
      </c>
      <c r="J206" s="168">
        <f t="shared" si="203"/>
        <v>0</v>
      </c>
      <c r="K206" s="168">
        <f t="shared" si="203"/>
        <v>0</v>
      </c>
      <c r="L206" s="168">
        <f t="shared" si="203"/>
        <v>0</v>
      </c>
      <c r="M206" s="168">
        <f t="shared" si="203"/>
        <v>0</v>
      </c>
      <c r="N206" s="168">
        <f t="shared" si="203"/>
        <v>0</v>
      </c>
      <c r="O206" s="168">
        <f t="shared" si="203"/>
        <v>0</v>
      </c>
      <c r="P206" s="74">
        <f t="shared" si="200"/>
        <v>0</v>
      </c>
      <c r="Q206" s="186"/>
      <c r="S206" s="34"/>
      <c r="U206" s="34"/>
      <c r="V206" s="37"/>
      <c r="W206" s="37"/>
      <c r="X206" s="37"/>
      <c r="Y206" s="37"/>
      <c r="Z206" s="37"/>
      <c r="AA206" s="37"/>
      <c r="AB206" s="37"/>
      <c r="AC206" s="37"/>
      <c r="AD206" s="37"/>
      <c r="AE206" s="37"/>
      <c r="AF206" s="37"/>
      <c r="AG206" s="37"/>
      <c r="AH206" s="37"/>
      <c r="BO206" s="74">
        <f t="shared" si="201"/>
        <v>0</v>
      </c>
      <c r="CW206" s="986"/>
      <c r="CX206" s="991"/>
      <c r="CY206" s="967"/>
    </row>
    <row r="207" spans="1:103" hidden="1" x14ac:dyDescent="0.2">
      <c r="A207" s="929"/>
      <c r="B207" s="71">
        <f t="shared" si="164"/>
        <v>0</v>
      </c>
      <c r="C207" s="72" t="str">
        <f t="shared" si="163"/>
        <v>Abrechenbare Kilometerkosten</v>
      </c>
      <c r="D207" s="168">
        <f t="shared" ref="D207:O207" si="204">D44*POWER((1+$B207),$D$167)</f>
        <v>0</v>
      </c>
      <c r="E207" s="168">
        <f t="shared" si="204"/>
        <v>0</v>
      </c>
      <c r="F207" s="168">
        <f t="shared" si="204"/>
        <v>0</v>
      </c>
      <c r="G207" s="168">
        <f t="shared" si="204"/>
        <v>0</v>
      </c>
      <c r="H207" s="168">
        <f t="shared" si="204"/>
        <v>0</v>
      </c>
      <c r="I207" s="168">
        <f t="shared" si="204"/>
        <v>0</v>
      </c>
      <c r="J207" s="168">
        <f t="shared" si="204"/>
        <v>0</v>
      </c>
      <c r="K207" s="168">
        <f t="shared" si="204"/>
        <v>0</v>
      </c>
      <c r="L207" s="168">
        <f t="shared" si="204"/>
        <v>0</v>
      </c>
      <c r="M207" s="168">
        <f t="shared" si="204"/>
        <v>0</v>
      </c>
      <c r="N207" s="168">
        <f t="shared" si="204"/>
        <v>0</v>
      </c>
      <c r="O207" s="168">
        <f t="shared" si="204"/>
        <v>0</v>
      </c>
      <c r="P207" s="74">
        <f t="shared" si="200"/>
        <v>0</v>
      </c>
      <c r="Q207" s="186"/>
      <c r="S207" s="34"/>
      <c r="U207" s="34"/>
      <c r="V207" s="37"/>
      <c r="W207" s="37"/>
      <c r="X207" s="37"/>
      <c r="Y207" s="37"/>
      <c r="Z207" s="37"/>
      <c r="AA207" s="37"/>
      <c r="AB207" s="37"/>
      <c r="AC207" s="37"/>
      <c r="AD207" s="37"/>
      <c r="AE207" s="37"/>
      <c r="AF207" s="37"/>
      <c r="AG207" s="37"/>
      <c r="AH207" s="37"/>
      <c r="BO207" s="74">
        <f t="shared" si="201"/>
        <v>0</v>
      </c>
      <c r="CW207" s="986"/>
      <c r="CX207" s="991"/>
      <c r="CY207" s="967"/>
    </row>
    <row r="208" spans="1:103" hidden="1" x14ac:dyDescent="0.2">
      <c r="A208" s="929"/>
      <c r="B208" s="71">
        <f t="shared" si="164"/>
        <v>0.19</v>
      </c>
      <c r="C208" s="72" t="str">
        <f t="shared" si="163"/>
        <v>Fahrtkosten</v>
      </c>
      <c r="D208" s="168">
        <f t="shared" ref="D208:O208" si="205">D45*POWER((1+$B208),$D$167)</f>
        <v>0</v>
      </c>
      <c r="E208" s="168">
        <f t="shared" si="205"/>
        <v>0</v>
      </c>
      <c r="F208" s="168">
        <f t="shared" si="205"/>
        <v>0</v>
      </c>
      <c r="G208" s="168">
        <f t="shared" si="205"/>
        <v>0</v>
      </c>
      <c r="H208" s="168">
        <f t="shared" si="205"/>
        <v>0</v>
      </c>
      <c r="I208" s="168">
        <f t="shared" si="205"/>
        <v>0</v>
      </c>
      <c r="J208" s="168">
        <f t="shared" si="205"/>
        <v>0</v>
      </c>
      <c r="K208" s="168">
        <f t="shared" si="205"/>
        <v>0</v>
      </c>
      <c r="L208" s="168">
        <f t="shared" si="205"/>
        <v>0</v>
      </c>
      <c r="M208" s="168">
        <f t="shared" si="205"/>
        <v>0</v>
      </c>
      <c r="N208" s="168">
        <f t="shared" si="205"/>
        <v>0</v>
      </c>
      <c r="O208" s="168">
        <f t="shared" si="205"/>
        <v>0</v>
      </c>
      <c r="P208" s="74">
        <f t="shared" si="200"/>
        <v>0</v>
      </c>
      <c r="Q208" s="186"/>
      <c r="S208" s="34"/>
      <c r="U208" s="34"/>
      <c r="V208" s="37"/>
      <c r="W208" s="37"/>
      <c r="X208" s="37"/>
      <c r="Y208" s="37"/>
      <c r="Z208" s="37"/>
      <c r="AA208" s="37"/>
      <c r="AB208" s="37"/>
      <c r="AC208" s="37"/>
      <c r="AD208" s="37"/>
      <c r="AE208" s="37"/>
      <c r="AF208" s="37"/>
      <c r="AG208" s="37"/>
      <c r="AH208" s="37"/>
      <c r="BO208" s="74">
        <f t="shared" si="201"/>
        <v>0</v>
      </c>
      <c r="CW208" s="986"/>
      <c r="CX208" s="991"/>
      <c r="CY208" s="967"/>
    </row>
    <row r="209" spans="1:103" hidden="1" x14ac:dyDescent="0.2">
      <c r="A209" s="929"/>
      <c r="B209" s="80"/>
      <c r="C209" s="97" t="str">
        <f t="shared" si="163"/>
        <v>Summe KFZ Kosten / Betriebliche Nutzung</v>
      </c>
      <c r="D209" s="163">
        <f>SUM(D204:D208)</f>
        <v>0</v>
      </c>
      <c r="E209" s="163">
        <f t="shared" ref="E209:N209" si="206">SUM(E204:E208)</f>
        <v>0</v>
      </c>
      <c r="F209" s="163">
        <f t="shared" si="206"/>
        <v>0</v>
      </c>
      <c r="G209" s="163">
        <f t="shared" si="206"/>
        <v>0</v>
      </c>
      <c r="H209" s="163">
        <f t="shared" si="206"/>
        <v>0</v>
      </c>
      <c r="I209" s="163">
        <f t="shared" si="206"/>
        <v>0</v>
      </c>
      <c r="J209" s="163">
        <f t="shared" si="206"/>
        <v>0</v>
      </c>
      <c r="K209" s="163">
        <f t="shared" si="206"/>
        <v>0</v>
      </c>
      <c r="L209" s="163">
        <f t="shared" si="206"/>
        <v>0</v>
      </c>
      <c r="M209" s="163">
        <f t="shared" si="206"/>
        <v>0</v>
      </c>
      <c r="N209" s="163">
        <f t="shared" si="206"/>
        <v>0</v>
      </c>
      <c r="O209" s="163">
        <f>SUM(O204:O208)</f>
        <v>0</v>
      </c>
      <c r="P209" s="209">
        <f t="shared" si="200"/>
        <v>0</v>
      </c>
      <c r="Q209" s="186"/>
      <c r="S209" s="34"/>
      <c r="U209" s="34"/>
      <c r="V209" s="37"/>
      <c r="W209" s="37"/>
      <c r="X209" s="37"/>
      <c r="Y209" s="37"/>
      <c r="Z209" s="37"/>
      <c r="AA209" s="37"/>
      <c r="AB209" s="37"/>
      <c r="AC209" s="37"/>
      <c r="AD209" s="37"/>
      <c r="AE209" s="37"/>
      <c r="AF209" s="37"/>
      <c r="AG209" s="37"/>
      <c r="AH209" s="37"/>
      <c r="BO209" s="209">
        <f t="shared" si="201"/>
        <v>0</v>
      </c>
      <c r="CW209" s="986"/>
      <c r="CX209" s="991"/>
      <c r="CY209" s="967"/>
    </row>
    <row r="210" spans="1:103" hidden="1" x14ac:dyDescent="0.2">
      <c r="A210" s="929"/>
      <c r="B210" s="188">
        <v>7</v>
      </c>
      <c r="C210" s="87" t="str">
        <f t="shared" si="163"/>
        <v>Marketing  u. Werbung</v>
      </c>
      <c r="D210" s="88"/>
      <c r="E210" s="88"/>
      <c r="F210" s="88"/>
      <c r="G210" s="88"/>
      <c r="H210" s="88"/>
      <c r="I210" s="88"/>
      <c r="J210" s="88"/>
      <c r="K210" s="88"/>
      <c r="L210" s="88"/>
      <c r="M210" s="88"/>
      <c r="N210" s="88"/>
      <c r="O210" s="88"/>
      <c r="P210" s="89"/>
      <c r="Q210" s="186"/>
      <c r="S210" s="34"/>
      <c r="U210" s="34"/>
      <c r="V210" s="37"/>
      <c r="W210" s="37"/>
      <c r="X210" s="37"/>
      <c r="Y210" s="37"/>
      <c r="Z210" s="37"/>
      <c r="AA210" s="37"/>
      <c r="AB210" s="37"/>
      <c r="AC210" s="37"/>
      <c r="AD210" s="37"/>
      <c r="AE210" s="37"/>
      <c r="AF210" s="37"/>
      <c r="AG210" s="37"/>
      <c r="AH210" s="37"/>
      <c r="BO210" s="89"/>
      <c r="CW210" s="986"/>
      <c r="CX210" s="991"/>
      <c r="CY210" s="967"/>
    </row>
    <row r="211" spans="1:103" hidden="1" x14ac:dyDescent="0.2">
      <c r="A211" s="929"/>
      <c r="B211" s="71">
        <f t="shared" si="164"/>
        <v>0.19</v>
      </c>
      <c r="C211" s="72" t="str">
        <f t="shared" si="163"/>
        <v>Marktforschung</v>
      </c>
      <c r="D211" s="168">
        <f t="shared" ref="D211:O211" si="207">D48*POWER((1+$B211),$D$167)</f>
        <v>0</v>
      </c>
      <c r="E211" s="168">
        <f t="shared" si="207"/>
        <v>0</v>
      </c>
      <c r="F211" s="168">
        <f t="shared" si="207"/>
        <v>0</v>
      </c>
      <c r="G211" s="168">
        <f t="shared" si="207"/>
        <v>0</v>
      </c>
      <c r="H211" s="168">
        <f t="shared" si="207"/>
        <v>0</v>
      </c>
      <c r="I211" s="168">
        <f t="shared" si="207"/>
        <v>0</v>
      </c>
      <c r="J211" s="168">
        <f t="shared" si="207"/>
        <v>0</v>
      </c>
      <c r="K211" s="168">
        <f t="shared" si="207"/>
        <v>0</v>
      </c>
      <c r="L211" s="168">
        <f t="shared" si="207"/>
        <v>0</v>
      </c>
      <c r="M211" s="168">
        <f t="shared" si="207"/>
        <v>0</v>
      </c>
      <c r="N211" s="168">
        <f t="shared" si="207"/>
        <v>0</v>
      </c>
      <c r="O211" s="168">
        <f t="shared" si="207"/>
        <v>0</v>
      </c>
      <c r="P211" s="74">
        <f t="shared" ref="P211:P217" si="208">SUM(D211:O211)</f>
        <v>0</v>
      </c>
      <c r="Q211" s="186"/>
      <c r="S211" s="34"/>
      <c r="U211" s="34"/>
      <c r="V211" s="37"/>
      <c r="W211" s="37"/>
      <c r="X211" s="37"/>
      <c r="Y211" s="37"/>
      <c r="Z211" s="37"/>
      <c r="AA211" s="37"/>
      <c r="AB211" s="37"/>
      <c r="AC211" s="37"/>
      <c r="AD211" s="37"/>
      <c r="AE211" s="37"/>
      <c r="AF211" s="37"/>
      <c r="AG211" s="37"/>
      <c r="AH211" s="37"/>
      <c r="BO211" s="74">
        <f t="shared" ref="BO211:BO217" si="209">SUM(BC211:BN211)</f>
        <v>0</v>
      </c>
      <c r="CW211" s="986"/>
      <c r="CX211" s="991"/>
      <c r="CY211" s="967"/>
    </row>
    <row r="212" spans="1:103" hidden="1" x14ac:dyDescent="0.2">
      <c r="A212" s="929"/>
      <c r="B212" s="71">
        <f t="shared" si="164"/>
        <v>0.19</v>
      </c>
      <c r="C212" s="72" t="str">
        <f t="shared" si="163"/>
        <v>Briefpapier, Visitenkarte, Stempel</v>
      </c>
      <c r="D212" s="168">
        <f t="shared" ref="D212:O212" si="210">D49*POWER((1+$B212),$D$167)</f>
        <v>0</v>
      </c>
      <c r="E212" s="168">
        <f t="shared" si="210"/>
        <v>0</v>
      </c>
      <c r="F212" s="168">
        <f t="shared" si="210"/>
        <v>0</v>
      </c>
      <c r="G212" s="168">
        <f t="shared" si="210"/>
        <v>0</v>
      </c>
      <c r="H212" s="168">
        <f t="shared" si="210"/>
        <v>0</v>
      </c>
      <c r="I212" s="168">
        <f t="shared" si="210"/>
        <v>0</v>
      </c>
      <c r="J212" s="168">
        <f t="shared" si="210"/>
        <v>0</v>
      </c>
      <c r="K212" s="168">
        <f t="shared" si="210"/>
        <v>0</v>
      </c>
      <c r="L212" s="168">
        <f t="shared" si="210"/>
        <v>0</v>
      </c>
      <c r="M212" s="168">
        <f t="shared" si="210"/>
        <v>0</v>
      </c>
      <c r="N212" s="168">
        <f t="shared" si="210"/>
        <v>0</v>
      </c>
      <c r="O212" s="168">
        <f t="shared" si="210"/>
        <v>0</v>
      </c>
      <c r="P212" s="74">
        <f t="shared" si="208"/>
        <v>0</v>
      </c>
      <c r="Q212" s="186"/>
      <c r="S212" s="34"/>
      <c r="U212" s="34"/>
      <c r="V212" s="37"/>
      <c r="W212" s="37"/>
      <c r="X212" s="37"/>
      <c r="Y212" s="37"/>
      <c r="Z212" s="37"/>
      <c r="AA212" s="37"/>
      <c r="AB212" s="37"/>
      <c r="AC212" s="37"/>
      <c r="AD212" s="37"/>
      <c r="AE212" s="37"/>
      <c r="AF212" s="37"/>
      <c r="AG212" s="37"/>
      <c r="AH212" s="37"/>
      <c r="BO212" s="74">
        <f t="shared" si="209"/>
        <v>0</v>
      </c>
      <c r="CW212" s="986"/>
      <c r="CX212" s="991"/>
      <c r="CY212" s="967"/>
    </row>
    <row r="213" spans="1:103" hidden="1" x14ac:dyDescent="0.2">
      <c r="A213" s="929"/>
      <c r="B213" s="71">
        <f t="shared" si="164"/>
        <v>0.19</v>
      </c>
      <c r="C213" s="72" t="str">
        <f t="shared" si="163"/>
        <v>Webseite, lfd. Webseitenpflege</v>
      </c>
      <c r="D213" s="168">
        <f t="shared" ref="D213:O213" si="211">D50*POWER((1+$B213),$D$167)</f>
        <v>0</v>
      </c>
      <c r="E213" s="168">
        <f t="shared" si="211"/>
        <v>0</v>
      </c>
      <c r="F213" s="168">
        <f t="shared" si="211"/>
        <v>0</v>
      </c>
      <c r="G213" s="168">
        <f t="shared" si="211"/>
        <v>0</v>
      </c>
      <c r="H213" s="168">
        <f t="shared" si="211"/>
        <v>0</v>
      </c>
      <c r="I213" s="168">
        <f t="shared" si="211"/>
        <v>0</v>
      </c>
      <c r="J213" s="168">
        <f t="shared" si="211"/>
        <v>0</v>
      </c>
      <c r="K213" s="168">
        <f t="shared" si="211"/>
        <v>0</v>
      </c>
      <c r="L213" s="168">
        <f t="shared" si="211"/>
        <v>0</v>
      </c>
      <c r="M213" s="168">
        <f t="shared" si="211"/>
        <v>0</v>
      </c>
      <c r="N213" s="168">
        <f t="shared" si="211"/>
        <v>0</v>
      </c>
      <c r="O213" s="168">
        <f t="shared" si="211"/>
        <v>0</v>
      </c>
      <c r="P213" s="74">
        <f t="shared" si="208"/>
        <v>0</v>
      </c>
      <c r="Q213" s="186"/>
      <c r="S213" s="34"/>
      <c r="U213" s="34"/>
      <c r="V213" s="37"/>
      <c r="W213" s="37"/>
      <c r="X213" s="37"/>
      <c r="Y213" s="37"/>
      <c r="Z213" s="37"/>
      <c r="AA213" s="37"/>
      <c r="AB213" s="37"/>
      <c r="AC213" s="37"/>
      <c r="AD213" s="37"/>
      <c r="AE213" s="37"/>
      <c r="AF213" s="37"/>
      <c r="AG213" s="37"/>
      <c r="AH213" s="37"/>
      <c r="BO213" s="74">
        <f t="shared" si="209"/>
        <v>0</v>
      </c>
      <c r="CW213" s="986"/>
      <c r="CX213" s="991"/>
      <c r="CY213" s="923"/>
    </row>
    <row r="214" spans="1:103" hidden="1" x14ac:dyDescent="0.2">
      <c r="A214" s="929"/>
      <c r="B214" s="71">
        <f t="shared" si="164"/>
        <v>0.19</v>
      </c>
      <c r="C214" s="72" t="str">
        <f t="shared" si="163"/>
        <v>Flyer, Prospekte, Broschüren, Anzeigen</v>
      </c>
      <c r="D214" s="168">
        <f t="shared" ref="D214:O214" si="212">D51*POWER((1+$B214),$D$167)</f>
        <v>0</v>
      </c>
      <c r="E214" s="168">
        <f t="shared" si="212"/>
        <v>0</v>
      </c>
      <c r="F214" s="168">
        <f t="shared" si="212"/>
        <v>0</v>
      </c>
      <c r="G214" s="168">
        <f t="shared" si="212"/>
        <v>0</v>
      </c>
      <c r="H214" s="168">
        <f t="shared" si="212"/>
        <v>0</v>
      </c>
      <c r="I214" s="168">
        <f t="shared" si="212"/>
        <v>0</v>
      </c>
      <c r="J214" s="168">
        <f t="shared" si="212"/>
        <v>0</v>
      </c>
      <c r="K214" s="168">
        <f t="shared" si="212"/>
        <v>0</v>
      </c>
      <c r="L214" s="168">
        <f t="shared" si="212"/>
        <v>0</v>
      </c>
      <c r="M214" s="168">
        <f t="shared" si="212"/>
        <v>0</v>
      </c>
      <c r="N214" s="168">
        <f t="shared" si="212"/>
        <v>0</v>
      </c>
      <c r="O214" s="168">
        <f t="shared" si="212"/>
        <v>0</v>
      </c>
      <c r="P214" s="74">
        <f t="shared" si="208"/>
        <v>0</v>
      </c>
      <c r="Q214" s="186"/>
      <c r="S214" s="34"/>
      <c r="U214" s="34"/>
      <c r="V214" s="37"/>
      <c r="W214" s="37"/>
      <c r="X214" s="37"/>
      <c r="Y214" s="37"/>
      <c r="Z214" s="37"/>
      <c r="AA214" s="37"/>
      <c r="AB214" s="37"/>
      <c r="AC214" s="37"/>
      <c r="AD214" s="37"/>
      <c r="AE214" s="37"/>
      <c r="AF214" s="37"/>
      <c r="AG214" s="37"/>
      <c r="AH214" s="37"/>
      <c r="BO214" s="74">
        <f t="shared" si="209"/>
        <v>0</v>
      </c>
      <c r="CW214" s="986"/>
      <c r="CX214" s="991"/>
      <c r="CY214" s="923"/>
    </row>
    <row r="215" spans="1:103" hidden="1" x14ac:dyDescent="0.2">
      <c r="A215" s="929"/>
      <c r="B215" s="71">
        <f t="shared" si="164"/>
        <v>0.19</v>
      </c>
      <c r="C215" s="72" t="str">
        <f t="shared" si="163"/>
        <v>Bewirtungskosten</v>
      </c>
      <c r="D215" s="168">
        <f t="shared" ref="D215:O215" si="213">D52*POWER((1+$B215),$D$167)</f>
        <v>0</v>
      </c>
      <c r="E215" s="168">
        <f t="shared" si="213"/>
        <v>0</v>
      </c>
      <c r="F215" s="168">
        <f t="shared" si="213"/>
        <v>0</v>
      </c>
      <c r="G215" s="168">
        <f t="shared" si="213"/>
        <v>0</v>
      </c>
      <c r="H215" s="168">
        <f t="shared" si="213"/>
        <v>0</v>
      </c>
      <c r="I215" s="168">
        <f t="shared" si="213"/>
        <v>0</v>
      </c>
      <c r="J215" s="168">
        <f t="shared" si="213"/>
        <v>0</v>
      </c>
      <c r="K215" s="168">
        <f t="shared" si="213"/>
        <v>0</v>
      </c>
      <c r="L215" s="168">
        <f t="shared" si="213"/>
        <v>0</v>
      </c>
      <c r="M215" s="168">
        <f t="shared" si="213"/>
        <v>0</v>
      </c>
      <c r="N215" s="168">
        <f t="shared" si="213"/>
        <v>0</v>
      </c>
      <c r="O215" s="168">
        <f t="shared" si="213"/>
        <v>0</v>
      </c>
      <c r="P215" s="74">
        <f t="shared" si="208"/>
        <v>0</v>
      </c>
      <c r="Q215" s="187"/>
      <c r="S215" s="34"/>
      <c r="U215" s="34"/>
      <c r="V215" s="37"/>
      <c r="W215" s="37"/>
      <c r="X215" s="37"/>
      <c r="Y215" s="37"/>
      <c r="Z215" s="37"/>
      <c r="AA215" s="37"/>
      <c r="AB215" s="37"/>
      <c r="AC215" s="37"/>
      <c r="AD215" s="37"/>
      <c r="AE215" s="37"/>
      <c r="AF215" s="37"/>
      <c r="AG215" s="37"/>
      <c r="AH215" s="37"/>
      <c r="BO215" s="74">
        <f t="shared" si="209"/>
        <v>0</v>
      </c>
      <c r="CW215" s="986"/>
      <c r="CX215" s="991"/>
      <c r="CY215" s="923"/>
    </row>
    <row r="216" spans="1:103" hidden="1" x14ac:dyDescent="0.2">
      <c r="A216" s="1076"/>
      <c r="B216" s="71">
        <f t="shared" si="164"/>
        <v>0.19</v>
      </c>
      <c r="C216" s="72" t="str">
        <f t="shared" si="163"/>
        <v>Werbung</v>
      </c>
      <c r="D216" s="935">
        <f t="shared" ref="D216:O216" si="214">D53*POWER((1+$B216),$D$167)</f>
        <v>0</v>
      </c>
      <c r="E216" s="935">
        <f t="shared" si="214"/>
        <v>0</v>
      </c>
      <c r="F216" s="935">
        <f t="shared" si="214"/>
        <v>0</v>
      </c>
      <c r="G216" s="935">
        <f t="shared" si="214"/>
        <v>0</v>
      </c>
      <c r="H216" s="935">
        <f t="shared" si="214"/>
        <v>0</v>
      </c>
      <c r="I216" s="935">
        <f t="shared" si="214"/>
        <v>0</v>
      </c>
      <c r="J216" s="935">
        <f t="shared" si="214"/>
        <v>0</v>
      </c>
      <c r="K216" s="935">
        <f t="shared" si="214"/>
        <v>0</v>
      </c>
      <c r="L216" s="935">
        <f t="shared" si="214"/>
        <v>0</v>
      </c>
      <c r="M216" s="935">
        <f t="shared" si="214"/>
        <v>0</v>
      </c>
      <c r="N216" s="935">
        <f t="shared" si="214"/>
        <v>0</v>
      </c>
      <c r="O216" s="935">
        <f t="shared" si="214"/>
        <v>0</v>
      </c>
      <c r="P216" s="74">
        <f t="shared" si="208"/>
        <v>0</v>
      </c>
      <c r="Q216" s="186"/>
      <c r="S216" s="34"/>
      <c r="U216" s="34"/>
      <c r="V216" s="37"/>
      <c r="W216" s="37"/>
      <c r="X216" s="37"/>
      <c r="Y216" s="37"/>
      <c r="Z216" s="37"/>
      <c r="AA216" s="37"/>
      <c r="AB216" s="37"/>
      <c r="AC216" s="37"/>
      <c r="AD216" s="37"/>
      <c r="AE216" s="37"/>
      <c r="AF216" s="37"/>
      <c r="AG216" s="37"/>
      <c r="AH216" s="37"/>
      <c r="BO216" s="74">
        <f t="shared" si="209"/>
        <v>0</v>
      </c>
      <c r="CW216" s="986"/>
      <c r="CX216" s="991"/>
      <c r="CY216" s="967"/>
    </row>
    <row r="217" spans="1:103" hidden="1" x14ac:dyDescent="0.2">
      <c r="A217" s="1076"/>
      <c r="B217" s="80"/>
      <c r="C217" s="97" t="str">
        <f t="shared" si="163"/>
        <v>Summe Marketing  u. Werbung</v>
      </c>
      <c r="D217" s="163">
        <f>SUM(D211:D216)</f>
        <v>0</v>
      </c>
      <c r="E217" s="163">
        <f>SUM(E211:E216)</f>
        <v>0</v>
      </c>
      <c r="F217" s="163">
        <f t="shared" ref="F217:O217" si="215">SUM(F211:F216)</f>
        <v>0</v>
      </c>
      <c r="G217" s="163">
        <f t="shared" si="215"/>
        <v>0</v>
      </c>
      <c r="H217" s="163">
        <f t="shared" si="215"/>
        <v>0</v>
      </c>
      <c r="I217" s="163">
        <f t="shared" si="215"/>
        <v>0</v>
      </c>
      <c r="J217" s="163">
        <f t="shared" si="215"/>
        <v>0</v>
      </c>
      <c r="K217" s="163">
        <f t="shared" si="215"/>
        <v>0</v>
      </c>
      <c r="L217" s="163">
        <f t="shared" si="215"/>
        <v>0</v>
      </c>
      <c r="M217" s="163">
        <f t="shared" si="215"/>
        <v>0</v>
      </c>
      <c r="N217" s="163">
        <f t="shared" si="215"/>
        <v>0</v>
      </c>
      <c r="O217" s="163">
        <f t="shared" si="215"/>
        <v>0</v>
      </c>
      <c r="P217" s="209">
        <f t="shared" si="208"/>
        <v>0</v>
      </c>
      <c r="Q217" s="186"/>
      <c r="S217" s="34"/>
      <c r="U217" s="34"/>
      <c r="V217" s="37"/>
      <c r="W217" s="37"/>
      <c r="X217" s="37"/>
      <c r="Y217" s="37"/>
      <c r="Z217" s="37"/>
      <c r="AA217" s="37"/>
      <c r="AB217" s="37"/>
      <c r="AC217" s="37"/>
      <c r="AD217" s="37"/>
      <c r="AE217" s="37"/>
      <c r="AF217" s="37"/>
      <c r="AG217" s="37"/>
      <c r="AH217" s="37"/>
      <c r="BO217" s="209">
        <f t="shared" si="209"/>
        <v>0</v>
      </c>
      <c r="CW217" s="986"/>
      <c r="CX217" s="991"/>
      <c r="CY217" s="923"/>
    </row>
    <row r="218" spans="1:103" hidden="1" x14ac:dyDescent="0.2">
      <c r="A218" s="1076"/>
      <c r="B218" s="188">
        <v>8</v>
      </c>
      <c r="C218" s="87" t="str">
        <f t="shared" si="163"/>
        <v>Rechts- und Beratungskosten</v>
      </c>
      <c r="D218" s="88"/>
      <c r="E218" s="88"/>
      <c r="F218" s="88"/>
      <c r="G218" s="88"/>
      <c r="H218" s="88"/>
      <c r="I218" s="88"/>
      <c r="J218" s="88"/>
      <c r="K218" s="88"/>
      <c r="L218" s="88"/>
      <c r="M218" s="88"/>
      <c r="N218" s="88"/>
      <c r="O218" s="88"/>
      <c r="P218" s="89"/>
      <c r="Q218" s="186"/>
      <c r="S218" s="34"/>
      <c r="U218" s="34"/>
      <c r="V218" s="37"/>
      <c r="W218" s="37"/>
      <c r="X218" s="37"/>
      <c r="Y218" s="37"/>
      <c r="Z218" s="37"/>
      <c r="AA218" s="37"/>
      <c r="AB218" s="37"/>
      <c r="AC218" s="37"/>
      <c r="AD218" s="37"/>
      <c r="AE218" s="37"/>
      <c r="AF218" s="37"/>
      <c r="AG218" s="37"/>
      <c r="AH218" s="37"/>
      <c r="BO218" s="89"/>
      <c r="CW218" s="986"/>
      <c r="CX218" s="991"/>
      <c r="CY218" s="923"/>
    </row>
    <row r="219" spans="1:103" hidden="1" x14ac:dyDescent="0.2">
      <c r="A219" s="1076"/>
      <c r="B219" s="71">
        <f t="shared" si="164"/>
        <v>0.19</v>
      </c>
      <c r="C219" s="72" t="str">
        <f t="shared" si="163"/>
        <v>Buchhaltung</v>
      </c>
      <c r="D219" s="168">
        <f t="shared" ref="D219:O219" si="216">D56*POWER((1+$B219),$D$167)</f>
        <v>0</v>
      </c>
      <c r="E219" s="168">
        <f t="shared" si="216"/>
        <v>0</v>
      </c>
      <c r="F219" s="168">
        <f t="shared" si="216"/>
        <v>0</v>
      </c>
      <c r="G219" s="168">
        <f t="shared" si="216"/>
        <v>0</v>
      </c>
      <c r="H219" s="168">
        <f t="shared" si="216"/>
        <v>0</v>
      </c>
      <c r="I219" s="168">
        <f t="shared" si="216"/>
        <v>0</v>
      </c>
      <c r="J219" s="168">
        <f t="shared" si="216"/>
        <v>0</v>
      </c>
      <c r="K219" s="168">
        <f t="shared" si="216"/>
        <v>0</v>
      </c>
      <c r="L219" s="168">
        <f t="shared" si="216"/>
        <v>0</v>
      </c>
      <c r="M219" s="168">
        <f t="shared" si="216"/>
        <v>0</v>
      </c>
      <c r="N219" s="168">
        <f t="shared" si="216"/>
        <v>0</v>
      </c>
      <c r="O219" s="168">
        <f t="shared" si="216"/>
        <v>0</v>
      </c>
      <c r="P219" s="74">
        <f>SUM(D219:O219)</f>
        <v>0</v>
      </c>
      <c r="Q219" s="186"/>
      <c r="S219" s="34"/>
      <c r="U219" s="34"/>
      <c r="V219" s="37"/>
      <c r="W219" s="37"/>
      <c r="X219" s="37"/>
      <c r="Y219" s="37"/>
      <c r="Z219" s="37"/>
      <c r="AA219" s="37"/>
      <c r="AB219" s="37"/>
      <c r="AC219" s="37"/>
      <c r="AD219" s="37"/>
      <c r="AE219" s="37"/>
      <c r="AF219" s="37"/>
      <c r="AG219" s="37"/>
      <c r="AH219" s="37"/>
      <c r="BO219" s="74">
        <f>SUM(BC219:BN219)</f>
        <v>0</v>
      </c>
      <c r="CW219" s="986"/>
      <c r="CX219" s="991"/>
      <c r="CY219" s="923"/>
    </row>
    <row r="220" spans="1:103" hidden="1" x14ac:dyDescent="0.2">
      <c r="A220" s="1076"/>
      <c r="B220" s="71">
        <f t="shared" si="164"/>
        <v>0.19</v>
      </c>
      <c r="C220" s="72" t="str">
        <f t="shared" si="163"/>
        <v>Steuerberatung, Abschluss, Prüfung</v>
      </c>
      <c r="D220" s="168">
        <f t="shared" ref="D220:O220" si="217">D57*POWER((1+$B220),$D$167)</f>
        <v>0</v>
      </c>
      <c r="E220" s="168">
        <f t="shared" si="217"/>
        <v>0</v>
      </c>
      <c r="F220" s="168">
        <f t="shared" si="217"/>
        <v>0</v>
      </c>
      <c r="G220" s="168">
        <f t="shared" si="217"/>
        <v>0</v>
      </c>
      <c r="H220" s="168">
        <f t="shared" si="217"/>
        <v>0</v>
      </c>
      <c r="I220" s="168">
        <f t="shared" si="217"/>
        <v>0</v>
      </c>
      <c r="J220" s="168">
        <f t="shared" si="217"/>
        <v>0</v>
      </c>
      <c r="K220" s="168">
        <f t="shared" si="217"/>
        <v>0</v>
      </c>
      <c r="L220" s="168">
        <f t="shared" si="217"/>
        <v>0</v>
      </c>
      <c r="M220" s="168">
        <f t="shared" si="217"/>
        <v>0</v>
      </c>
      <c r="N220" s="168">
        <f t="shared" si="217"/>
        <v>0</v>
      </c>
      <c r="O220" s="168">
        <f t="shared" si="217"/>
        <v>0</v>
      </c>
      <c r="P220" s="74">
        <f>SUM(D220:O220)</f>
        <v>0</v>
      </c>
      <c r="Q220" s="186"/>
      <c r="S220" s="34"/>
      <c r="U220" s="34"/>
      <c r="V220" s="37"/>
      <c r="W220" s="37"/>
      <c r="X220" s="37"/>
      <c r="Y220" s="37"/>
      <c r="Z220" s="37"/>
      <c r="AA220" s="37"/>
      <c r="AB220" s="37"/>
      <c r="AC220" s="37"/>
      <c r="AD220" s="37"/>
      <c r="AE220" s="37"/>
      <c r="AF220" s="37"/>
      <c r="AG220" s="37"/>
      <c r="AH220" s="37"/>
      <c r="BO220" s="74">
        <f>SUM(BC220:BN220)</f>
        <v>0</v>
      </c>
      <c r="CW220" s="986"/>
      <c r="CX220" s="991"/>
      <c r="CY220" s="923"/>
    </row>
    <row r="221" spans="1:103" hidden="1" x14ac:dyDescent="0.2">
      <c r="A221" s="1076"/>
      <c r="B221" s="71">
        <f t="shared" si="164"/>
        <v>0.19</v>
      </c>
      <c r="C221" s="72" t="str">
        <f t="shared" si="163"/>
        <v>Sonstiges</v>
      </c>
      <c r="D221" s="168">
        <f t="shared" ref="D221:O221" si="218">D58*POWER((1+$B221),$D$167)</f>
        <v>0</v>
      </c>
      <c r="E221" s="168">
        <f t="shared" si="218"/>
        <v>0</v>
      </c>
      <c r="F221" s="168">
        <f t="shared" si="218"/>
        <v>0</v>
      </c>
      <c r="G221" s="168">
        <f t="shared" si="218"/>
        <v>0</v>
      </c>
      <c r="H221" s="168">
        <f t="shared" si="218"/>
        <v>0</v>
      </c>
      <c r="I221" s="168">
        <f t="shared" si="218"/>
        <v>0</v>
      </c>
      <c r="J221" s="168">
        <f t="shared" si="218"/>
        <v>0</v>
      </c>
      <c r="K221" s="168">
        <f t="shared" si="218"/>
        <v>0</v>
      </c>
      <c r="L221" s="168">
        <f t="shared" si="218"/>
        <v>0</v>
      </c>
      <c r="M221" s="168">
        <f t="shared" si="218"/>
        <v>0</v>
      </c>
      <c r="N221" s="168">
        <f t="shared" si="218"/>
        <v>0</v>
      </c>
      <c r="O221" s="168">
        <f t="shared" si="218"/>
        <v>0</v>
      </c>
      <c r="P221" s="74">
        <f>SUM(D221:O221)</f>
        <v>0</v>
      </c>
      <c r="Q221" s="186"/>
      <c r="S221" s="34"/>
      <c r="U221" s="34"/>
      <c r="V221" s="37"/>
      <c r="W221" s="37"/>
      <c r="X221" s="37"/>
      <c r="Y221" s="37"/>
      <c r="Z221" s="37"/>
      <c r="AA221" s="37"/>
      <c r="AB221" s="37"/>
      <c r="AC221" s="37"/>
      <c r="AD221" s="37"/>
      <c r="AE221" s="37"/>
      <c r="AF221" s="37"/>
      <c r="AG221" s="37"/>
      <c r="AH221" s="37"/>
      <c r="BO221" s="74">
        <f>SUM(BC221:BN221)</f>
        <v>0</v>
      </c>
      <c r="CW221" s="986"/>
      <c r="CX221" s="991"/>
      <c r="CY221" s="923"/>
    </row>
    <row r="222" spans="1:103" hidden="1" x14ac:dyDescent="0.2">
      <c r="A222" s="1076"/>
      <c r="B222" s="80"/>
      <c r="C222" s="97" t="str">
        <f t="shared" si="163"/>
        <v>Summe Rechts- und Beratungskosten</v>
      </c>
      <c r="D222" s="163">
        <f t="shared" ref="D222:O222" si="219">SUM(D219:D221)</f>
        <v>0</v>
      </c>
      <c r="E222" s="163">
        <f t="shared" si="219"/>
        <v>0</v>
      </c>
      <c r="F222" s="163">
        <f t="shared" si="219"/>
        <v>0</v>
      </c>
      <c r="G222" s="163">
        <f t="shared" si="219"/>
        <v>0</v>
      </c>
      <c r="H222" s="163">
        <f t="shared" si="219"/>
        <v>0</v>
      </c>
      <c r="I222" s="163">
        <f t="shared" si="219"/>
        <v>0</v>
      </c>
      <c r="J222" s="163">
        <f t="shared" si="219"/>
        <v>0</v>
      </c>
      <c r="K222" s="163">
        <f t="shared" si="219"/>
        <v>0</v>
      </c>
      <c r="L222" s="163">
        <f t="shared" si="219"/>
        <v>0</v>
      </c>
      <c r="M222" s="163">
        <f t="shared" si="219"/>
        <v>0</v>
      </c>
      <c r="N222" s="163">
        <f t="shared" si="219"/>
        <v>0</v>
      </c>
      <c r="O222" s="163">
        <f t="shared" si="219"/>
        <v>0</v>
      </c>
      <c r="P222" s="209">
        <f>SUM(D222:O222)</f>
        <v>0</v>
      </c>
      <c r="Q222" s="187"/>
      <c r="S222" s="34"/>
      <c r="U222" s="34"/>
      <c r="V222" s="37"/>
      <c r="W222" s="37"/>
      <c r="X222" s="37"/>
      <c r="Y222" s="37"/>
      <c r="Z222" s="37"/>
      <c r="AA222" s="37"/>
      <c r="AB222" s="37"/>
      <c r="AC222" s="37"/>
      <c r="AD222" s="37"/>
      <c r="AE222" s="37"/>
      <c r="AF222" s="37"/>
      <c r="AG222" s="37"/>
      <c r="AH222" s="37"/>
      <c r="BO222" s="209">
        <f>SUM(BC222:BN222)</f>
        <v>0</v>
      </c>
      <c r="CW222" s="986"/>
      <c r="CX222" s="991"/>
      <c r="CY222" s="923"/>
    </row>
    <row r="223" spans="1:103" hidden="1" x14ac:dyDescent="0.2">
      <c r="A223" s="1076"/>
      <c r="B223" s="188">
        <v>9</v>
      </c>
      <c r="C223" s="62" t="str">
        <f t="shared" si="163"/>
        <v>Verschiedenes</v>
      </c>
      <c r="D223" s="88"/>
      <c r="E223" s="88"/>
      <c r="F223" s="88"/>
      <c r="G223" s="88"/>
      <c r="H223" s="88"/>
      <c r="I223" s="88"/>
      <c r="J223" s="88"/>
      <c r="K223" s="88"/>
      <c r="L223" s="88"/>
      <c r="M223" s="88"/>
      <c r="N223" s="88"/>
      <c r="O223" s="88"/>
      <c r="P223" s="89"/>
      <c r="Q223" s="186"/>
      <c r="S223" s="34"/>
      <c r="U223" s="34"/>
      <c r="V223" s="37"/>
      <c r="W223" s="37"/>
      <c r="X223" s="37"/>
      <c r="Y223" s="37"/>
      <c r="Z223" s="37"/>
      <c r="AA223" s="37"/>
      <c r="AB223" s="37"/>
      <c r="AC223" s="37"/>
      <c r="AD223" s="37"/>
      <c r="AE223" s="37"/>
      <c r="AF223" s="37"/>
      <c r="AG223" s="37"/>
      <c r="AH223" s="37"/>
      <c r="BO223" s="89"/>
      <c r="CW223" s="986"/>
      <c r="CX223" s="991"/>
      <c r="CY223" s="967"/>
    </row>
    <row r="224" spans="1:103" hidden="1" x14ac:dyDescent="0.2">
      <c r="A224" s="1076"/>
      <c r="B224" s="71">
        <f t="shared" si="164"/>
        <v>0</v>
      </c>
      <c r="C224" s="936" t="str">
        <f t="shared" si="163"/>
        <v>Finanzaufwand / Zinsen *)</v>
      </c>
      <c r="D224" s="210">
        <f t="shared" ref="D224:O224" si="220">D61*POWER((1+$B224),$D$167)</f>
        <v>0</v>
      </c>
      <c r="E224" s="210">
        <f t="shared" si="220"/>
        <v>0</v>
      </c>
      <c r="F224" s="210">
        <f t="shared" si="220"/>
        <v>0</v>
      </c>
      <c r="G224" s="210">
        <f t="shared" si="220"/>
        <v>0</v>
      </c>
      <c r="H224" s="210">
        <f t="shared" si="220"/>
        <v>0</v>
      </c>
      <c r="I224" s="210">
        <f t="shared" si="220"/>
        <v>0</v>
      </c>
      <c r="J224" s="210">
        <f t="shared" si="220"/>
        <v>0</v>
      </c>
      <c r="K224" s="210">
        <f t="shared" si="220"/>
        <v>0</v>
      </c>
      <c r="L224" s="210">
        <f t="shared" si="220"/>
        <v>0</v>
      </c>
      <c r="M224" s="210">
        <f t="shared" si="220"/>
        <v>0</v>
      </c>
      <c r="N224" s="210">
        <f t="shared" si="220"/>
        <v>0</v>
      </c>
      <c r="O224" s="210">
        <f t="shared" si="220"/>
        <v>0</v>
      </c>
      <c r="P224" s="74">
        <f t="shared" ref="P224:P229" si="221">SUM(D224:O224)</f>
        <v>0</v>
      </c>
      <c r="Q224" s="186"/>
      <c r="S224" s="34"/>
      <c r="U224" s="34"/>
      <c r="V224" s="37"/>
      <c r="W224" s="37"/>
      <c r="X224" s="37"/>
      <c r="Y224" s="37"/>
      <c r="Z224" s="37"/>
      <c r="AA224" s="37"/>
      <c r="AB224" s="37"/>
      <c r="AC224" s="37"/>
      <c r="AD224" s="37"/>
      <c r="AE224" s="37"/>
      <c r="AF224" s="37"/>
      <c r="AG224" s="37"/>
      <c r="AH224" s="37"/>
      <c r="BO224" s="74">
        <f t="shared" ref="BO224:BO229" si="222">SUM(BC224:BN224)</f>
        <v>0</v>
      </c>
      <c r="CW224" s="986"/>
      <c r="CX224" s="991"/>
      <c r="CY224" s="923"/>
    </row>
    <row r="225" spans="1:103" hidden="1" x14ac:dyDescent="0.2">
      <c r="A225" s="1076"/>
      <c r="B225" s="71">
        <f t="shared" si="164"/>
        <v>0.19</v>
      </c>
      <c r="C225" s="72" t="str">
        <f t="shared" si="163"/>
        <v>Reisekosten</v>
      </c>
      <c r="D225" s="168">
        <f t="shared" ref="D225:O225" si="223">D62*POWER((1+$B225),$D$167)</f>
        <v>0</v>
      </c>
      <c r="E225" s="168">
        <f t="shared" si="223"/>
        <v>0</v>
      </c>
      <c r="F225" s="168">
        <f t="shared" si="223"/>
        <v>0</v>
      </c>
      <c r="G225" s="168">
        <f t="shared" si="223"/>
        <v>0</v>
      </c>
      <c r="H225" s="168">
        <f t="shared" si="223"/>
        <v>0</v>
      </c>
      <c r="I225" s="168">
        <f t="shared" si="223"/>
        <v>0</v>
      </c>
      <c r="J225" s="168">
        <f t="shared" si="223"/>
        <v>0</v>
      </c>
      <c r="K225" s="168">
        <f t="shared" si="223"/>
        <v>0</v>
      </c>
      <c r="L225" s="168">
        <f t="shared" si="223"/>
        <v>0</v>
      </c>
      <c r="M225" s="168">
        <f t="shared" si="223"/>
        <v>0</v>
      </c>
      <c r="N225" s="168">
        <f t="shared" si="223"/>
        <v>0</v>
      </c>
      <c r="O225" s="168">
        <f t="shared" si="223"/>
        <v>0</v>
      </c>
      <c r="P225" s="74">
        <f t="shared" si="221"/>
        <v>0</v>
      </c>
      <c r="Q225" s="186"/>
      <c r="S225" s="34"/>
      <c r="U225" s="34"/>
      <c r="V225" s="37"/>
      <c r="W225" s="37"/>
      <c r="X225" s="37"/>
      <c r="Y225" s="37"/>
      <c r="Z225" s="37"/>
      <c r="AA225" s="37"/>
      <c r="AB225" s="37"/>
      <c r="AC225" s="37"/>
      <c r="AD225" s="37"/>
      <c r="AE225" s="37"/>
      <c r="AF225" s="37"/>
      <c r="AG225" s="37"/>
      <c r="AH225" s="37"/>
      <c r="BO225" s="74">
        <f t="shared" si="222"/>
        <v>0</v>
      </c>
      <c r="CW225" s="986"/>
      <c r="CX225" s="991"/>
      <c r="CY225" s="923"/>
    </row>
    <row r="226" spans="1:103" hidden="1" x14ac:dyDescent="0.2">
      <c r="A226" s="1076"/>
      <c r="B226" s="71">
        <f t="shared" si="164"/>
        <v>7.0000000000000007E-2</v>
      </c>
      <c r="C226" s="72" t="str">
        <f t="shared" si="163"/>
        <v>Fachliteratur, Bücher</v>
      </c>
      <c r="D226" s="168">
        <f t="shared" ref="D226:O226" si="224">D63*POWER((1+$B226),$D$167)</f>
        <v>0</v>
      </c>
      <c r="E226" s="168">
        <f t="shared" si="224"/>
        <v>0</v>
      </c>
      <c r="F226" s="168">
        <f t="shared" si="224"/>
        <v>0</v>
      </c>
      <c r="G226" s="168">
        <f t="shared" si="224"/>
        <v>0</v>
      </c>
      <c r="H226" s="168">
        <f t="shared" si="224"/>
        <v>0</v>
      </c>
      <c r="I226" s="168">
        <f t="shared" si="224"/>
        <v>0</v>
      </c>
      <c r="J226" s="168">
        <f t="shared" si="224"/>
        <v>0</v>
      </c>
      <c r="K226" s="168">
        <f t="shared" si="224"/>
        <v>0</v>
      </c>
      <c r="L226" s="168">
        <f t="shared" si="224"/>
        <v>0</v>
      </c>
      <c r="M226" s="168">
        <f t="shared" si="224"/>
        <v>0</v>
      </c>
      <c r="N226" s="168">
        <f t="shared" si="224"/>
        <v>0</v>
      </c>
      <c r="O226" s="168">
        <f t="shared" si="224"/>
        <v>0</v>
      </c>
      <c r="P226" s="74">
        <f t="shared" si="221"/>
        <v>0</v>
      </c>
      <c r="Q226" s="186"/>
      <c r="R226" s="38"/>
      <c r="S226" s="939"/>
      <c r="U226" s="34"/>
      <c r="V226" s="37"/>
      <c r="W226" s="37"/>
      <c r="X226" s="37"/>
      <c r="Y226" s="37"/>
      <c r="Z226" s="37"/>
      <c r="AA226" s="37"/>
      <c r="AB226" s="37"/>
      <c r="AC226" s="37"/>
      <c r="AD226" s="37"/>
      <c r="AE226" s="37"/>
      <c r="AF226" s="37"/>
      <c r="AG226" s="37"/>
      <c r="AH226" s="37"/>
      <c r="BO226" s="74">
        <f t="shared" si="222"/>
        <v>0</v>
      </c>
      <c r="CW226" s="986"/>
      <c r="CX226" s="991"/>
      <c r="CY226" s="923"/>
    </row>
    <row r="227" spans="1:103" hidden="1" x14ac:dyDescent="0.2">
      <c r="A227" s="1076"/>
      <c r="B227" s="71">
        <f t="shared" si="164"/>
        <v>0.19</v>
      </c>
      <c r="C227" s="72" t="str">
        <f t="shared" si="163"/>
        <v>Schulungen</v>
      </c>
      <c r="D227" s="168">
        <f t="shared" ref="D227:O227" si="225">D64*POWER((1+$B227),$D$167)</f>
        <v>0</v>
      </c>
      <c r="E227" s="168">
        <f t="shared" si="225"/>
        <v>0</v>
      </c>
      <c r="F227" s="168">
        <f t="shared" si="225"/>
        <v>0</v>
      </c>
      <c r="G227" s="168">
        <f t="shared" si="225"/>
        <v>0</v>
      </c>
      <c r="H227" s="168">
        <f t="shared" si="225"/>
        <v>0</v>
      </c>
      <c r="I227" s="168">
        <f t="shared" si="225"/>
        <v>0</v>
      </c>
      <c r="J227" s="168">
        <f t="shared" si="225"/>
        <v>0</v>
      </c>
      <c r="K227" s="168">
        <f t="shared" si="225"/>
        <v>0</v>
      </c>
      <c r="L227" s="168">
        <f t="shared" si="225"/>
        <v>0</v>
      </c>
      <c r="M227" s="168">
        <f t="shared" si="225"/>
        <v>0</v>
      </c>
      <c r="N227" s="168">
        <f t="shared" si="225"/>
        <v>0</v>
      </c>
      <c r="O227" s="168">
        <f t="shared" si="225"/>
        <v>0</v>
      </c>
      <c r="P227" s="74">
        <f t="shared" si="221"/>
        <v>0</v>
      </c>
      <c r="Q227" s="186"/>
      <c r="S227" s="34"/>
      <c r="U227" s="34"/>
      <c r="V227" s="37"/>
      <c r="W227" s="37"/>
      <c r="X227" s="37"/>
      <c r="Y227" s="37"/>
      <c r="Z227" s="37"/>
      <c r="AA227" s="37"/>
      <c r="AB227" s="37"/>
      <c r="AC227" s="37"/>
      <c r="AD227" s="37"/>
      <c r="AE227" s="37"/>
      <c r="AF227" s="37"/>
      <c r="AG227" s="37"/>
      <c r="AH227" s="37"/>
      <c r="BO227" s="74">
        <f t="shared" si="222"/>
        <v>0</v>
      </c>
      <c r="CW227" s="986"/>
      <c r="CX227" s="991"/>
      <c r="CY227" s="923"/>
    </row>
    <row r="228" spans="1:103" hidden="1" x14ac:dyDescent="0.2">
      <c r="A228" s="1076"/>
      <c r="B228" s="71">
        <f t="shared" si="164"/>
        <v>0</v>
      </c>
      <c r="C228" s="72" t="str">
        <f t="shared" si="163"/>
        <v>Versicherungen, Berufsgenossenschaft, Handwerkskammer etc.</v>
      </c>
      <c r="D228" s="935">
        <f t="shared" ref="D228:O228" si="226">D65*POWER((1+$B228),$D$167)</f>
        <v>0</v>
      </c>
      <c r="E228" s="935">
        <f t="shared" si="226"/>
        <v>0</v>
      </c>
      <c r="F228" s="935">
        <f t="shared" si="226"/>
        <v>0</v>
      </c>
      <c r="G228" s="935">
        <f t="shared" si="226"/>
        <v>0</v>
      </c>
      <c r="H228" s="935">
        <f t="shared" si="226"/>
        <v>0</v>
      </c>
      <c r="I228" s="935">
        <f t="shared" si="226"/>
        <v>0</v>
      </c>
      <c r="J228" s="935">
        <f t="shared" si="226"/>
        <v>0</v>
      </c>
      <c r="K228" s="935">
        <f t="shared" si="226"/>
        <v>0</v>
      </c>
      <c r="L228" s="935">
        <f t="shared" si="226"/>
        <v>0</v>
      </c>
      <c r="M228" s="935">
        <f t="shared" si="226"/>
        <v>0</v>
      </c>
      <c r="N228" s="935">
        <f t="shared" si="226"/>
        <v>0</v>
      </c>
      <c r="O228" s="935">
        <f t="shared" si="226"/>
        <v>0</v>
      </c>
      <c r="P228" s="78">
        <f t="shared" si="221"/>
        <v>0</v>
      </c>
      <c r="Q228" s="186"/>
      <c r="S228" s="34"/>
      <c r="U228" s="34"/>
      <c r="V228" s="37"/>
      <c r="W228" s="37"/>
      <c r="X228" s="37"/>
      <c r="Y228" s="37"/>
      <c r="Z228" s="37"/>
      <c r="AA228" s="37"/>
      <c r="AB228" s="37"/>
      <c r="AC228" s="37"/>
      <c r="AD228" s="37"/>
      <c r="AE228" s="37"/>
      <c r="AF228" s="37"/>
      <c r="AG228" s="37"/>
      <c r="AH228" s="37"/>
      <c r="BO228" s="78">
        <f t="shared" si="222"/>
        <v>0</v>
      </c>
      <c r="CW228" s="986"/>
      <c r="CX228" s="991"/>
      <c r="CY228" s="923"/>
    </row>
    <row r="229" spans="1:103" ht="15" hidden="1" thickBot="1" x14ac:dyDescent="0.25">
      <c r="A229" s="1076"/>
      <c r="B229" s="92"/>
      <c r="C229" s="97" t="str">
        <f t="shared" si="163"/>
        <v>Summe Verschiedenes</v>
      </c>
      <c r="D229" s="98">
        <f>SUM(D224:D228)</f>
        <v>0</v>
      </c>
      <c r="E229" s="99">
        <f t="shared" ref="E229:O229" si="227">SUM(E224:E228)</f>
        <v>0</v>
      </c>
      <c r="F229" s="99">
        <f t="shared" si="227"/>
        <v>0</v>
      </c>
      <c r="G229" s="99">
        <f t="shared" si="227"/>
        <v>0</v>
      </c>
      <c r="H229" s="99">
        <f t="shared" si="227"/>
        <v>0</v>
      </c>
      <c r="I229" s="99">
        <f t="shared" si="227"/>
        <v>0</v>
      </c>
      <c r="J229" s="99">
        <f t="shared" si="227"/>
        <v>0</v>
      </c>
      <c r="K229" s="99">
        <f t="shared" si="227"/>
        <v>0</v>
      </c>
      <c r="L229" s="99">
        <f t="shared" si="227"/>
        <v>0</v>
      </c>
      <c r="M229" s="99">
        <f t="shared" si="227"/>
        <v>0</v>
      </c>
      <c r="N229" s="99">
        <f t="shared" si="227"/>
        <v>0</v>
      </c>
      <c r="O229" s="99">
        <f t="shared" si="227"/>
        <v>0</v>
      </c>
      <c r="P229" s="100">
        <f t="shared" si="221"/>
        <v>0</v>
      </c>
      <c r="Q229" s="187"/>
      <c r="S229" s="34"/>
      <c r="U229" s="34"/>
      <c r="V229" s="37"/>
      <c r="W229" s="37"/>
      <c r="X229" s="37"/>
      <c r="Y229" s="37"/>
      <c r="Z229" s="37"/>
      <c r="AA229" s="37"/>
      <c r="AB229" s="37"/>
      <c r="AC229" s="37"/>
      <c r="AD229" s="37"/>
      <c r="AE229" s="37"/>
      <c r="AF229" s="37"/>
      <c r="AG229" s="37"/>
      <c r="AH229" s="37"/>
      <c r="BO229" s="100">
        <f t="shared" si="222"/>
        <v>0</v>
      </c>
      <c r="CW229" s="986"/>
      <c r="CX229" s="991"/>
      <c r="CY229" s="923"/>
    </row>
    <row r="230" spans="1:103" ht="15" hidden="1" thickTop="1" x14ac:dyDescent="0.2">
      <c r="A230" s="1076"/>
      <c r="B230" s="101"/>
      <c r="C230" s="102" t="str">
        <f t="shared" si="163"/>
        <v>Summe Betriebskosten I</v>
      </c>
      <c r="D230" s="103">
        <f>SUM(D170:D229)/2</f>
        <v>0</v>
      </c>
      <c r="E230" s="103">
        <f t="shared" ref="E230:O230" si="228">SUM(E170:E229)/2</f>
        <v>0</v>
      </c>
      <c r="F230" s="103">
        <f t="shared" si="228"/>
        <v>0</v>
      </c>
      <c r="G230" s="103">
        <f t="shared" si="228"/>
        <v>0</v>
      </c>
      <c r="H230" s="103">
        <f t="shared" si="228"/>
        <v>0</v>
      </c>
      <c r="I230" s="103">
        <f t="shared" si="228"/>
        <v>0</v>
      </c>
      <c r="J230" s="103">
        <f t="shared" si="228"/>
        <v>0</v>
      </c>
      <c r="K230" s="103">
        <f t="shared" si="228"/>
        <v>0</v>
      </c>
      <c r="L230" s="103">
        <f t="shared" si="228"/>
        <v>0</v>
      </c>
      <c r="M230" s="103">
        <f t="shared" si="228"/>
        <v>0</v>
      </c>
      <c r="N230" s="103">
        <f t="shared" si="228"/>
        <v>0</v>
      </c>
      <c r="O230" s="103">
        <f t="shared" si="228"/>
        <v>0</v>
      </c>
      <c r="P230" s="104">
        <f>SUM(P169:P229)/2</f>
        <v>0</v>
      </c>
      <c r="Q230" s="186"/>
      <c r="S230" s="34"/>
      <c r="U230" s="34"/>
      <c r="V230" s="37"/>
      <c r="W230" s="37"/>
      <c r="X230" s="37"/>
      <c r="Y230" s="37"/>
      <c r="Z230" s="37"/>
      <c r="AA230" s="37"/>
      <c r="AB230" s="37"/>
      <c r="AC230" s="37"/>
      <c r="AD230" s="37"/>
      <c r="AE230" s="37"/>
      <c r="AF230" s="37"/>
      <c r="AG230" s="37"/>
      <c r="AH230" s="37"/>
      <c r="BO230" s="104">
        <f>SUM(BO169:BO229)/2</f>
        <v>0</v>
      </c>
      <c r="CW230" s="986"/>
      <c r="CX230" s="991"/>
      <c r="CY230" s="968"/>
    </row>
    <row r="231" spans="1:103" ht="15" hidden="1" thickBot="1" x14ac:dyDescent="0.25">
      <c r="A231" s="1076"/>
      <c r="B231" s="61"/>
      <c r="C231" s="106" t="str">
        <f t="shared" si="163"/>
        <v>Abschreibungen (aus "3 Anschaffungen|Investment")</v>
      </c>
      <c r="D231" s="107">
        <f>'3 Anschaffungen|Investment'!E32</f>
        <v>0</v>
      </c>
      <c r="E231" s="107">
        <f>'3 Anschaffungen|Investment'!F32</f>
        <v>0</v>
      </c>
      <c r="F231" s="107">
        <f>'3 Anschaffungen|Investment'!G32</f>
        <v>0</v>
      </c>
      <c r="G231" s="107">
        <f>'3 Anschaffungen|Investment'!H32</f>
        <v>0</v>
      </c>
      <c r="H231" s="107">
        <f>'3 Anschaffungen|Investment'!I32</f>
        <v>0</v>
      </c>
      <c r="I231" s="107">
        <f>'3 Anschaffungen|Investment'!J32</f>
        <v>0</v>
      </c>
      <c r="J231" s="107">
        <f>'3 Anschaffungen|Investment'!K32</f>
        <v>0</v>
      </c>
      <c r="K231" s="107">
        <f>'3 Anschaffungen|Investment'!L32</f>
        <v>0</v>
      </c>
      <c r="L231" s="107">
        <f>'3 Anschaffungen|Investment'!M32</f>
        <v>0</v>
      </c>
      <c r="M231" s="107">
        <f>'3 Anschaffungen|Investment'!N32</f>
        <v>0</v>
      </c>
      <c r="N231" s="107">
        <f>'3 Anschaffungen|Investment'!O32</f>
        <v>0</v>
      </c>
      <c r="O231" s="107">
        <f>'3 Anschaffungen|Investment'!P32</f>
        <v>0</v>
      </c>
      <c r="P231" s="108">
        <f>SUM(D231:O231)</f>
        <v>0</v>
      </c>
      <c r="Q231" s="186"/>
      <c r="S231" s="34"/>
      <c r="U231" s="34"/>
      <c r="V231" s="37"/>
      <c r="W231" s="37"/>
      <c r="X231" s="37"/>
      <c r="Y231" s="37"/>
      <c r="Z231" s="37"/>
      <c r="AA231" s="37"/>
      <c r="AB231" s="37"/>
      <c r="AC231" s="37"/>
      <c r="AD231" s="37"/>
      <c r="AE231" s="37"/>
      <c r="AF231" s="37"/>
      <c r="AG231" s="37"/>
      <c r="AH231" s="37"/>
      <c r="BO231" s="108">
        <f>SUM(BC231:BN231)</f>
        <v>0</v>
      </c>
      <c r="CW231" s="986"/>
      <c r="CX231" s="991"/>
      <c r="CY231" s="957"/>
    </row>
    <row r="232" spans="1:103" ht="15.75" hidden="1" thickTop="1" thickBot="1" x14ac:dyDescent="0.25">
      <c r="A232" s="1076"/>
      <c r="B232" s="109"/>
      <c r="C232" s="110" t="str">
        <f t="shared" si="163"/>
        <v>Summe Betriebskosten II</v>
      </c>
      <c r="D232" s="111">
        <f>SUM(D230:D231)</f>
        <v>0</v>
      </c>
      <c r="E232" s="111">
        <f>SUM(E230:E231)</f>
        <v>0</v>
      </c>
      <c r="F232" s="111">
        <f>SUM(F230:F231)</f>
        <v>0</v>
      </c>
      <c r="G232" s="111">
        <f t="shared" ref="G232:P232" si="229">SUM(G230:G231)</f>
        <v>0</v>
      </c>
      <c r="H232" s="111">
        <f t="shared" si="229"/>
        <v>0</v>
      </c>
      <c r="I232" s="111">
        <f t="shared" si="229"/>
        <v>0</v>
      </c>
      <c r="J232" s="111">
        <f t="shared" si="229"/>
        <v>0</v>
      </c>
      <c r="K232" s="111">
        <f t="shared" si="229"/>
        <v>0</v>
      </c>
      <c r="L232" s="111">
        <f t="shared" si="229"/>
        <v>0</v>
      </c>
      <c r="M232" s="111">
        <f t="shared" si="229"/>
        <v>0</v>
      </c>
      <c r="N232" s="111">
        <f t="shared" si="229"/>
        <v>0</v>
      </c>
      <c r="O232" s="111">
        <f t="shared" si="229"/>
        <v>0</v>
      </c>
      <c r="P232" s="112">
        <f t="shared" si="229"/>
        <v>0</v>
      </c>
      <c r="Q232" s="186"/>
      <c r="S232" s="34"/>
      <c r="U232" s="34"/>
      <c r="V232" s="37"/>
      <c r="W232" s="37"/>
      <c r="X232" s="37"/>
      <c r="Y232" s="37"/>
      <c r="Z232" s="37"/>
      <c r="AA232" s="37"/>
      <c r="AB232" s="37"/>
      <c r="AC232" s="37"/>
      <c r="AD232" s="37"/>
      <c r="AE232" s="37"/>
      <c r="AF232" s="37"/>
      <c r="AG232" s="37"/>
      <c r="AH232" s="37"/>
      <c r="BO232" s="112">
        <f>SUM(BO230:BO231)</f>
        <v>0</v>
      </c>
      <c r="CW232" s="986"/>
      <c r="CX232" s="991"/>
      <c r="CY232" s="969"/>
    </row>
    <row r="233" spans="1:103" hidden="1" x14ac:dyDescent="0.2">
      <c r="A233" s="991"/>
      <c r="B233" s="189"/>
      <c r="C233" s="32" t="str">
        <f>C70</f>
        <v>*) wird aus Tabelle "Finanzierung" übernommen (auf ganze Euro gerundet!)</v>
      </c>
      <c r="D233" s="34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5"/>
      <c r="Q233" s="35"/>
      <c r="S233" s="34"/>
      <c r="U233" s="34"/>
      <c r="V233" s="37"/>
      <c r="W233" s="37"/>
      <c r="X233" s="37"/>
      <c r="Y233" s="37"/>
      <c r="Z233" s="37"/>
      <c r="AA233" s="37"/>
      <c r="AB233" s="37"/>
      <c r="AC233" s="37"/>
      <c r="AD233" s="37"/>
      <c r="AE233" s="37"/>
      <c r="AF233" s="37"/>
      <c r="AG233" s="37"/>
      <c r="AH233" s="37"/>
      <c r="BO233" s="35"/>
      <c r="CW233" s="986"/>
      <c r="CX233" s="991"/>
      <c r="CY233" s="922" t="s">
        <v>108</v>
      </c>
    </row>
    <row r="234" spans="1:103" hidden="1" x14ac:dyDescent="0.2">
      <c r="A234" s="991"/>
      <c r="B234" s="190"/>
      <c r="C234" s="34"/>
      <c r="D234" s="183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5"/>
      <c r="Q234" s="35"/>
      <c r="S234" s="34"/>
      <c r="U234" s="34"/>
      <c r="V234" s="37"/>
      <c r="W234" s="37"/>
      <c r="X234" s="37"/>
      <c r="Y234" s="37"/>
      <c r="Z234" s="37"/>
      <c r="AA234" s="37"/>
      <c r="AB234" s="37"/>
      <c r="AC234" s="37"/>
      <c r="AD234" s="37"/>
      <c r="AE234" s="37"/>
      <c r="AF234" s="37"/>
      <c r="AG234" s="37"/>
      <c r="AH234" s="37"/>
      <c r="BO234" s="35"/>
      <c r="CW234" s="986"/>
      <c r="CX234" s="991"/>
    </row>
    <row r="235" spans="1:103" ht="22.5" hidden="1" x14ac:dyDescent="0.2">
      <c r="A235" s="991"/>
      <c r="B235" s="191" t="str">
        <f ca="1">IF($C$2="English",CZ235,CY235)</f>
        <v>4d  Betriebskosten für die Jahre 2017 - 2021 in EUR (mit MwSt; nur zur Kenntnis)</v>
      </c>
      <c r="C235" s="34"/>
      <c r="D235" s="34"/>
      <c r="E235" s="34"/>
      <c r="F235" s="34"/>
      <c r="G235" s="34"/>
      <c r="H235" s="34"/>
      <c r="I235" s="41"/>
      <c r="J235" s="41"/>
      <c r="K235" s="41"/>
      <c r="L235" s="41"/>
      <c r="M235" s="41"/>
      <c r="N235" s="41"/>
      <c r="O235" s="41"/>
      <c r="P235" s="140"/>
      <c r="Q235" s="140"/>
      <c r="S235" s="34"/>
      <c r="U235" s="34"/>
      <c r="V235" s="37"/>
      <c r="W235" s="37"/>
      <c r="X235" s="37"/>
      <c r="Y235" s="37"/>
      <c r="Z235" s="37"/>
      <c r="AA235" s="37"/>
      <c r="AB235" s="37"/>
      <c r="AC235" s="37"/>
      <c r="AD235" s="37"/>
      <c r="AE235" s="37"/>
      <c r="AF235" s="37"/>
      <c r="AG235" s="37"/>
      <c r="AH235" s="37"/>
      <c r="BO235" s="140"/>
      <c r="CW235" s="986"/>
      <c r="CX235" s="991"/>
      <c r="CY235" s="997" t="str">
        <f ca="1">"4d  Betriebskosten für die Jahre "&amp;'1 Pers.Ausgaben|Pers Expenses'!$C$4&amp;" - "&amp; '1 Pers.Ausgaben|Pers Expenses'!$C$4+4&amp;" in EUR"&amp; IF('Deckblatt Gruender|Data Founder'!M1&gt;0," (ohne MwSt; nur zur Kenntniss)"," (mit MwSt; nur zur Kenntnis)")</f>
        <v>4d  Betriebskosten für die Jahre 2017 - 2021 in EUR (mit MwSt; nur zur Kenntnis)</v>
      </c>
    </row>
    <row r="236" spans="1:103" ht="15" hidden="1" thickBot="1" x14ac:dyDescent="0.25">
      <c r="A236" s="991"/>
      <c r="B236" s="192" t="str">
        <f>B167</f>
        <v/>
      </c>
      <c r="C236" s="35"/>
      <c r="D236" s="34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5"/>
      <c r="Q236" s="35"/>
      <c r="S236" s="34"/>
      <c r="U236" s="34"/>
      <c r="V236" s="37"/>
      <c r="W236" s="37"/>
      <c r="X236" s="37"/>
      <c r="Y236" s="37"/>
      <c r="Z236" s="37"/>
      <c r="AA236" s="37"/>
      <c r="AB236" s="37"/>
      <c r="AC236" s="37"/>
      <c r="AD236" s="37"/>
      <c r="AE236" s="37"/>
      <c r="AF236" s="37"/>
      <c r="AG236" s="37"/>
      <c r="AH236" s="37"/>
      <c r="BO236" s="35"/>
      <c r="CW236" s="986"/>
      <c r="CX236" s="991"/>
      <c r="CY236" s="970"/>
    </row>
    <row r="237" spans="1:103" ht="15" hidden="1" thickBot="1" x14ac:dyDescent="0.25">
      <c r="A237" s="1076"/>
      <c r="B237" s="49" t="str">
        <f>B5</f>
        <v>No.</v>
      </c>
      <c r="C237" s="50" t="str">
        <f>C5</f>
        <v>Kostenart</v>
      </c>
      <c r="D237" s="51">
        <f ca="1">'1 Pers.Ausgaben|Pers Expenses'!C4</f>
        <v>2017</v>
      </c>
      <c r="E237" s="51">
        <f ca="1">D237+1</f>
        <v>2018</v>
      </c>
      <c r="F237" s="51">
        <f ca="1">E237+1</f>
        <v>2019</v>
      </c>
      <c r="G237" s="51">
        <f ca="1">F237+1</f>
        <v>2020</v>
      </c>
      <c r="H237" s="51">
        <f ca="1">G237+1</f>
        <v>2021</v>
      </c>
      <c r="I237" s="142"/>
      <c r="J237" s="55"/>
      <c r="K237" s="55"/>
      <c r="L237" s="55"/>
      <c r="M237" s="55"/>
      <c r="N237" s="55"/>
      <c r="O237" s="55"/>
      <c r="P237" s="55"/>
      <c r="Q237" s="55"/>
      <c r="S237" s="34"/>
      <c r="U237" s="34"/>
      <c r="V237" s="37"/>
      <c r="W237" s="37"/>
      <c r="X237" s="37"/>
      <c r="Y237" s="37"/>
      <c r="Z237" s="37"/>
      <c r="AA237" s="37"/>
      <c r="AB237" s="37"/>
      <c r="AC237" s="37"/>
      <c r="AD237" s="37"/>
      <c r="AE237" s="37"/>
      <c r="AF237" s="37"/>
      <c r="AG237" s="37"/>
      <c r="AH237" s="37"/>
      <c r="BO237" s="55"/>
      <c r="CW237" s="986"/>
      <c r="CX237" s="991"/>
      <c r="CY237" s="966"/>
    </row>
    <row r="238" spans="1:103" hidden="1" x14ac:dyDescent="0.2">
      <c r="A238" s="1076"/>
      <c r="B238" s="185">
        <v>1</v>
      </c>
      <c r="C238" s="62" t="str">
        <f>C6</f>
        <v>Bürokosten</v>
      </c>
      <c r="D238" s="63"/>
      <c r="E238" s="63"/>
      <c r="F238" s="63"/>
      <c r="G238" s="63"/>
      <c r="H238" s="63"/>
      <c r="I238" s="144"/>
      <c r="J238" s="34"/>
      <c r="K238" s="34"/>
      <c r="L238" s="34"/>
      <c r="M238" s="34"/>
      <c r="N238" s="34"/>
      <c r="O238" s="34"/>
      <c r="P238" s="34"/>
      <c r="Q238" s="34"/>
      <c r="S238" s="34"/>
      <c r="U238" s="34"/>
      <c r="V238" s="37"/>
      <c r="W238" s="37"/>
      <c r="X238" s="37"/>
      <c r="Y238" s="37"/>
      <c r="Z238" s="37"/>
      <c r="AA238" s="37"/>
      <c r="AB238" s="37"/>
      <c r="AC238" s="37"/>
      <c r="AD238" s="37"/>
      <c r="AE238" s="37"/>
      <c r="AF238" s="37"/>
      <c r="AG238" s="37"/>
      <c r="AH238" s="37"/>
      <c r="BO238" s="34"/>
      <c r="CW238" s="986"/>
      <c r="CX238" s="991"/>
      <c r="CY238" s="967"/>
    </row>
    <row r="239" spans="1:103" hidden="1" x14ac:dyDescent="0.2">
      <c r="A239" s="1076">
        <f>B83</f>
        <v>0.19</v>
      </c>
      <c r="B239" s="71">
        <f t="shared" ref="B239:B244" si="230">A7</f>
        <v>0.19</v>
      </c>
      <c r="C239" s="72" t="str">
        <f t="shared" ref="C239:C300" si="231">C7</f>
        <v>Raummiete</v>
      </c>
      <c r="D239" s="168">
        <f>P170</f>
        <v>0</v>
      </c>
      <c r="E239" s="168">
        <f t="shared" ref="E239:H244" si="232">E83*POWER((1+$A83),$D$167)</f>
        <v>0</v>
      </c>
      <c r="F239" s="168">
        <f t="shared" si="232"/>
        <v>0</v>
      </c>
      <c r="G239" s="168">
        <f t="shared" si="232"/>
        <v>0</v>
      </c>
      <c r="H239" s="168">
        <f t="shared" si="232"/>
        <v>0</v>
      </c>
      <c r="I239" s="144"/>
      <c r="J239" s="34"/>
      <c r="K239" s="34"/>
      <c r="L239" s="34"/>
      <c r="M239" s="34"/>
      <c r="N239" s="34"/>
      <c r="O239" s="34"/>
      <c r="P239" s="34"/>
      <c r="Q239" s="34"/>
      <c r="S239" s="34"/>
      <c r="U239" s="34"/>
      <c r="V239" s="37"/>
      <c r="W239" s="37"/>
      <c r="X239" s="37"/>
      <c r="Y239" s="37"/>
      <c r="Z239" s="37"/>
      <c r="AA239" s="37"/>
      <c r="AB239" s="37"/>
      <c r="AC239" s="37"/>
      <c r="AD239" s="37"/>
      <c r="AE239" s="37"/>
      <c r="AF239" s="37"/>
      <c r="AG239" s="37"/>
      <c r="AH239" s="37"/>
      <c r="BO239" s="34"/>
      <c r="CW239" s="986"/>
      <c r="CX239" s="991"/>
      <c r="CY239" s="923"/>
    </row>
    <row r="240" spans="1:103" hidden="1" x14ac:dyDescent="0.2">
      <c r="A240" s="1076">
        <f t="shared" ref="A240:A297" si="233">B84</f>
        <v>0.19</v>
      </c>
      <c r="B240" s="71">
        <f t="shared" si="230"/>
        <v>0.19</v>
      </c>
      <c r="C240" s="72" t="str">
        <f t="shared" si="231"/>
        <v>Strom, Wasser, Heizung, sonst. Nebenkosten</v>
      </c>
      <c r="D240" s="168">
        <f t="shared" ref="D240:D301" si="234">P171</f>
        <v>0</v>
      </c>
      <c r="E240" s="168">
        <f t="shared" si="232"/>
        <v>0</v>
      </c>
      <c r="F240" s="168">
        <f t="shared" si="232"/>
        <v>0</v>
      </c>
      <c r="G240" s="168">
        <f t="shared" si="232"/>
        <v>0</v>
      </c>
      <c r="H240" s="168">
        <f t="shared" si="232"/>
        <v>0</v>
      </c>
      <c r="I240" s="144"/>
      <c r="J240" s="34"/>
      <c r="K240" s="34"/>
      <c r="L240" s="34"/>
      <c r="M240" s="34"/>
      <c r="N240" s="34"/>
      <c r="O240" s="34"/>
      <c r="P240" s="34"/>
      <c r="Q240" s="34"/>
      <c r="S240" s="34"/>
      <c r="U240" s="34"/>
      <c r="V240" s="37"/>
      <c r="W240" s="37"/>
      <c r="X240" s="37"/>
      <c r="Y240" s="37"/>
      <c r="Z240" s="37"/>
      <c r="AA240" s="37"/>
      <c r="AB240" s="37"/>
      <c r="AC240" s="37"/>
      <c r="AD240" s="37"/>
      <c r="AE240" s="37"/>
      <c r="AF240" s="37"/>
      <c r="AG240" s="37"/>
      <c r="AH240" s="37"/>
      <c r="BO240" s="34"/>
      <c r="CW240" s="986"/>
      <c r="CX240" s="991"/>
      <c r="CY240" s="923"/>
    </row>
    <row r="241" spans="1:103" hidden="1" x14ac:dyDescent="0.2">
      <c r="A241" s="1076">
        <f t="shared" si="233"/>
        <v>0.19</v>
      </c>
      <c r="B241" s="71">
        <f t="shared" si="230"/>
        <v>0.19</v>
      </c>
      <c r="C241" s="72" t="str">
        <f t="shared" si="231"/>
        <v>Telefon, Fax, Internet, Porto</v>
      </c>
      <c r="D241" s="168">
        <f t="shared" si="234"/>
        <v>0</v>
      </c>
      <c r="E241" s="168">
        <f t="shared" si="232"/>
        <v>0</v>
      </c>
      <c r="F241" s="168">
        <f t="shared" si="232"/>
        <v>0</v>
      </c>
      <c r="G241" s="168">
        <f t="shared" si="232"/>
        <v>0</v>
      </c>
      <c r="H241" s="168">
        <f t="shared" si="232"/>
        <v>0</v>
      </c>
      <c r="I241" s="144"/>
      <c r="J241" s="34"/>
      <c r="K241" s="34"/>
      <c r="L241" s="34"/>
      <c r="M241" s="34"/>
      <c r="N241" s="34"/>
      <c r="O241" s="34"/>
      <c r="P241" s="34"/>
      <c r="Q241" s="34"/>
      <c r="S241" s="34"/>
      <c r="U241" s="34"/>
      <c r="V241" s="37"/>
      <c r="W241" s="37"/>
      <c r="X241" s="37"/>
      <c r="Y241" s="37"/>
      <c r="Z241" s="37"/>
      <c r="AA241" s="37"/>
      <c r="AB241" s="37"/>
      <c r="AC241" s="37"/>
      <c r="AD241" s="37"/>
      <c r="AE241" s="37"/>
      <c r="AF241" s="37"/>
      <c r="AG241" s="37"/>
      <c r="AH241" s="37"/>
      <c r="BO241" s="34"/>
      <c r="CW241" s="986"/>
      <c r="CX241" s="991"/>
      <c r="CY241" s="923"/>
    </row>
    <row r="242" spans="1:103" hidden="1" x14ac:dyDescent="0.2">
      <c r="A242" s="1076">
        <f t="shared" si="233"/>
        <v>0.19</v>
      </c>
      <c r="B242" s="71">
        <f t="shared" si="230"/>
        <v>0.19</v>
      </c>
      <c r="C242" s="72" t="str">
        <f t="shared" si="231"/>
        <v>Geringw. Wirtschaftsgüter (Büromöbel, Einrichtungen,...)</v>
      </c>
      <c r="D242" s="168">
        <f t="shared" si="234"/>
        <v>0</v>
      </c>
      <c r="E242" s="168">
        <f t="shared" si="232"/>
        <v>0</v>
      </c>
      <c r="F242" s="168">
        <f t="shared" si="232"/>
        <v>0</v>
      </c>
      <c r="G242" s="168">
        <f t="shared" si="232"/>
        <v>0</v>
      </c>
      <c r="H242" s="168">
        <f t="shared" si="232"/>
        <v>0</v>
      </c>
      <c r="I242" s="144"/>
      <c r="J242" s="34"/>
      <c r="K242" s="34"/>
      <c r="L242" s="34"/>
      <c r="M242" s="34"/>
      <c r="N242" s="34"/>
      <c r="O242" s="34"/>
      <c r="P242" s="34"/>
      <c r="Q242" s="34"/>
      <c r="S242" s="34"/>
      <c r="U242" s="34"/>
      <c r="V242" s="37"/>
      <c r="W242" s="37"/>
      <c r="X242" s="37"/>
      <c r="Y242" s="37"/>
      <c r="Z242" s="37"/>
      <c r="AA242" s="37"/>
      <c r="AB242" s="37"/>
      <c r="AC242" s="37"/>
      <c r="AD242" s="37"/>
      <c r="AE242" s="37"/>
      <c r="AF242" s="37"/>
      <c r="AG242" s="37"/>
      <c r="AH242" s="37"/>
      <c r="BO242" s="34"/>
      <c r="CW242" s="986"/>
      <c r="CX242" s="991"/>
      <c r="CY242" s="923"/>
    </row>
    <row r="243" spans="1:103" hidden="1" x14ac:dyDescent="0.2">
      <c r="A243" s="1076">
        <f t="shared" si="233"/>
        <v>0.19</v>
      </c>
      <c r="B243" s="71">
        <f t="shared" si="230"/>
        <v>0.19</v>
      </c>
      <c r="C243" s="72" t="str">
        <f t="shared" si="231"/>
        <v>IT (Lizenzen, Windows, Office, Wartung)</v>
      </c>
      <c r="D243" s="168">
        <f t="shared" si="234"/>
        <v>0</v>
      </c>
      <c r="E243" s="168">
        <f t="shared" si="232"/>
        <v>0</v>
      </c>
      <c r="F243" s="168">
        <f t="shared" si="232"/>
        <v>0</v>
      </c>
      <c r="G243" s="168">
        <f t="shared" si="232"/>
        <v>0</v>
      </c>
      <c r="H243" s="168">
        <f t="shared" si="232"/>
        <v>0</v>
      </c>
      <c r="I243" s="144"/>
      <c r="J243" s="34"/>
      <c r="K243" s="34"/>
      <c r="L243" s="34"/>
      <c r="M243" s="34"/>
      <c r="N243" s="34"/>
      <c r="O243" s="34"/>
      <c r="P243" s="34"/>
      <c r="Q243" s="34"/>
      <c r="S243" s="34"/>
      <c r="U243" s="34"/>
      <c r="V243" s="37"/>
      <c r="W243" s="37"/>
      <c r="X243" s="37"/>
      <c r="Y243" s="37"/>
      <c r="Z243" s="37"/>
      <c r="AA243" s="37"/>
      <c r="AB243" s="37"/>
      <c r="AC243" s="37"/>
      <c r="AD243" s="37"/>
      <c r="AE243" s="37"/>
      <c r="AF243" s="37"/>
      <c r="AG243" s="37"/>
      <c r="AH243" s="37"/>
      <c r="BO243" s="34"/>
      <c r="CW243" s="986"/>
      <c r="CX243" s="991"/>
      <c r="CY243" s="923"/>
    </row>
    <row r="244" spans="1:103" hidden="1" x14ac:dyDescent="0.2">
      <c r="A244" s="1076">
        <f t="shared" si="233"/>
        <v>0.19</v>
      </c>
      <c r="B244" s="71">
        <f t="shared" si="230"/>
        <v>0.19</v>
      </c>
      <c r="C244" s="72" t="str">
        <f t="shared" si="231"/>
        <v>Studio-/ Büro-Miete inkl. Nebenkosten</v>
      </c>
      <c r="D244" s="935">
        <f t="shared" si="234"/>
        <v>0</v>
      </c>
      <c r="E244" s="168">
        <f t="shared" si="232"/>
        <v>0</v>
      </c>
      <c r="F244" s="168">
        <f t="shared" si="232"/>
        <v>0</v>
      </c>
      <c r="G244" s="168">
        <f t="shared" si="232"/>
        <v>0</v>
      </c>
      <c r="H244" s="168">
        <f t="shared" si="232"/>
        <v>0</v>
      </c>
      <c r="I244" s="144"/>
      <c r="J244" s="34"/>
      <c r="K244" s="34"/>
      <c r="L244" s="34"/>
      <c r="M244" s="34"/>
      <c r="N244" s="34"/>
      <c r="O244" s="34"/>
      <c r="P244" s="34"/>
      <c r="Q244" s="34"/>
      <c r="S244" s="34"/>
      <c r="U244" s="34"/>
      <c r="V244" s="37"/>
      <c r="W244" s="37"/>
      <c r="X244" s="37"/>
      <c r="Y244" s="37"/>
      <c r="Z244" s="37"/>
      <c r="AA244" s="37"/>
      <c r="AB244" s="37"/>
      <c r="AC244" s="37"/>
      <c r="AD244" s="37"/>
      <c r="AE244" s="37"/>
      <c r="AF244" s="37"/>
      <c r="AG244" s="37"/>
      <c r="AH244" s="37"/>
      <c r="BO244" s="34"/>
      <c r="CW244" s="986"/>
      <c r="CX244" s="991"/>
      <c r="CY244" s="923"/>
    </row>
    <row r="245" spans="1:103" hidden="1" x14ac:dyDescent="0.2">
      <c r="A245" s="1076"/>
      <c r="B245" s="80"/>
      <c r="C245" s="81" t="str">
        <f t="shared" si="231"/>
        <v>Summe Bürokosten</v>
      </c>
      <c r="D245" s="163">
        <f t="shared" si="234"/>
        <v>0</v>
      </c>
      <c r="E245" s="163">
        <f>SUM(E239:E244)</f>
        <v>0</v>
      </c>
      <c r="F245" s="163">
        <f>SUM(F239:F244)</f>
        <v>0</v>
      </c>
      <c r="G245" s="163">
        <f>SUM(G239:G244)</f>
        <v>0</v>
      </c>
      <c r="H245" s="163">
        <f>SUM(H239:H244)</f>
        <v>0</v>
      </c>
      <c r="I245" s="144"/>
      <c r="J245" s="34"/>
      <c r="K245" s="34"/>
      <c r="L245" s="34"/>
      <c r="M245" s="34"/>
      <c r="N245" s="34"/>
      <c r="O245" s="34"/>
      <c r="P245" s="34"/>
      <c r="Q245" s="34"/>
      <c r="S245" s="34"/>
      <c r="U245" s="34"/>
      <c r="V245" s="37"/>
      <c r="W245" s="37"/>
      <c r="X245" s="37"/>
      <c r="Y245" s="37"/>
      <c r="Z245" s="37"/>
      <c r="AA245" s="37"/>
      <c r="AB245" s="37"/>
      <c r="AC245" s="37"/>
      <c r="AD245" s="37"/>
      <c r="AE245" s="37"/>
      <c r="AF245" s="37"/>
      <c r="AG245" s="37"/>
      <c r="AH245" s="37"/>
      <c r="BO245" s="34"/>
      <c r="CW245" s="986"/>
      <c r="CX245" s="991"/>
      <c r="CY245" s="923"/>
    </row>
    <row r="246" spans="1:103" hidden="1" x14ac:dyDescent="0.2">
      <c r="A246" s="1076"/>
      <c r="B246" s="188">
        <v>2</v>
      </c>
      <c r="C246" s="87" t="str">
        <f t="shared" si="231"/>
        <v>Produktionskosten</v>
      </c>
      <c r="D246" s="88"/>
      <c r="E246" s="88"/>
      <c r="F246" s="88"/>
      <c r="G246" s="88"/>
      <c r="H246" s="88"/>
      <c r="I246" s="144"/>
      <c r="J246" s="34"/>
      <c r="K246" s="34"/>
      <c r="L246" s="34"/>
      <c r="M246" s="34"/>
      <c r="N246" s="34"/>
      <c r="O246" s="34"/>
      <c r="P246" s="34"/>
      <c r="Q246" s="34"/>
      <c r="S246" s="34"/>
      <c r="U246" s="34"/>
      <c r="V246" s="37"/>
      <c r="W246" s="37"/>
      <c r="X246" s="37"/>
      <c r="Y246" s="37"/>
      <c r="Z246" s="37"/>
      <c r="AA246" s="37"/>
      <c r="AB246" s="37"/>
      <c r="AC246" s="37"/>
      <c r="AD246" s="37"/>
      <c r="AE246" s="37"/>
      <c r="AF246" s="37"/>
      <c r="AG246" s="37"/>
      <c r="AH246" s="37"/>
      <c r="BO246" s="34"/>
      <c r="CW246" s="986"/>
      <c r="CX246" s="991"/>
      <c r="CY246" s="967"/>
    </row>
    <row r="247" spans="1:103" hidden="1" x14ac:dyDescent="0.2">
      <c r="A247" s="1076">
        <f t="shared" si="233"/>
        <v>0.19</v>
      </c>
      <c r="B247" s="71">
        <f t="shared" ref="B247:B254" si="235">A15</f>
        <v>0.19</v>
      </c>
      <c r="C247" s="72" t="str">
        <f t="shared" si="231"/>
        <v>Raummiete</v>
      </c>
      <c r="D247" s="168">
        <f t="shared" si="234"/>
        <v>0</v>
      </c>
      <c r="E247" s="168">
        <f t="shared" ref="E247:H254" si="236">E91*POWER((1+$A91),$D$167)</f>
        <v>0</v>
      </c>
      <c r="F247" s="168">
        <f t="shared" si="236"/>
        <v>0</v>
      </c>
      <c r="G247" s="168">
        <f t="shared" si="236"/>
        <v>0</v>
      </c>
      <c r="H247" s="168">
        <f t="shared" si="236"/>
        <v>0</v>
      </c>
      <c r="I247" s="144"/>
      <c r="J247" s="34"/>
      <c r="K247" s="34"/>
      <c r="L247" s="34"/>
      <c r="M247" s="34"/>
      <c r="N247" s="34"/>
      <c r="O247" s="34"/>
      <c r="P247" s="34"/>
      <c r="Q247" s="34"/>
      <c r="S247" s="34"/>
      <c r="U247" s="34"/>
      <c r="V247" s="37"/>
      <c r="W247" s="37"/>
      <c r="X247" s="37"/>
      <c r="Y247" s="37"/>
      <c r="Z247" s="37"/>
      <c r="AA247" s="37"/>
      <c r="AB247" s="37"/>
      <c r="AC247" s="37"/>
      <c r="AD247" s="37"/>
      <c r="AE247" s="37"/>
      <c r="AF247" s="37"/>
      <c r="AG247" s="37"/>
      <c r="AH247" s="37"/>
      <c r="BO247" s="34"/>
      <c r="CW247" s="986"/>
      <c r="CX247" s="991"/>
      <c r="CY247" s="923"/>
    </row>
    <row r="248" spans="1:103" hidden="1" x14ac:dyDescent="0.2">
      <c r="A248" s="1076">
        <f t="shared" si="233"/>
        <v>0.19</v>
      </c>
      <c r="B248" s="71">
        <f t="shared" si="235"/>
        <v>0.19</v>
      </c>
      <c r="C248" s="72" t="str">
        <f t="shared" si="231"/>
        <v>Strom, Wasser, Heizung, sonst. Nebenkosten</v>
      </c>
      <c r="D248" s="168">
        <f t="shared" si="234"/>
        <v>0</v>
      </c>
      <c r="E248" s="168">
        <f t="shared" si="236"/>
        <v>0</v>
      </c>
      <c r="F248" s="168">
        <f t="shared" si="236"/>
        <v>0</v>
      </c>
      <c r="G248" s="168">
        <f t="shared" si="236"/>
        <v>0</v>
      </c>
      <c r="H248" s="168">
        <f t="shared" si="236"/>
        <v>0</v>
      </c>
      <c r="I248" s="144"/>
      <c r="J248" s="34"/>
      <c r="K248" s="34"/>
      <c r="L248" s="34"/>
      <c r="M248" s="34"/>
      <c r="N248" s="34"/>
      <c r="O248" s="34"/>
      <c r="P248" s="34"/>
      <c r="Q248" s="34"/>
      <c r="S248" s="34"/>
      <c r="U248" s="34"/>
      <c r="V248" s="37"/>
      <c r="W248" s="37"/>
      <c r="X248" s="37"/>
      <c r="Y248" s="37"/>
      <c r="Z248" s="37"/>
      <c r="AA248" s="37"/>
      <c r="AB248" s="37"/>
      <c r="AC248" s="37"/>
      <c r="AD248" s="37"/>
      <c r="AE248" s="37"/>
      <c r="AF248" s="37"/>
      <c r="AG248" s="37"/>
      <c r="AH248" s="37"/>
      <c r="BO248" s="34"/>
      <c r="CW248" s="986"/>
      <c r="CX248" s="991"/>
      <c r="CY248" s="923"/>
    </row>
    <row r="249" spans="1:103" hidden="1" x14ac:dyDescent="0.2">
      <c r="A249" s="1076">
        <f t="shared" si="233"/>
        <v>0.19</v>
      </c>
      <c r="B249" s="71">
        <f t="shared" si="235"/>
        <v>0.19</v>
      </c>
      <c r="C249" s="72" t="str">
        <f t="shared" si="231"/>
        <v>Materialaufwand zur Produktion (19%)</v>
      </c>
      <c r="D249" s="168">
        <f t="shared" si="234"/>
        <v>0</v>
      </c>
      <c r="E249" s="168">
        <f t="shared" si="236"/>
        <v>0</v>
      </c>
      <c r="F249" s="168">
        <f t="shared" si="236"/>
        <v>0</v>
      </c>
      <c r="G249" s="168">
        <f t="shared" si="236"/>
        <v>0</v>
      </c>
      <c r="H249" s="168">
        <f t="shared" si="236"/>
        <v>0</v>
      </c>
      <c r="I249" s="144"/>
      <c r="J249" s="34"/>
      <c r="K249" s="34"/>
      <c r="L249" s="34"/>
      <c r="M249" s="34"/>
      <c r="N249" s="34"/>
      <c r="O249" s="34"/>
      <c r="P249" s="34"/>
      <c r="Q249" s="34"/>
      <c r="S249" s="34"/>
      <c r="U249" s="34"/>
      <c r="V249" s="37"/>
      <c r="W249" s="37"/>
      <c r="X249" s="37"/>
      <c r="Y249" s="37"/>
      <c r="Z249" s="37"/>
      <c r="AA249" s="37"/>
      <c r="AB249" s="37"/>
      <c r="AC249" s="37"/>
      <c r="AD249" s="37"/>
      <c r="AE249" s="37"/>
      <c r="AF249" s="37"/>
      <c r="AG249" s="37"/>
      <c r="AH249" s="37"/>
      <c r="BO249" s="34"/>
      <c r="CW249" s="986"/>
      <c r="CX249" s="991"/>
      <c r="CY249" s="923"/>
    </row>
    <row r="250" spans="1:103" hidden="1" x14ac:dyDescent="0.2">
      <c r="A250" s="1076">
        <f t="shared" si="233"/>
        <v>7.0000000000000007E-2</v>
      </c>
      <c r="B250" s="71">
        <f t="shared" si="235"/>
        <v>7.0000000000000007E-2</v>
      </c>
      <c r="C250" s="72" t="str">
        <f t="shared" si="231"/>
        <v>Materialaufwand zur Produktion (7%)</v>
      </c>
      <c r="D250" s="168">
        <f t="shared" si="234"/>
        <v>0</v>
      </c>
      <c r="E250" s="168">
        <f t="shared" si="236"/>
        <v>0</v>
      </c>
      <c r="F250" s="168">
        <f t="shared" si="236"/>
        <v>0</v>
      </c>
      <c r="G250" s="168">
        <f t="shared" si="236"/>
        <v>0</v>
      </c>
      <c r="H250" s="168">
        <f t="shared" si="236"/>
        <v>0</v>
      </c>
      <c r="I250" s="144"/>
      <c r="J250" s="34"/>
      <c r="K250" s="34"/>
      <c r="L250" s="34"/>
      <c r="M250" s="34"/>
      <c r="N250" s="34"/>
      <c r="O250" s="34"/>
      <c r="P250" s="34"/>
      <c r="Q250" s="34"/>
      <c r="S250" s="34"/>
      <c r="U250" s="34"/>
      <c r="V250" s="37"/>
      <c r="W250" s="37"/>
      <c r="X250" s="37"/>
      <c r="Y250" s="37"/>
      <c r="Z250" s="37"/>
      <c r="AA250" s="37"/>
      <c r="AB250" s="37"/>
      <c r="AC250" s="37"/>
      <c r="AD250" s="37"/>
      <c r="AE250" s="37"/>
      <c r="AF250" s="37"/>
      <c r="AG250" s="37"/>
      <c r="AH250" s="37"/>
      <c r="BO250" s="34"/>
      <c r="CW250" s="986"/>
      <c r="CX250" s="991"/>
      <c r="CY250" s="923"/>
    </row>
    <row r="251" spans="1:103" hidden="1" x14ac:dyDescent="0.2">
      <c r="A251" s="1076">
        <f t="shared" si="233"/>
        <v>0.19</v>
      </c>
      <c r="B251" s="71">
        <f t="shared" si="235"/>
        <v>0.19</v>
      </c>
      <c r="C251" s="72" t="str">
        <f t="shared" si="231"/>
        <v>Produktionsbedarf, geringwertige Wirtschaftsgüter</v>
      </c>
      <c r="D251" s="168">
        <f t="shared" si="234"/>
        <v>0</v>
      </c>
      <c r="E251" s="168">
        <f t="shared" si="236"/>
        <v>0</v>
      </c>
      <c r="F251" s="168">
        <f t="shared" si="236"/>
        <v>0</v>
      </c>
      <c r="G251" s="168">
        <f t="shared" si="236"/>
        <v>0</v>
      </c>
      <c r="H251" s="168">
        <f t="shared" si="236"/>
        <v>0</v>
      </c>
      <c r="I251" s="144"/>
      <c r="J251" s="34"/>
      <c r="K251" s="34"/>
      <c r="L251" s="34"/>
      <c r="M251" s="34"/>
      <c r="N251" s="34"/>
      <c r="O251" s="34"/>
      <c r="P251" s="34"/>
      <c r="Q251" s="34"/>
      <c r="S251" s="34"/>
      <c r="U251" s="34"/>
      <c r="V251" s="37"/>
      <c r="W251" s="37"/>
      <c r="X251" s="37"/>
      <c r="Y251" s="37"/>
      <c r="Z251" s="37"/>
      <c r="AA251" s="37"/>
      <c r="AB251" s="37"/>
      <c r="AC251" s="37"/>
      <c r="AD251" s="37"/>
      <c r="AE251" s="37"/>
      <c r="AF251" s="37"/>
      <c r="AG251" s="37"/>
      <c r="AH251" s="37"/>
      <c r="BO251" s="34"/>
      <c r="CW251" s="986"/>
      <c r="CX251" s="991"/>
      <c r="CY251" s="923"/>
    </row>
    <row r="252" spans="1:103" hidden="1" x14ac:dyDescent="0.2">
      <c r="A252" s="1076">
        <f t="shared" si="233"/>
        <v>0.19</v>
      </c>
      <c r="B252" s="71">
        <f t="shared" si="235"/>
        <v>0.19</v>
      </c>
      <c r="C252" s="72" t="str">
        <f t="shared" si="231"/>
        <v>Leasingraten für Produktionsanlagen, -maschinen</v>
      </c>
      <c r="D252" s="168">
        <f t="shared" si="234"/>
        <v>0</v>
      </c>
      <c r="E252" s="168">
        <f t="shared" si="236"/>
        <v>0</v>
      </c>
      <c r="F252" s="168">
        <f t="shared" si="236"/>
        <v>0</v>
      </c>
      <c r="G252" s="168">
        <f t="shared" si="236"/>
        <v>0</v>
      </c>
      <c r="H252" s="168">
        <f t="shared" si="236"/>
        <v>0</v>
      </c>
      <c r="I252" s="144"/>
      <c r="J252" s="34"/>
      <c r="K252" s="34"/>
      <c r="L252" s="34"/>
      <c r="M252" s="34"/>
      <c r="N252" s="34"/>
      <c r="O252" s="34"/>
      <c r="P252" s="34"/>
      <c r="Q252" s="34"/>
      <c r="S252" s="34"/>
      <c r="U252" s="34"/>
      <c r="V252" s="37"/>
      <c r="W252" s="37"/>
      <c r="X252" s="37"/>
      <c r="Y252" s="37"/>
      <c r="Z252" s="37"/>
      <c r="AA252" s="37"/>
      <c r="AB252" s="37"/>
      <c r="AC252" s="37"/>
      <c r="AD252" s="37"/>
      <c r="AE252" s="37"/>
      <c r="AF252" s="37"/>
      <c r="AG252" s="37"/>
      <c r="AH252" s="37"/>
      <c r="BO252" s="34"/>
      <c r="CW252" s="986"/>
      <c r="CX252" s="991"/>
      <c r="CY252" s="967"/>
    </row>
    <row r="253" spans="1:103" hidden="1" x14ac:dyDescent="0.2">
      <c r="A253" s="1076">
        <f t="shared" si="233"/>
        <v>0.19</v>
      </c>
      <c r="B253" s="71">
        <f t="shared" si="235"/>
        <v>0.19</v>
      </c>
      <c r="C253" s="72" t="str">
        <f t="shared" si="231"/>
        <v>Instandhaltung und Reparaturen</v>
      </c>
      <c r="D253" s="168">
        <f t="shared" si="234"/>
        <v>0</v>
      </c>
      <c r="E253" s="168">
        <f t="shared" si="236"/>
        <v>0</v>
      </c>
      <c r="F253" s="168">
        <f t="shared" si="236"/>
        <v>0</v>
      </c>
      <c r="G253" s="168">
        <f t="shared" si="236"/>
        <v>0</v>
      </c>
      <c r="H253" s="168">
        <f t="shared" si="236"/>
        <v>0</v>
      </c>
      <c r="I253" s="144"/>
      <c r="J253" s="34"/>
      <c r="K253" s="34"/>
      <c r="L253" s="34"/>
      <c r="M253" s="34"/>
      <c r="N253" s="34"/>
      <c r="O253" s="34"/>
      <c r="P253" s="34"/>
      <c r="Q253" s="34"/>
      <c r="S253" s="34"/>
      <c r="U253" s="34"/>
      <c r="V253" s="37"/>
      <c r="W253" s="37"/>
      <c r="X253" s="37"/>
      <c r="Y253" s="37"/>
      <c r="Z253" s="37"/>
      <c r="AA253" s="37"/>
      <c r="AB253" s="37"/>
      <c r="AC253" s="37"/>
      <c r="AD253" s="37"/>
      <c r="AE253" s="37"/>
      <c r="AF253" s="37"/>
      <c r="AG253" s="37"/>
      <c r="AH253" s="37"/>
      <c r="BO253" s="34"/>
      <c r="CW253" s="986"/>
      <c r="CX253" s="991"/>
      <c r="CY253" s="923"/>
    </row>
    <row r="254" spans="1:103" hidden="1" x14ac:dyDescent="0.2">
      <c r="A254" s="1076">
        <f t="shared" si="233"/>
        <v>0.19</v>
      </c>
      <c r="B254" s="71">
        <f t="shared" si="235"/>
        <v>0.19</v>
      </c>
      <c r="C254" s="72" t="str">
        <f t="shared" si="231"/>
        <v>Verbrauchsmaterialien Studio  5.000 Euro, Büro 2000</v>
      </c>
      <c r="D254" s="935">
        <f t="shared" si="234"/>
        <v>0</v>
      </c>
      <c r="E254" s="168">
        <f t="shared" si="236"/>
        <v>0</v>
      </c>
      <c r="F254" s="168">
        <f t="shared" si="236"/>
        <v>0</v>
      </c>
      <c r="G254" s="168">
        <f t="shared" si="236"/>
        <v>0</v>
      </c>
      <c r="H254" s="168">
        <f t="shared" si="236"/>
        <v>0</v>
      </c>
      <c r="I254" s="144"/>
      <c r="J254" s="34"/>
      <c r="K254" s="34"/>
      <c r="L254" s="34"/>
      <c r="M254" s="34"/>
      <c r="N254" s="34"/>
      <c r="O254" s="34"/>
      <c r="P254" s="34"/>
      <c r="Q254" s="34"/>
      <c r="S254" s="34"/>
      <c r="U254" s="34"/>
      <c r="V254" s="37"/>
      <c r="W254" s="37"/>
      <c r="X254" s="37"/>
      <c r="Y254" s="37"/>
      <c r="Z254" s="37"/>
      <c r="AA254" s="37"/>
      <c r="AB254" s="37"/>
      <c r="AC254" s="37"/>
      <c r="AD254" s="37"/>
      <c r="AE254" s="37"/>
      <c r="AF254" s="37"/>
      <c r="AG254" s="37"/>
      <c r="AH254" s="37"/>
      <c r="BO254" s="34"/>
      <c r="CW254" s="986"/>
      <c r="CX254" s="991"/>
      <c r="CY254" s="923"/>
    </row>
    <row r="255" spans="1:103" hidden="1" x14ac:dyDescent="0.2">
      <c r="A255" s="1076"/>
      <c r="B255" s="80">
        <v>4</v>
      </c>
      <c r="C255" s="97" t="str">
        <f t="shared" si="231"/>
        <v>Summe Produktionskosten</v>
      </c>
      <c r="D255" s="163">
        <f t="shared" si="234"/>
        <v>0</v>
      </c>
      <c r="E255" s="163">
        <f>SUM(E247:E254)</f>
        <v>0</v>
      </c>
      <c r="F255" s="163">
        <f>SUM(F247:F254)</f>
        <v>0</v>
      </c>
      <c r="G255" s="163">
        <f>SUM(G247:G254)</f>
        <v>0</v>
      </c>
      <c r="H255" s="163">
        <f>SUM(H247:H254)</f>
        <v>0</v>
      </c>
      <c r="I255" s="144"/>
      <c r="J255" s="34"/>
      <c r="K255" s="34"/>
      <c r="L255" s="34"/>
      <c r="M255" s="34"/>
      <c r="N255" s="34"/>
      <c r="O255" s="34"/>
      <c r="P255" s="34"/>
      <c r="Q255" s="34"/>
      <c r="S255" s="34"/>
      <c r="U255" s="34"/>
      <c r="V255" s="37"/>
      <c r="W255" s="37"/>
      <c r="X255" s="37"/>
      <c r="Y255" s="37"/>
      <c r="Z255" s="37"/>
      <c r="AA255" s="37"/>
      <c r="AB255" s="37"/>
      <c r="AC255" s="37"/>
      <c r="AD255" s="37"/>
      <c r="AE255" s="37"/>
      <c r="AF255" s="37"/>
      <c r="AG255" s="37"/>
      <c r="AH255" s="37"/>
      <c r="BO255" s="34"/>
      <c r="CW255" s="986"/>
      <c r="CX255" s="991"/>
      <c r="CY255" s="967"/>
    </row>
    <row r="256" spans="1:103" hidden="1" x14ac:dyDescent="0.2">
      <c r="A256" s="1076"/>
      <c r="B256" s="188">
        <f>A29</f>
        <v>0.19</v>
      </c>
      <c r="C256" s="87" t="str">
        <f t="shared" si="231"/>
        <v>Personalkosten (nur Angestellte)</v>
      </c>
      <c r="D256" s="88"/>
      <c r="E256" s="88"/>
      <c r="F256" s="88"/>
      <c r="G256" s="88"/>
      <c r="H256" s="88"/>
      <c r="I256" s="144"/>
      <c r="J256" s="34"/>
      <c r="K256" s="34"/>
      <c r="L256" s="34"/>
      <c r="M256" s="34"/>
      <c r="N256" s="34"/>
      <c r="O256" s="34"/>
      <c r="P256" s="34"/>
      <c r="Q256" s="34"/>
      <c r="S256" s="34"/>
      <c r="U256" s="34"/>
      <c r="V256" s="37"/>
      <c r="W256" s="37"/>
      <c r="X256" s="37"/>
      <c r="Y256" s="37"/>
      <c r="Z256" s="37"/>
      <c r="AA256" s="37"/>
      <c r="AB256" s="37"/>
      <c r="AC256" s="37"/>
      <c r="AD256" s="37"/>
      <c r="AE256" s="37"/>
      <c r="AF256" s="37"/>
      <c r="AG256" s="37"/>
      <c r="AH256" s="37"/>
      <c r="BO256" s="34"/>
      <c r="CW256" s="986"/>
      <c r="CX256" s="991"/>
      <c r="CY256" s="923"/>
    </row>
    <row r="257" spans="1:103" hidden="1" x14ac:dyDescent="0.2">
      <c r="A257" s="1076">
        <f t="shared" si="233"/>
        <v>0</v>
      </c>
      <c r="B257" s="71">
        <f>A25</f>
        <v>0</v>
      </c>
      <c r="C257" s="72" t="str">
        <f t="shared" si="231"/>
        <v>Löhne, Gehälter mit Nebenkosten (s. Nebenrechnung)</v>
      </c>
      <c r="D257" s="168">
        <f t="shared" si="234"/>
        <v>0</v>
      </c>
      <c r="E257" s="168">
        <f t="shared" ref="E257:H258" si="237">E101*POWER((1+$A101),$D$167)</f>
        <v>0</v>
      </c>
      <c r="F257" s="168">
        <f t="shared" si="237"/>
        <v>0</v>
      </c>
      <c r="G257" s="168">
        <f t="shared" si="237"/>
        <v>0</v>
      </c>
      <c r="H257" s="168">
        <f t="shared" si="237"/>
        <v>0</v>
      </c>
      <c r="I257" s="144"/>
      <c r="J257" s="34"/>
      <c r="K257" s="34"/>
      <c r="L257" s="34"/>
      <c r="M257" s="34"/>
      <c r="N257" s="34"/>
      <c r="O257" s="34"/>
      <c r="P257" s="34"/>
      <c r="Q257" s="34"/>
      <c r="S257" s="34"/>
      <c r="U257" s="34"/>
      <c r="V257" s="37"/>
      <c r="W257" s="37"/>
      <c r="X257" s="37"/>
      <c r="Y257" s="37"/>
      <c r="Z257" s="37"/>
      <c r="AA257" s="37"/>
      <c r="AB257" s="37"/>
      <c r="AC257" s="37"/>
      <c r="AD257" s="37"/>
      <c r="AE257" s="37"/>
      <c r="AF257" s="37"/>
      <c r="AG257" s="37"/>
      <c r="AH257" s="37"/>
      <c r="BO257" s="34"/>
      <c r="CW257" s="986"/>
      <c r="CX257" s="991"/>
      <c r="CY257" s="923"/>
    </row>
    <row r="258" spans="1:103" hidden="1" x14ac:dyDescent="0.2">
      <c r="A258" s="1076">
        <f t="shared" si="233"/>
        <v>0.19</v>
      </c>
      <c r="B258" s="71">
        <f>A26</f>
        <v>0.19</v>
      </c>
      <c r="C258" s="158" t="str">
        <f t="shared" si="231"/>
        <v>Sonstiges</v>
      </c>
      <c r="D258" s="935">
        <f t="shared" si="234"/>
        <v>0</v>
      </c>
      <c r="E258" s="168">
        <f t="shared" si="237"/>
        <v>0</v>
      </c>
      <c r="F258" s="168">
        <f t="shared" si="237"/>
        <v>0</v>
      </c>
      <c r="G258" s="168">
        <f t="shared" si="237"/>
        <v>0</v>
      </c>
      <c r="H258" s="168">
        <f t="shared" si="237"/>
        <v>0</v>
      </c>
      <c r="I258" s="144"/>
      <c r="J258" s="34"/>
      <c r="K258" s="34"/>
      <c r="L258" s="34"/>
      <c r="M258" s="34"/>
      <c r="N258" s="34"/>
      <c r="O258" s="34"/>
      <c r="P258" s="34"/>
      <c r="Q258" s="34"/>
      <c r="S258" s="34"/>
      <c r="U258" s="34"/>
      <c r="V258" s="37"/>
      <c r="W258" s="37"/>
      <c r="X258" s="37"/>
      <c r="Y258" s="37"/>
      <c r="Z258" s="37"/>
      <c r="AA258" s="37"/>
      <c r="AB258" s="37"/>
      <c r="AC258" s="37"/>
      <c r="AD258" s="37"/>
      <c r="AE258" s="37"/>
      <c r="AF258" s="37"/>
      <c r="AG258" s="37"/>
      <c r="AH258" s="37"/>
      <c r="BO258" s="34"/>
      <c r="CW258" s="986"/>
      <c r="CX258" s="991"/>
      <c r="CY258" s="923"/>
    </row>
    <row r="259" spans="1:103" hidden="1" x14ac:dyDescent="0.2">
      <c r="A259" s="1076"/>
      <c r="B259" s="80">
        <f>A32</f>
        <v>0.19</v>
      </c>
      <c r="C259" s="97" t="str">
        <f t="shared" si="231"/>
        <v>Summe Personalkosten</v>
      </c>
      <c r="D259" s="163">
        <f t="shared" si="234"/>
        <v>0</v>
      </c>
      <c r="E259" s="163">
        <f>SUM(E257:E258)</f>
        <v>0</v>
      </c>
      <c r="F259" s="163">
        <f>SUM(F257:F258)</f>
        <v>0</v>
      </c>
      <c r="G259" s="163">
        <f>SUM(G257:G258)</f>
        <v>0</v>
      </c>
      <c r="H259" s="163">
        <f>SUM(H257:H258)</f>
        <v>0</v>
      </c>
      <c r="I259" s="144"/>
      <c r="J259" s="34"/>
      <c r="K259" s="34"/>
      <c r="L259" s="34"/>
      <c r="M259" s="34"/>
      <c r="N259" s="34"/>
      <c r="O259" s="34"/>
      <c r="P259" s="34"/>
      <c r="Q259" s="34"/>
      <c r="S259" s="34"/>
      <c r="U259" s="34"/>
      <c r="V259" s="37"/>
      <c r="W259" s="37"/>
      <c r="X259" s="37"/>
      <c r="Y259" s="37"/>
      <c r="Z259" s="37"/>
      <c r="AA259" s="37"/>
      <c r="AB259" s="37"/>
      <c r="AC259" s="37"/>
      <c r="AD259" s="37"/>
      <c r="AE259" s="37"/>
      <c r="AF259" s="37"/>
      <c r="AG259" s="37"/>
      <c r="AH259" s="37"/>
      <c r="BO259" s="34"/>
      <c r="CW259" s="986"/>
      <c r="CX259" s="991"/>
      <c r="CY259" s="923"/>
    </row>
    <row r="260" spans="1:103" hidden="1" x14ac:dyDescent="0.2">
      <c r="A260" s="1076"/>
      <c r="B260" s="188"/>
      <c r="C260" s="87" t="str">
        <f t="shared" si="231"/>
        <v>Reisekosten</v>
      </c>
      <c r="D260" s="88"/>
      <c r="E260" s="88"/>
      <c r="F260" s="88"/>
      <c r="G260" s="88"/>
      <c r="H260" s="88"/>
      <c r="I260" s="144"/>
      <c r="J260" s="34"/>
      <c r="K260" s="34"/>
      <c r="L260" s="34"/>
      <c r="M260" s="34"/>
      <c r="N260" s="34"/>
      <c r="O260" s="34"/>
      <c r="P260" s="34"/>
      <c r="Q260" s="34"/>
      <c r="S260" s="34"/>
      <c r="U260" s="34"/>
      <c r="V260" s="37"/>
      <c r="W260" s="37"/>
      <c r="X260" s="37"/>
      <c r="Y260" s="37"/>
      <c r="Z260" s="37"/>
      <c r="AA260" s="37"/>
      <c r="AB260" s="37"/>
      <c r="AC260" s="37"/>
      <c r="AD260" s="37"/>
      <c r="AE260" s="37"/>
      <c r="AF260" s="37"/>
      <c r="AG260" s="37"/>
      <c r="AH260" s="37"/>
      <c r="BO260" s="34"/>
      <c r="CW260" s="986"/>
      <c r="CX260" s="991"/>
      <c r="CY260" s="923"/>
    </row>
    <row r="261" spans="1:103" hidden="1" x14ac:dyDescent="0.2">
      <c r="A261" s="1076">
        <f t="shared" si="233"/>
        <v>0.19</v>
      </c>
      <c r="B261" s="71">
        <f>A29</f>
        <v>0.19</v>
      </c>
      <c r="C261" s="72" t="str">
        <f t="shared" si="231"/>
        <v>Fahrtkosten</v>
      </c>
      <c r="D261" s="168">
        <f t="shared" si="234"/>
        <v>0</v>
      </c>
      <c r="E261" s="168">
        <f t="shared" ref="E261:H264" si="238">E105*POWER((1+$A105),$D$167)</f>
        <v>0</v>
      </c>
      <c r="F261" s="168">
        <f t="shared" si="238"/>
        <v>0</v>
      </c>
      <c r="G261" s="168">
        <f t="shared" si="238"/>
        <v>0</v>
      </c>
      <c r="H261" s="168">
        <f t="shared" si="238"/>
        <v>0</v>
      </c>
      <c r="I261" s="144"/>
      <c r="J261" s="34"/>
      <c r="K261" s="34"/>
      <c r="L261" s="34"/>
      <c r="M261" s="34"/>
      <c r="N261" s="34"/>
      <c r="O261" s="34"/>
      <c r="P261" s="34"/>
      <c r="Q261" s="34"/>
      <c r="S261" s="34"/>
      <c r="U261" s="34"/>
      <c r="V261" s="37"/>
      <c r="W261" s="37"/>
      <c r="X261" s="37"/>
      <c r="Y261" s="37"/>
      <c r="Z261" s="37"/>
      <c r="AA261" s="37"/>
      <c r="AB261" s="37"/>
      <c r="AC261" s="37"/>
      <c r="AD261" s="37"/>
      <c r="AE261" s="37"/>
      <c r="AF261" s="37"/>
      <c r="AG261" s="37"/>
      <c r="AH261" s="37"/>
      <c r="BO261" s="34"/>
      <c r="CW261" s="986"/>
      <c r="CX261" s="991"/>
      <c r="CY261" s="967"/>
    </row>
    <row r="262" spans="1:103" hidden="1" x14ac:dyDescent="0.2">
      <c r="A262" s="1076">
        <f t="shared" si="233"/>
        <v>0.19</v>
      </c>
      <c r="B262" s="71">
        <f>A30</f>
        <v>0.19</v>
      </c>
      <c r="C262" s="72" t="str">
        <f t="shared" si="231"/>
        <v>Reisekostenpauschalen</v>
      </c>
      <c r="D262" s="168">
        <f t="shared" si="234"/>
        <v>0</v>
      </c>
      <c r="E262" s="168">
        <f t="shared" si="238"/>
        <v>0</v>
      </c>
      <c r="F262" s="168">
        <f t="shared" si="238"/>
        <v>0</v>
      </c>
      <c r="G262" s="168">
        <f t="shared" si="238"/>
        <v>0</v>
      </c>
      <c r="H262" s="168">
        <f t="shared" si="238"/>
        <v>0</v>
      </c>
      <c r="I262" s="144"/>
      <c r="J262" s="34"/>
      <c r="K262" s="34"/>
      <c r="L262" s="34"/>
      <c r="M262" s="34"/>
      <c r="N262" s="34"/>
      <c r="O262" s="34"/>
      <c r="P262" s="34"/>
      <c r="Q262" s="34"/>
      <c r="S262" s="34"/>
      <c r="U262" s="34"/>
      <c r="V262" s="37"/>
      <c r="W262" s="37"/>
      <c r="X262" s="37"/>
      <c r="Y262" s="37"/>
      <c r="Z262" s="37"/>
      <c r="AA262" s="37"/>
      <c r="AB262" s="37"/>
      <c r="AC262" s="37"/>
      <c r="AD262" s="37"/>
      <c r="AE262" s="37"/>
      <c r="AF262" s="37"/>
      <c r="AG262" s="37"/>
      <c r="AH262" s="37"/>
      <c r="BO262" s="34"/>
      <c r="CW262" s="986"/>
      <c r="CX262" s="991"/>
      <c r="CY262" s="923"/>
    </row>
    <row r="263" spans="1:103" hidden="1" x14ac:dyDescent="0.2">
      <c r="A263" s="1076">
        <f t="shared" si="233"/>
        <v>7.0000000000000007E-2</v>
      </c>
      <c r="B263" s="71">
        <f>A31</f>
        <v>7.0000000000000007E-2</v>
      </c>
      <c r="C263" s="72" t="str">
        <f t="shared" si="231"/>
        <v>Übernachtungen</v>
      </c>
      <c r="D263" s="168">
        <f t="shared" si="234"/>
        <v>0</v>
      </c>
      <c r="E263" s="168">
        <f t="shared" si="238"/>
        <v>0</v>
      </c>
      <c r="F263" s="168">
        <f t="shared" si="238"/>
        <v>0</v>
      </c>
      <c r="G263" s="168">
        <f t="shared" si="238"/>
        <v>0</v>
      </c>
      <c r="H263" s="168">
        <f t="shared" si="238"/>
        <v>0</v>
      </c>
      <c r="I263" s="144"/>
      <c r="J263" s="34"/>
      <c r="K263" s="34"/>
      <c r="L263" s="34"/>
      <c r="M263" s="34"/>
      <c r="N263" s="34"/>
      <c r="O263" s="34"/>
      <c r="P263" s="34"/>
      <c r="Q263" s="34"/>
      <c r="S263" s="34"/>
      <c r="U263" s="34"/>
      <c r="V263" s="37"/>
      <c r="W263" s="37"/>
      <c r="X263" s="37"/>
      <c r="Y263" s="37"/>
      <c r="Z263" s="37"/>
      <c r="AA263" s="37"/>
      <c r="AB263" s="37"/>
      <c r="AC263" s="37"/>
      <c r="AD263" s="37"/>
      <c r="AE263" s="37"/>
      <c r="AF263" s="37"/>
      <c r="AG263" s="37"/>
      <c r="AH263" s="37"/>
      <c r="BO263" s="34"/>
      <c r="CW263" s="986"/>
      <c r="CX263" s="991"/>
      <c r="CY263" s="923"/>
    </row>
    <row r="264" spans="1:103" hidden="1" x14ac:dyDescent="0.2">
      <c r="A264" s="1076">
        <f t="shared" si="233"/>
        <v>0.19</v>
      </c>
      <c r="B264" s="71">
        <f>A32</f>
        <v>0.19</v>
      </c>
      <c r="C264" s="72" t="str">
        <f t="shared" si="231"/>
        <v>Kosten  für Ausbelichtungen u. Foto-Dienstleiustungen</v>
      </c>
      <c r="D264" s="935">
        <f t="shared" si="234"/>
        <v>0</v>
      </c>
      <c r="E264" s="168">
        <f t="shared" si="238"/>
        <v>0</v>
      </c>
      <c r="F264" s="168">
        <f t="shared" si="238"/>
        <v>0</v>
      </c>
      <c r="G264" s="168">
        <f t="shared" si="238"/>
        <v>0</v>
      </c>
      <c r="H264" s="168">
        <f t="shared" si="238"/>
        <v>0</v>
      </c>
      <c r="I264" s="144"/>
      <c r="J264" s="34"/>
      <c r="K264" s="34"/>
      <c r="L264" s="34"/>
      <c r="M264" s="34"/>
      <c r="N264" s="34"/>
      <c r="O264" s="34"/>
      <c r="P264" s="34"/>
      <c r="Q264" s="34"/>
      <c r="S264" s="34"/>
      <c r="U264" s="34"/>
      <c r="V264" s="37"/>
      <c r="W264" s="37"/>
      <c r="X264" s="37"/>
      <c r="Y264" s="37"/>
      <c r="Z264" s="37"/>
      <c r="AA264" s="37"/>
      <c r="AB264" s="37"/>
      <c r="AC264" s="37"/>
      <c r="AD264" s="37"/>
      <c r="AE264" s="37"/>
      <c r="AF264" s="37"/>
      <c r="AG264" s="37"/>
      <c r="AH264" s="37"/>
      <c r="BO264" s="34"/>
      <c r="CW264" s="986"/>
      <c r="CX264" s="991"/>
      <c r="CY264" s="923"/>
    </row>
    <row r="265" spans="1:103" hidden="1" x14ac:dyDescent="0.2">
      <c r="A265" s="1076"/>
      <c r="B265" s="80">
        <v>6</v>
      </c>
      <c r="C265" s="97" t="str">
        <f t="shared" si="231"/>
        <v>Summe Reisekosten</v>
      </c>
      <c r="D265" s="163">
        <f t="shared" si="234"/>
        <v>0</v>
      </c>
      <c r="E265" s="163">
        <f>SUM(E261:E264)</f>
        <v>0</v>
      </c>
      <c r="F265" s="163">
        <f>SUM(F261:F264)</f>
        <v>0</v>
      </c>
      <c r="G265" s="163">
        <f>SUM(G261:G264)</f>
        <v>0</v>
      </c>
      <c r="H265" s="163">
        <f>SUM(H261:H264)</f>
        <v>0</v>
      </c>
      <c r="I265" s="144"/>
      <c r="J265" s="34"/>
      <c r="K265" s="34"/>
      <c r="L265" s="34"/>
      <c r="M265" s="34"/>
      <c r="N265" s="34"/>
      <c r="O265" s="34"/>
      <c r="P265" s="34"/>
      <c r="Q265" s="34"/>
      <c r="S265" s="34"/>
      <c r="U265" s="34"/>
      <c r="V265" s="37"/>
      <c r="W265" s="37"/>
      <c r="X265" s="37"/>
      <c r="Y265" s="37"/>
      <c r="Z265" s="37"/>
      <c r="AA265" s="37"/>
      <c r="AB265" s="37"/>
      <c r="AC265" s="37"/>
      <c r="AD265" s="37"/>
      <c r="AE265" s="37"/>
      <c r="AF265" s="37"/>
      <c r="AG265" s="37"/>
      <c r="AH265" s="37"/>
      <c r="BO265" s="34"/>
      <c r="CW265" s="986"/>
      <c r="CX265" s="991"/>
      <c r="CY265" s="967"/>
    </row>
    <row r="266" spans="1:103" hidden="1" x14ac:dyDescent="0.2">
      <c r="A266" s="1076"/>
      <c r="B266" s="188"/>
      <c r="C266" s="87" t="str">
        <f t="shared" si="231"/>
        <v>Versicherungen und Beiträge (betrieblich!)</v>
      </c>
      <c r="D266" s="88"/>
      <c r="E266" s="88"/>
      <c r="F266" s="88"/>
      <c r="G266" s="88"/>
      <c r="H266" s="88"/>
      <c r="I266" s="144"/>
      <c r="J266" s="34"/>
      <c r="K266" s="34"/>
      <c r="L266" s="34"/>
      <c r="M266" s="34"/>
      <c r="N266" s="34"/>
      <c r="O266" s="34"/>
      <c r="P266" s="34"/>
      <c r="Q266" s="34"/>
      <c r="S266" s="34"/>
      <c r="U266" s="34"/>
      <c r="V266" s="37"/>
      <c r="W266" s="37"/>
      <c r="X266" s="37"/>
      <c r="Y266" s="37"/>
      <c r="Z266" s="37"/>
      <c r="AA266" s="37"/>
      <c r="AB266" s="37"/>
      <c r="AC266" s="37"/>
      <c r="AD266" s="37"/>
      <c r="AE266" s="37"/>
      <c r="AF266" s="37"/>
      <c r="AG266" s="37"/>
      <c r="AH266" s="37"/>
      <c r="BO266" s="34"/>
      <c r="CW266" s="986"/>
      <c r="CX266" s="991"/>
      <c r="CY266" s="967"/>
    </row>
    <row r="267" spans="1:103" hidden="1" x14ac:dyDescent="0.2">
      <c r="A267" s="1076">
        <f t="shared" si="233"/>
        <v>0.19</v>
      </c>
      <c r="B267" s="71">
        <f>A35</f>
        <v>0.19</v>
      </c>
      <c r="C267" s="72" t="str">
        <f t="shared" si="231"/>
        <v>Haftpflicht</v>
      </c>
      <c r="D267" s="168">
        <f t="shared" si="234"/>
        <v>0</v>
      </c>
      <c r="E267" s="168">
        <f t="shared" ref="E267:H270" si="239">E111*POWER((1+$A111),$D$167)</f>
        <v>0</v>
      </c>
      <c r="F267" s="168">
        <f t="shared" si="239"/>
        <v>0</v>
      </c>
      <c r="G267" s="168">
        <f t="shared" si="239"/>
        <v>0</v>
      </c>
      <c r="H267" s="168">
        <f t="shared" si="239"/>
        <v>0</v>
      </c>
      <c r="I267" s="144"/>
      <c r="J267" s="34"/>
      <c r="K267" s="34"/>
      <c r="L267" s="34"/>
      <c r="M267" s="34"/>
      <c r="N267" s="34"/>
      <c r="O267" s="34"/>
      <c r="P267" s="34"/>
      <c r="Q267" s="34"/>
      <c r="S267" s="34"/>
      <c r="U267" s="34"/>
      <c r="V267" s="37"/>
      <c r="W267" s="37"/>
      <c r="X267" s="37"/>
      <c r="Y267" s="37"/>
      <c r="Z267" s="37"/>
      <c r="AA267" s="37"/>
      <c r="AB267" s="37"/>
      <c r="AC267" s="37"/>
      <c r="AD267" s="37"/>
      <c r="AE267" s="37"/>
      <c r="AF267" s="37"/>
      <c r="AG267" s="37"/>
      <c r="AH267" s="37"/>
      <c r="BO267" s="34"/>
      <c r="CW267" s="986"/>
      <c r="CX267" s="991"/>
      <c r="CY267" s="967"/>
    </row>
    <row r="268" spans="1:103" hidden="1" x14ac:dyDescent="0.2">
      <c r="A268" s="1076">
        <f t="shared" si="233"/>
        <v>0.19</v>
      </c>
      <c r="B268" s="71">
        <f>A36</f>
        <v>0.19</v>
      </c>
      <c r="C268" s="72" t="str">
        <f t="shared" si="231"/>
        <v>Rechtschutzversicherung</v>
      </c>
      <c r="D268" s="168">
        <f t="shared" si="234"/>
        <v>0</v>
      </c>
      <c r="E268" s="168">
        <f t="shared" si="239"/>
        <v>0</v>
      </c>
      <c r="F268" s="168">
        <f t="shared" si="239"/>
        <v>0</v>
      </c>
      <c r="G268" s="168">
        <f t="shared" si="239"/>
        <v>0</v>
      </c>
      <c r="H268" s="168">
        <f t="shared" si="239"/>
        <v>0</v>
      </c>
      <c r="I268" s="144"/>
      <c r="J268" s="34"/>
      <c r="K268" s="34"/>
      <c r="L268" s="34"/>
      <c r="M268" s="34"/>
      <c r="N268" s="34"/>
      <c r="O268" s="34"/>
      <c r="P268" s="34"/>
      <c r="Q268" s="34"/>
      <c r="S268" s="34"/>
      <c r="U268" s="34"/>
      <c r="V268" s="37"/>
      <c r="W268" s="37"/>
      <c r="X268" s="37"/>
      <c r="Y268" s="37"/>
      <c r="Z268" s="37"/>
      <c r="AA268" s="37"/>
      <c r="AB268" s="37"/>
      <c r="AC268" s="37"/>
      <c r="AD268" s="37"/>
      <c r="AE268" s="37"/>
      <c r="AF268" s="37"/>
      <c r="AG268" s="37"/>
      <c r="AH268" s="37"/>
      <c r="BO268" s="34"/>
      <c r="CW268" s="986"/>
      <c r="CX268" s="991"/>
      <c r="CY268" s="967"/>
    </row>
    <row r="269" spans="1:103" hidden="1" x14ac:dyDescent="0.2">
      <c r="A269" s="1076">
        <f t="shared" si="233"/>
        <v>0.19</v>
      </c>
      <c r="B269" s="71">
        <f>A37</f>
        <v>0.19</v>
      </c>
      <c r="C269" s="72" t="str">
        <f t="shared" si="231"/>
        <v>Beiträge (IHK, Berufsverbände, ...)</v>
      </c>
      <c r="D269" s="168">
        <f t="shared" si="234"/>
        <v>0</v>
      </c>
      <c r="E269" s="168">
        <f t="shared" si="239"/>
        <v>0</v>
      </c>
      <c r="F269" s="168">
        <f t="shared" si="239"/>
        <v>0</v>
      </c>
      <c r="G269" s="168">
        <f t="shared" si="239"/>
        <v>0</v>
      </c>
      <c r="H269" s="168">
        <f t="shared" si="239"/>
        <v>0</v>
      </c>
      <c r="I269" s="144"/>
      <c r="J269" s="34"/>
      <c r="K269" s="34"/>
      <c r="L269" s="34"/>
      <c r="M269" s="34"/>
      <c r="N269" s="34"/>
      <c r="O269" s="34"/>
      <c r="P269" s="34"/>
      <c r="Q269" s="34"/>
      <c r="S269" s="34"/>
      <c r="U269" s="34"/>
      <c r="V269" s="37"/>
      <c r="W269" s="37"/>
      <c r="X269" s="37"/>
      <c r="Y269" s="37"/>
      <c r="Z269" s="37"/>
      <c r="AA269" s="37"/>
      <c r="AB269" s="37"/>
      <c r="AC269" s="37"/>
      <c r="AD269" s="37"/>
      <c r="AE269" s="37"/>
      <c r="AF269" s="37"/>
      <c r="AG269" s="37"/>
      <c r="AH269" s="37"/>
      <c r="BO269" s="34"/>
      <c r="CW269" s="986"/>
      <c r="CX269" s="991"/>
      <c r="CY269" s="967"/>
    </row>
    <row r="270" spans="1:103" hidden="1" x14ac:dyDescent="0.2">
      <c r="A270" s="1076">
        <f t="shared" si="233"/>
        <v>0.19</v>
      </c>
      <c r="B270" s="71">
        <f>A38</f>
        <v>0.19</v>
      </c>
      <c r="C270" s="72" t="str">
        <f t="shared" si="231"/>
        <v>Sonstiges</v>
      </c>
      <c r="D270" s="168">
        <f t="shared" si="234"/>
        <v>0</v>
      </c>
      <c r="E270" s="168">
        <f t="shared" si="239"/>
        <v>0</v>
      </c>
      <c r="F270" s="168">
        <f t="shared" si="239"/>
        <v>0</v>
      </c>
      <c r="G270" s="168">
        <f t="shared" si="239"/>
        <v>0</v>
      </c>
      <c r="H270" s="168">
        <f t="shared" si="239"/>
        <v>0</v>
      </c>
      <c r="I270" s="144"/>
      <c r="J270" s="34"/>
      <c r="K270" s="34"/>
      <c r="L270" s="34"/>
      <c r="M270" s="34"/>
      <c r="N270" s="34"/>
      <c r="O270" s="34"/>
      <c r="P270" s="34"/>
      <c r="Q270" s="34"/>
      <c r="S270" s="34"/>
      <c r="U270" s="34"/>
      <c r="V270" s="37"/>
      <c r="W270" s="37"/>
      <c r="X270" s="37"/>
      <c r="Y270" s="37"/>
      <c r="Z270" s="37"/>
      <c r="AA270" s="37"/>
      <c r="AB270" s="37"/>
      <c r="AC270" s="37"/>
      <c r="AD270" s="37"/>
      <c r="AE270" s="37"/>
      <c r="AF270" s="37"/>
      <c r="AG270" s="37"/>
      <c r="AH270" s="37"/>
      <c r="BO270" s="34"/>
      <c r="CW270" s="986"/>
      <c r="CX270" s="991"/>
      <c r="CY270" s="967"/>
    </row>
    <row r="271" spans="1:103" hidden="1" x14ac:dyDescent="0.2">
      <c r="A271" s="1076"/>
      <c r="B271" s="162"/>
      <c r="C271" s="97" t="str">
        <f t="shared" si="231"/>
        <v>Summe Versicherungen und Beiträge (betrieblich!)</v>
      </c>
      <c r="D271" s="163">
        <f t="shared" si="234"/>
        <v>0</v>
      </c>
      <c r="E271" s="163">
        <f>SUM(E267:E270)</f>
        <v>0</v>
      </c>
      <c r="F271" s="163">
        <f>SUM(F267:F270)</f>
        <v>0</v>
      </c>
      <c r="G271" s="163">
        <f>SUM(G267:G270)</f>
        <v>0</v>
      </c>
      <c r="H271" s="163">
        <f>SUM(H267:H270)</f>
        <v>0</v>
      </c>
      <c r="I271" s="144"/>
      <c r="J271" s="34"/>
      <c r="K271" s="34"/>
      <c r="L271" s="34"/>
      <c r="M271" s="34"/>
      <c r="N271" s="34"/>
      <c r="O271" s="34"/>
      <c r="P271" s="34"/>
      <c r="Q271" s="34"/>
      <c r="S271" s="34"/>
      <c r="U271" s="34"/>
      <c r="V271" s="37"/>
      <c r="W271" s="37"/>
      <c r="X271" s="37"/>
      <c r="Y271" s="37"/>
      <c r="Z271" s="37"/>
      <c r="AA271" s="37"/>
      <c r="AB271" s="37"/>
      <c r="AC271" s="37"/>
      <c r="AD271" s="37"/>
      <c r="AE271" s="37"/>
      <c r="AF271" s="37"/>
      <c r="AG271" s="37"/>
      <c r="AH271" s="37"/>
      <c r="BO271" s="34"/>
      <c r="CW271" s="986"/>
      <c r="CX271" s="991"/>
      <c r="CY271" s="967"/>
    </row>
    <row r="272" spans="1:103" hidden="1" x14ac:dyDescent="0.2">
      <c r="A272" s="1076"/>
      <c r="B272" s="188"/>
      <c r="C272" s="62" t="str">
        <f t="shared" si="231"/>
        <v>KFZ Kosten / Betriebliche Nutzung</v>
      </c>
      <c r="D272" s="88"/>
      <c r="E272" s="88"/>
      <c r="F272" s="88"/>
      <c r="G272" s="88"/>
      <c r="H272" s="88"/>
      <c r="I272" s="144"/>
      <c r="J272" s="34"/>
      <c r="K272" s="34"/>
      <c r="L272" s="34"/>
      <c r="M272" s="34"/>
      <c r="N272" s="34"/>
      <c r="O272" s="34"/>
      <c r="P272" s="34"/>
      <c r="Q272" s="34"/>
      <c r="S272" s="34"/>
      <c r="U272" s="34"/>
      <c r="V272" s="37"/>
      <c r="W272" s="37"/>
      <c r="X272" s="37"/>
      <c r="Y272" s="37"/>
      <c r="Z272" s="37"/>
      <c r="AA272" s="37"/>
      <c r="AB272" s="37"/>
      <c r="AC272" s="37"/>
      <c r="AD272" s="37"/>
      <c r="AE272" s="37"/>
      <c r="AF272" s="37"/>
      <c r="AG272" s="37"/>
      <c r="AH272" s="37"/>
      <c r="BO272" s="34"/>
      <c r="CW272" s="986"/>
      <c r="CX272" s="991"/>
      <c r="CY272" s="967"/>
    </row>
    <row r="273" spans="1:103" hidden="1" x14ac:dyDescent="0.2">
      <c r="A273" s="1076">
        <f t="shared" si="233"/>
        <v>0.19</v>
      </c>
      <c r="B273" s="71">
        <f>A41</f>
        <v>0.19</v>
      </c>
      <c r="C273" s="72" t="str">
        <f t="shared" si="231"/>
        <v>Leasingraten Kfz</v>
      </c>
      <c r="D273" s="168">
        <f t="shared" si="234"/>
        <v>0</v>
      </c>
      <c r="E273" s="168">
        <f t="shared" ref="E273:H275" si="240">E117*POWER((1+$A117),$D$167)</f>
        <v>0</v>
      </c>
      <c r="F273" s="168">
        <f t="shared" si="240"/>
        <v>0</v>
      </c>
      <c r="G273" s="168">
        <f t="shared" si="240"/>
        <v>0</v>
      </c>
      <c r="H273" s="168">
        <f t="shared" si="240"/>
        <v>0</v>
      </c>
      <c r="I273" s="144"/>
      <c r="J273" s="34"/>
      <c r="K273" s="34"/>
      <c r="L273" s="34"/>
      <c r="M273" s="34"/>
      <c r="N273" s="34"/>
      <c r="O273" s="34"/>
      <c r="P273" s="34"/>
      <c r="Q273" s="34"/>
      <c r="S273" s="34"/>
      <c r="U273" s="34"/>
      <c r="V273" s="37"/>
      <c r="W273" s="37"/>
      <c r="X273" s="37"/>
      <c r="Y273" s="37"/>
      <c r="Z273" s="37"/>
      <c r="AA273" s="37"/>
      <c r="AB273" s="37"/>
      <c r="AC273" s="37"/>
      <c r="AD273" s="37"/>
      <c r="AE273" s="37"/>
      <c r="AF273" s="37"/>
      <c r="AG273" s="37"/>
      <c r="AH273" s="37"/>
      <c r="BO273" s="34"/>
      <c r="CW273" s="986"/>
      <c r="CX273" s="991"/>
      <c r="CY273" s="967"/>
    </row>
    <row r="274" spans="1:103" hidden="1" x14ac:dyDescent="0.2">
      <c r="A274" s="1076">
        <f t="shared" si="233"/>
        <v>0.19</v>
      </c>
      <c r="B274" s="71">
        <f>A42</f>
        <v>0.19</v>
      </c>
      <c r="C274" s="72" t="str">
        <f t="shared" si="231"/>
        <v>Versicherungen/Kfz-Steuer</v>
      </c>
      <c r="D274" s="168">
        <f t="shared" si="234"/>
        <v>0</v>
      </c>
      <c r="E274" s="168">
        <f t="shared" si="240"/>
        <v>0</v>
      </c>
      <c r="F274" s="168">
        <f t="shared" si="240"/>
        <v>0</v>
      </c>
      <c r="G274" s="168">
        <f t="shared" si="240"/>
        <v>0</v>
      </c>
      <c r="H274" s="168">
        <f t="shared" si="240"/>
        <v>0</v>
      </c>
      <c r="I274" s="144"/>
      <c r="J274" s="34"/>
      <c r="K274" s="34"/>
      <c r="L274" s="34"/>
      <c r="M274" s="34"/>
      <c r="N274" s="34"/>
      <c r="O274" s="34"/>
      <c r="P274" s="34"/>
      <c r="Q274" s="34"/>
      <c r="S274" s="34"/>
      <c r="U274" s="34"/>
      <c r="V274" s="37"/>
      <c r="W274" s="37"/>
      <c r="X274" s="37"/>
      <c r="Y274" s="37"/>
      <c r="Z274" s="37"/>
      <c r="AA274" s="37"/>
      <c r="AB274" s="37"/>
      <c r="AC274" s="37"/>
      <c r="AD274" s="37"/>
      <c r="AE274" s="37"/>
      <c r="AF274" s="37"/>
      <c r="AG274" s="37"/>
      <c r="AH274" s="37"/>
      <c r="BO274" s="34"/>
      <c r="CW274" s="986"/>
      <c r="CX274" s="991"/>
      <c r="CY274" s="967"/>
    </row>
    <row r="275" spans="1:103" hidden="1" x14ac:dyDescent="0.2">
      <c r="A275" s="1076">
        <f t="shared" si="233"/>
        <v>0.19</v>
      </c>
      <c r="B275" s="71">
        <f>A43</f>
        <v>0.19</v>
      </c>
      <c r="C275" s="72" t="str">
        <f t="shared" si="231"/>
        <v>Fahrzeugkosten (Tanken und Reparatur)</v>
      </c>
      <c r="D275" s="168">
        <f t="shared" si="234"/>
        <v>0</v>
      </c>
      <c r="E275" s="168">
        <f t="shared" si="240"/>
        <v>0</v>
      </c>
      <c r="F275" s="168">
        <f t="shared" si="240"/>
        <v>0</v>
      </c>
      <c r="G275" s="168">
        <f t="shared" si="240"/>
        <v>0</v>
      </c>
      <c r="H275" s="168">
        <f t="shared" si="240"/>
        <v>0</v>
      </c>
      <c r="I275" s="144"/>
      <c r="J275" s="34"/>
      <c r="K275" s="34"/>
      <c r="L275" s="34"/>
      <c r="M275" s="34"/>
      <c r="N275" s="34"/>
      <c r="O275" s="34"/>
      <c r="P275" s="34"/>
      <c r="Q275" s="34"/>
      <c r="S275" s="34"/>
      <c r="U275" s="34"/>
      <c r="V275" s="37"/>
      <c r="W275" s="37"/>
      <c r="X275" s="37"/>
      <c r="Y275" s="37"/>
      <c r="Z275" s="37"/>
      <c r="AA275" s="37"/>
      <c r="AB275" s="37"/>
      <c r="AC275" s="37"/>
      <c r="AD275" s="37"/>
      <c r="AE275" s="37"/>
      <c r="AF275" s="37"/>
      <c r="AG275" s="37"/>
      <c r="AH275" s="37"/>
      <c r="BO275" s="34"/>
      <c r="CW275" s="986"/>
      <c r="CX275" s="991"/>
      <c r="CY275" s="967"/>
    </row>
    <row r="276" spans="1:103" hidden="1" x14ac:dyDescent="0.2">
      <c r="A276" s="1076">
        <f t="shared" si="233"/>
        <v>0</v>
      </c>
      <c r="B276" s="71">
        <f>A44</f>
        <v>0</v>
      </c>
      <c r="C276" s="72" t="str">
        <f t="shared" si="231"/>
        <v>Abrechenbare Kilometerkosten</v>
      </c>
      <c r="D276" s="168">
        <f t="shared" si="234"/>
        <v>0</v>
      </c>
      <c r="E276" s="168">
        <f t="shared" ref="E276:H277" si="241">E120*POWER((1+$A120),$D$167)</f>
        <v>0</v>
      </c>
      <c r="F276" s="168">
        <f t="shared" si="241"/>
        <v>0</v>
      </c>
      <c r="G276" s="168">
        <f t="shared" si="241"/>
        <v>0</v>
      </c>
      <c r="H276" s="168">
        <f t="shared" si="241"/>
        <v>0</v>
      </c>
      <c r="I276" s="144"/>
      <c r="J276" s="34"/>
      <c r="K276" s="34"/>
      <c r="L276" s="34"/>
      <c r="M276" s="34"/>
      <c r="N276" s="34"/>
      <c r="O276" s="34"/>
      <c r="P276" s="34"/>
      <c r="Q276" s="34"/>
      <c r="S276" s="34"/>
      <c r="U276" s="34"/>
      <c r="V276" s="37"/>
      <c r="W276" s="37"/>
      <c r="X276" s="37"/>
      <c r="Y276" s="37"/>
      <c r="Z276" s="37"/>
      <c r="AA276" s="37"/>
      <c r="AB276" s="37"/>
      <c r="AC276" s="37"/>
      <c r="AD276" s="37"/>
      <c r="AE276" s="37"/>
      <c r="AF276" s="37"/>
      <c r="AG276" s="37"/>
      <c r="AH276" s="37"/>
      <c r="BO276" s="34"/>
      <c r="CW276" s="986"/>
      <c r="CX276" s="991"/>
      <c r="CY276" s="967"/>
    </row>
    <row r="277" spans="1:103" hidden="1" x14ac:dyDescent="0.2">
      <c r="A277" s="1076">
        <f t="shared" si="233"/>
        <v>0.19</v>
      </c>
      <c r="B277" s="71">
        <f>A45</f>
        <v>0.19</v>
      </c>
      <c r="C277" s="72" t="str">
        <f t="shared" si="231"/>
        <v>Fahrtkosten</v>
      </c>
      <c r="D277" s="168">
        <f t="shared" si="234"/>
        <v>0</v>
      </c>
      <c r="E277" s="168">
        <f t="shared" si="241"/>
        <v>0</v>
      </c>
      <c r="F277" s="168">
        <f t="shared" si="241"/>
        <v>0</v>
      </c>
      <c r="G277" s="168">
        <f t="shared" si="241"/>
        <v>0</v>
      </c>
      <c r="H277" s="168">
        <f t="shared" si="241"/>
        <v>0</v>
      </c>
      <c r="I277" s="144"/>
      <c r="J277" s="34"/>
      <c r="K277" s="34"/>
      <c r="L277" s="34"/>
      <c r="M277" s="34"/>
      <c r="N277" s="34"/>
      <c r="O277" s="34"/>
      <c r="P277" s="34"/>
      <c r="Q277" s="34"/>
      <c r="S277" s="34"/>
      <c r="U277" s="34"/>
      <c r="V277" s="37"/>
      <c r="W277" s="37"/>
      <c r="X277" s="37"/>
      <c r="Y277" s="37"/>
      <c r="Z277" s="37"/>
      <c r="AA277" s="37"/>
      <c r="AB277" s="37"/>
      <c r="AC277" s="37"/>
      <c r="AD277" s="37"/>
      <c r="AE277" s="37"/>
      <c r="AF277" s="37"/>
      <c r="AG277" s="37"/>
      <c r="AH277" s="37"/>
      <c r="BO277" s="34"/>
      <c r="CW277" s="986"/>
      <c r="CX277" s="991"/>
      <c r="CY277" s="967"/>
    </row>
    <row r="278" spans="1:103" hidden="1" x14ac:dyDescent="0.2">
      <c r="A278" s="1076"/>
      <c r="B278" s="80"/>
      <c r="C278" s="97" t="str">
        <f t="shared" si="231"/>
        <v>Summe KFZ Kosten / Betriebliche Nutzung</v>
      </c>
      <c r="D278" s="163">
        <f t="shared" si="234"/>
        <v>0</v>
      </c>
      <c r="E278" s="163">
        <f>SUM(E273:E277)</f>
        <v>0</v>
      </c>
      <c r="F278" s="163">
        <f>SUM(F273:F277)</f>
        <v>0</v>
      </c>
      <c r="G278" s="163">
        <f>SUM(G273:G277)</f>
        <v>0</v>
      </c>
      <c r="H278" s="163">
        <f>SUM(H273:H277)</f>
        <v>0</v>
      </c>
      <c r="I278" s="144"/>
      <c r="J278" s="34"/>
      <c r="K278" s="34"/>
      <c r="L278" s="34"/>
      <c r="M278" s="34"/>
      <c r="N278" s="34"/>
      <c r="O278" s="34"/>
      <c r="P278" s="34"/>
      <c r="Q278" s="34"/>
      <c r="S278" s="34"/>
      <c r="U278" s="34"/>
      <c r="V278" s="37"/>
      <c r="W278" s="37"/>
      <c r="X278" s="37"/>
      <c r="Y278" s="37"/>
      <c r="Z278" s="37"/>
      <c r="AA278" s="37"/>
      <c r="AB278" s="37"/>
      <c r="AC278" s="37"/>
      <c r="AD278" s="37"/>
      <c r="AE278" s="37"/>
      <c r="AF278" s="37"/>
      <c r="AG278" s="37"/>
      <c r="AH278" s="37"/>
      <c r="BO278" s="34"/>
      <c r="CW278" s="986"/>
      <c r="CX278" s="991"/>
      <c r="CY278" s="967"/>
    </row>
    <row r="279" spans="1:103" hidden="1" x14ac:dyDescent="0.2">
      <c r="A279" s="1076"/>
      <c r="B279" s="188"/>
      <c r="C279" s="87" t="str">
        <f t="shared" si="231"/>
        <v>Marketing  u. Werbung</v>
      </c>
      <c r="D279" s="88">
        <f t="shared" si="234"/>
        <v>0</v>
      </c>
      <c r="E279" s="88"/>
      <c r="F279" s="88"/>
      <c r="G279" s="88"/>
      <c r="H279" s="88"/>
      <c r="I279" s="144"/>
      <c r="J279" s="34"/>
      <c r="K279" s="34"/>
      <c r="L279" s="34"/>
      <c r="M279" s="34"/>
      <c r="N279" s="34"/>
      <c r="O279" s="34"/>
      <c r="P279" s="34"/>
      <c r="Q279" s="34"/>
      <c r="S279" s="34"/>
      <c r="U279" s="34"/>
      <c r="V279" s="37"/>
      <c r="W279" s="37"/>
      <c r="X279" s="37"/>
      <c r="Y279" s="37"/>
      <c r="Z279" s="37"/>
      <c r="AA279" s="37"/>
      <c r="AB279" s="37"/>
      <c r="AC279" s="37"/>
      <c r="AD279" s="37"/>
      <c r="AE279" s="37"/>
      <c r="AF279" s="37"/>
      <c r="AG279" s="37"/>
      <c r="AH279" s="37"/>
      <c r="BO279" s="34"/>
      <c r="CW279" s="986"/>
      <c r="CX279" s="991"/>
      <c r="CY279" s="967"/>
    </row>
    <row r="280" spans="1:103" hidden="1" x14ac:dyDescent="0.2">
      <c r="A280" s="1076">
        <f t="shared" si="233"/>
        <v>0.19</v>
      </c>
      <c r="B280" s="71">
        <f t="shared" ref="B280:B285" si="242">A48</f>
        <v>0.19</v>
      </c>
      <c r="C280" s="72" t="str">
        <f t="shared" si="231"/>
        <v>Marktforschung</v>
      </c>
      <c r="D280" s="168">
        <f t="shared" si="234"/>
        <v>0</v>
      </c>
      <c r="E280" s="168">
        <f t="shared" ref="E280:H283" si="243">E124*POWER((1+$A124),$D$167)</f>
        <v>0</v>
      </c>
      <c r="F280" s="168">
        <f t="shared" si="243"/>
        <v>0</v>
      </c>
      <c r="G280" s="168">
        <f t="shared" si="243"/>
        <v>0</v>
      </c>
      <c r="H280" s="168">
        <f t="shared" si="243"/>
        <v>0</v>
      </c>
      <c r="I280" s="144"/>
      <c r="J280" s="34"/>
      <c r="K280" s="34"/>
      <c r="L280" s="34"/>
      <c r="M280" s="34"/>
      <c r="N280" s="34"/>
      <c r="O280" s="34"/>
      <c r="P280" s="34"/>
      <c r="Q280" s="34"/>
      <c r="S280" s="34"/>
      <c r="U280" s="34"/>
      <c r="V280" s="37"/>
      <c r="W280" s="37"/>
      <c r="X280" s="37"/>
      <c r="Y280" s="37"/>
      <c r="Z280" s="37"/>
      <c r="AA280" s="37"/>
      <c r="AB280" s="37"/>
      <c r="AC280" s="37"/>
      <c r="AD280" s="37"/>
      <c r="AE280" s="37"/>
      <c r="AF280" s="37"/>
      <c r="AG280" s="37"/>
      <c r="AH280" s="37"/>
      <c r="BO280" s="34"/>
      <c r="CW280" s="986"/>
      <c r="CX280" s="991"/>
      <c r="CY280" s="967"/>
    </row>
    <row r="281" spans="1:103" hidden="1" x14ac:dyDescent="0.2">
      <c r="A281" s="1076">
        <f t="shared" si="233"/>
        <v>0.19</v>
      </c>
      <c r="B281" s="71">
        <f t="shared" si="242"/>
        <v>0.19</v>
      </c>
      <c r="C281" s="72" t="str">
        <f t="shared" si="231"/>
        <v>Briefpapier, Visitenkarte, Stempel</v>
      </c>
      <c r="D281" s="168">
        <f t="shared" si="234"/>
        <v>0</v>
      </c>
      <c r="E281" s="168">
        <f t="shared" si="243"/>
        <v>0</v>
      </c>
      <c r="F281" s="168">
        <f t="shared" si="243"/>
        <v>0</v>
      </c>
      <c r="G281" s="168">
        <f t="shared" si="243"/>
        <v>0</v>
      </c>
      <c r="H281" s="168">
        <f t="shared" si="243"/>
        <v>0</v>
      </c>
      <c r="I281" s="144"/>
      <c r="J281" s="34"/>
      <c r="K281" s="34"/>
      <c r="L281" s="34"/>
      <c r="M281" s="34"/>
      <c r="N281" s="34"/>
      <c r="O281" s="34"/>
      <c r="P281" s="34"/>
      <c r="Q281" s="34"/>
      <c r="S281" s="34"/>
      <c r="U281" s="34"/>
      <c r="V281" s="37"/>
      <c r="W281" s="37"/>
      <c r="X281" s="37"/>
      <c r="Y281" s="37"/>
      <c r="Z281" s="37"/>
      <c r="AA281" s="37"/>
      <c r="AB281" s="37"/>
      <c r="AC281" s="37"/>
      <c r="AD281" s="37"/>
      <c r="AE281" s="37"/>
      <c r="AF281" s="37"/>
      <c r="AG281" s="37"/>
      <c r="AH281" s="37"/>
      <c r="BO281" s="34"/>
      <c r="CW281" s="986"/>
      <c r="CX281" s="991"/>
      <c r="CY281" s="967"/>
    </row>
    <row r="282" spans="1:103" hidden="1" x14ac:dyDescent="0.2">
      <c r="A282" s="1076">
        <f t="shared" si="233"/>
        <v>0.19</v>
      </c>
      <c r="B282" s="71">
        <f t="shared" si="242"/>
        <v>0.19</v>
      </c>
      <c r="C282" s="72" t="str">
        <f t="shared" si="231"/>
        <v>Webseite, lfd. Webseitenpflege</v>
      </c>
      <c r="D282" s="168">
        <f t="shared" si="234"/>
        <v>0</v>
      </c>
      <c r="E282" s="168">
        <f t="shared" si="243"/>
        <v>0</v>
      </c>
      <c r="F282" s="168">
        <f t="shared" si="243"/>
        <v>0</v>
      </c>
      <c r="G282" s="168">
        <f t="shared" si="243"/>
        <v>0</v>
      </c>
      <c r="H282" s="168">
        <f t="shared" si="243"/>
        <v>0</v>
      </c>
      <c r="I282" s="144"/>
      <c r="J282" s="34"/>
      <c r="K282" s="34"/>
      <c r="L282" s="34"/>
      <c r="M282" s="34"/>
      <c r="N282" s="34"/>
      <c r="O282" s="34"/>
      <c r="P282" s="34"/>
      <c r="Q282" s="34"/>
      <c r="S282" s="34"/>
      <c r="U282" s="34"/>
      <c r="V282" s="37"/>
      <c r="W282" s="37"/>
      <c r="X282" s="37"/>
      <c r="Y282" s="37"/>
      <c r="Z282" s="37"/>
      <c r="AA282" s="37"/>
      <c r="AB282" s="37"/>
      <c r="AC282" s="37"/>
      <c r="AD282" s="37"/>
      <c r="AE282" s="37"/>
      <c r="AF282" s="37"/>
      <c r="AG282" s="37"/>
      <c r="AH282" s="37"/>
      <c r="BO282" s="34"/>
      <c r="CW282" s="986"/>
      <c r="CX282" s="991"/>
      <c r="CY282" s="923"/>
    </row>
    <row r="283" spans="1:103" hidden="1" x14ac:dyDescent="0.2">
      <c r="A283" s="1076">
        <f t="shared" si="233"/>
        <v>0.19</v>
      </c>
      <c r="B283" s="71">
        <f t="shared" si="242"/>
        <v>0.19</v>
      </c>
      <c r="C283" s="72" t="str">
        <f t="shared" si="231"/>
        <v>Flyer, Prospekte, Broschüren, Anzeigen</v>
      </c>
      <c r="D283" s="168">
        <f t="shared" si="234"/>
        <v>0</v>
      </c>
      <c r="E283" s="168">
        <f t="shared" si="243"/>
        <v>0</v>
      </c>
      <c r="F283" s="168">
        <f t="shared" si="243"/>
        <v>0</v>
      </c>
      <c r="G283" s="168">
        <f t="shared" si="243"/>
        <v>0</v>
      </c>
      <c r="H283" s="168">
        <f t="shared" si="243"/>
        <v>0</v>
      </c>
      <c r="I283" s="144"/>
      <c r="J283" s="34"/>
      <c r="K283" s="34"/>
      <c r="L283" s="34"/>
      <c r="M283" s="34"/>
      <c r="N283" s="34"/>
      <c r="O283" s="34"/>
      <c r="P283" s="34"/>
      <c r="Q283" s="34"/>
      <c r="S283" s="34"/>
      <c r="U283" s="34"/>
      <c r="V283" s="37"/>
      <c r="W283" s="37"/>
      <c r="X283" s="37"/>
      <c r="Y283" s="37"/>
      <c r="Z283" s="37"/>
      <c r="AA283" s="37"/>
      <c r="AB283" s="37"/>
      <c r="AC283" s="37"/>
      <c r="AD283" s="37"/>
      <c r="AE283" s="37"/>
      <c r="AF283" s="37"/>
      <c r="AG283" s="37"/>
      <c r="AH283" s="37"/>
      <c r="BO283" s="34"/>
      <c r="CW283" s="986"/>
      <c r="CX283" s="991"/>
      <c r="CY283" s="923"/>
    </row>
    <row r="284" spans="1:103" hidden="1" x14ac:dyDescent="0.2">
      <c r="A284" s="1076">
        <f t="shared" si="233"/>
        <v>0.19</v>
      </c>
      <c r="B284" s="71">
        <f t="shared" si="242"/>
        <v>0.19</v>
      </c>
      <c r="C284" s="72" t="str">
        <f t="shared" si="231"/>
        <v>Bewirtungskosten</v>
      </c>
      <c r="D284" s="168">
        <f t="shared" si="234"/>
        <v>0</v>
      </c>
      <c r="E284" s="168">
        <f t="shared" ref="E284:H285" si="244">E128*POWER((1+$A128),$D$167)</f>
        <v>0</v>
      </c>
      <c r="F284" s="168">
        <f t="shared" si="244"/>
        <v>0</v>
      </c>
      <c r="G284" s="168">
        <f t="shared" si="244"/>
        <v>0</v>
      </c>
      <c r="H284" s="168">
        <f t="shared" si="244"/>
        <v>0</v>
      </c>
      <c r="I284" s="144"/>
      <c r="J284" s="34"/>
      <c r="K284" s="34"/>
      <c r="L284" s="34"/>
      <c r="M284" s="34"/>
      <c r="N284" s="34"/>
      <c r="O284" s="34"/>
      <c r="P284" s="34"/>
      <c r="Q284" s="34"/>
      <c r="S284" s="34"/>
      <c r="U284" s="34"/>
      <c r="V284" s="37"/>
      <c r="W284" s="37"/>
      <c r="X284" s="37"/>
      <c r="Y284" s="37"/>
      <c r="Z284" s="37"/>
      <c r="AA284" s="37"/>
      <c r="AB284" s="37"/>
      <c r="AC284" s="37"/>
      <c r="AD284" s="37"/>
      <c r="AE284" s="37"/>
      <c r="AF284" s="37"/>
      <c r="AG284" s="37"/>
      <c r="AH284" s="37"/>
      <c r="BO284" s="34"/>
      <c r="CW284" s="986"/>
      <c r="CX284" s="991"/>
      <c r="CY284" s="923"/>
    </row>
    <row r="285" spans="1:103" hidden="1" x14ac:dyDescent="0.2">
      <c r="A285" s="1076">
        <f t="shared" si="233"/>
        <v>0.19</v>
      </c>
      <c r="B285" s="71">
        <f t="shared" si="242"/>
        <v>0.19</v>
      </c>
      <c r="C285" s="72" t="str">
        <f t="shared" si="231"/>
        <v>Werbung</v>
      </c>
      <c r="D285" s="935">
        <f t="shared" si="234"/>
        <v>0</v>
      </c>
      <c r="E285" s="168">
        <f t="shared" si="244"/>
        <v>0</v>
      </c>
      <c r="F285" s="168">
        <f t="shared" si="244"/>
        <v>0</v>
      </c>
      <c r="G285" s="168">
        <f t="shared" si="244"/>
        <v>0</v>
      </c>
      <c r="H285" s="168">
        <f t="shared" si="244"/>
        <v>0</v>
      </c>
      <c r="I285" s="144"/>
      <c r="J285" s="34"/>
      <c r="K285" s="34"/>
      <c r="L285" s="34"/>
      <c r="M285" s="34"/>
      <c r="N285" s="34"/>
      <c r="O285" s="34"/>
      <c r="P285" s="34"/>
      <c r="Q285" s="34"/>
      <c r="S285" s="34"/>
      <c r="U285" s="34"/>
      <c r="V285" s="37"/>
      <c r="W285" s="37"/>
      <c r="X285" s="37"/>
      <c r="Y285" s="37"/>
      <c r="Z285" s="37"/>
      <c r="AA285" s="37"/>
      <c r="AB285" s="37"/>
      <c r="AC285" s="37"/>
      <c r="AD285" s="37"/>
      <c r="AE285" s="37"/>
      <c r="AF285" s="37"/>
      <c r="AG285" s="37"/>
      <c r="AH285" s="37"/>
      <c r="BO285" s="34"/>
      <c r="CW285" s="986"/>
      <c r="CX285" s="991"/>
      <c r="CY285" s="967"/>
    </row>
    <row r="286" spans="1:103" hidden="1" x14ac:dyDescent="0.2">
      <c r="A286" s="1076"/>
      <c r="B286" s="80"/>
      <c r="C286" s="97" t="str">
        <f t="shared" si="231"/>
        <v>Summe Marketing  u. Werbung</v>
      </c>
      <c r="D286" s="163">
        <f t="shared" si="234"/>
        <v>0</v>
      </c>
      <c r="E286" s="163">
        <f>SUM(E280:E285)</f>
        <v>0</v>
      </c>
      <c r="F286" s="163">
        <f>SUM(F280:F285)</f>
        <v>0</v>
      </c>
      <c r="G286" s="163">
        <f>SUM(G280:G285)</f>
        <v>0</v>
      </c>
      <c r="H286" s="163">
        <f>SUM(H280:H285)</f>
        <v>0</v>
      </c>
      <c r="I286" s="144"/>
      <c r="J286" s="34"/>
      <c r="K286" s="34"/>
      <c r="L286" s="34"/>
      <c r="M286" s="34"/>
      <c r="N286" s="34"/>
      <c r="O286" s="34"/>
      <c r="P286" s="34"/>
      <c r="Q286" s="34"/>
      <c r="S286" s="34"/>
      <c r="U286" s="34"/>
      <c r="V286" s="37"/>
      <c r="W286" s="37"/>
      <c r="X286" s="37"/>
      <c r="Y286" s="37"/>
      <c r="Z286" s="37"/>
      <c r="AA286" s="37"/>
      <c r="AB286" s="37"/>
      <c r="AC286" s="37"/>
      <c r="AD286" s="37"/>
      <c r="AE286" s="37"/>
      <c r="AF286" s="37"/>
      <c r="AG286" s="37"/>
      <c r="AH286" s="37"/>
      <c r="BO286" s="34"/>
      <c r="CW286" s="986"/>
      <c r="CX286" s="991"/>
      <c r="CY286" s="923"/>
    </row>
    <row r="287" spans="1:103" hidden="1" x14ac:dyDescent="0.2">
      <c r="A287" s="1076"/>
      <c r="B287" s="188"/>
      <c r="C287" s="87" t="str">
        <f t="shared" si="231"/>
        <v>Rechts- und Beratungskosten</v>
      </c>
      <c r="D287" s="88"/>
      <c r="E287" s="88"/>
      <c r="F287" s="88"/>
      <c r="G287" s="88"/>
      <c r="H287" s="88"/>
      <c r="I287" s="144"/>
      <c r="J287" s="34"/>
      <c r="K287" s="34"/>
      <c r="L287" s="34"/>
      <c r="M287" s="34"/>
      <c r="N287" s="34"/>
      <c r="O287" s="34"/>
      <c r="P287" s="34"/>
      <c r="Q287" s="34"/>
      <c r="S287" s="34"/>
      <c r="U287" s="34"/>
      <c r="V287" s="37"/>
      <c r="W287" s="37"/>
      <c r="X287" s="37"/>
      <c r="Y287" s="37"/>
      <c r="Z287" s="37"/>
      <c r="AA287" s="37"/>
      <c r="AB287" s="37"/>
      <c r="AC287" s="37"/>
      <c r="AD287" s="37"/>
      <c r="AE287" s="37"/>
      <c r="AF287" s="37"/>
      <c r="AG287" s="37"/>
      <c r="AH287" s="37"/>
      <c r="BO287" s="34"/>
      <c r="CW287" s="986"/>
      <c r="CX287" s="991"/>
      <c r="CY287" s="923"/>
    </row>
    <row r="288" spans="1:103" hidden="1" x14ac:dyDescent="0.2">
      <c r="A288" s="1076">
        <f t="shared" si="233"/>
        <v>0.19</v>
      </c>
      <c r="B288" s="71">
        <f>A56</f>
        <v>0.19</v>
      </c>
      <c r="C288" s="72" t="str">
        <f t="shared" si="231"/>
        <v>Buchhaltung</v>
      </c>
      <c r="D288" s="168">
        <f t="shared" si="234"/>
        <v>0</v>
      </c>
      <c r="E288" s="168">
        <f t="shared" ref="E288:H290" si="245">E132*POWER((1+$A132),$D$167)</f>
        <v>0</v>
      </c>
      <c r="F288" s="168">
        <f t="shared" si="245"/>
        <v>0</v>
      </c>
      <c r="G288" s="168">
        <f t="shared" si="245"/>
        <v>0</v>
      </c>
      <c r="H288" s="168">
        <f t="shared" si="245"/>
        <v>0</v>
      </c>
      <c r="I288" s="166"/>
      <c r="J288" s="34"/>
      <c r="K288" s="34"/>
      <c r="L288" s="34"/>
      <c r="M288" s="34"/>
      <c r="N288" s="34"/>
      <c r="O288" s="34"/>
      <c r="P288" s="34"/>
      <c r="Q288" s="34"/>
      <c r="S288" s="34"/>
      <c r="U288" s="34"/>
      <c r="V288" s="37"/>
      <c r="W288" s="37"/>
      <c r="X288" s="37"/>
      <c r="Y288" s="37"/>
      <c r="Z288" s="37"/>
      <c r="AA288" s="37"/>
      <c r="AB288" s="37"/>
      <c r="AC288" s="37"/>
      <c r="AD288" s="37"/>
      <c r="AE288" s="37"/>
      <c r="AF288" s="37"/>
      <c r="AG288" s="37"/>
      <c r="AH288" s="37"/>
      <c r="BO288" s="34"/>
      <c r="CW288" s="986"/>
      <c r="CX288" s="991"/>
      <c r="CY288" s="923"/>
    </row>
    <row r="289" spans="1:122" hidden="1" x14ac:dyDescent="0.2">
      <c r="A289" s="1076">
        <f t="shared" si="233"/>
        <v>0.19</v>
      </c>
      <c r="B289" s="71">
        <f>A57</f>
        <v>0.19</v>
      </c>
      <c r="C289" s="72" t="str">
        <f t="shared" si="231"/>
        <v>Steuerberatung, Abschluss, Prüfung</v>
      </c>
      <c r="D289" s="168">
        <f t="shared" si="234"/>
        <v>0</v>
      </c>
      <c r="E289" s="168">
        <f>E133*POWER((1+$A133),$D$167)</f>
        <v>0</v>
      </c>
      <c r="F289" s="168">
        <f>F133*POWER((1+$A133),$D$167)</f>
        <v>0</v>
      </c>
      <c r="G289" s="168">
        <f>G133*POWER((1+$A133),$D$167)</f>
        <v>0</v>
      </c>
      <c r="H289" s="168">
        <f>H133*POWER((1+$A133),$D$167)</f>
        <v>0</v>
      </c>
      <c r="I289" s="144"/>
      <c r="J289" s="34"/>
      <c r="K289" s="34"/>
      <c r="L289" s="34"/>
      <c r="M289" s="34"/>
      <c r="N289" s="34"/>
      <c r="O289" s="34"/>
      <c r="P289" s="34"/>
      <c r="Q289" s="34"/>
      <c r="S289" s="34"/>
      <c r="U289" s="34"/>
      <c r="V289" s="37"/>
      <c r="W289" s="37"/>
      <c r="X289" s="37"/>
      <c r="Y289" s="37"/>
      <c r="Z289" s="37"/>
      <c r="AA289" s="37"/>
      <c r="AB289" s="37"/>
      <c r="AC289" s="37"/>
      <c r="AD289" s="37"/>
      <c r="AE289" s="37"/>
      <c r="AF289" s="37"/>
      <c r="AG289" s="37"/>
      <c r="AH289" s="37"/>
      <c r="BO289" s="34"/>
      <c r="CW289" s="986"/>
      <c r="CX289" s="991"/>
      <c r="CY289" s="923"/>
    </row>
    <row r="290" spans="1:122" hidden="1" x14ac:dyDescent="0.2">
      <c r="A290" s="1076">
        <f t="shared" si="233"/>
        <v>0.19</v>
      </c>
      <c r="B290" s="71">
        <f>A58</f>
        <v>0.19</v>
      </c>
      <c r="C290" s="72" t="str">
        <f t="shared" si="231"/>
        <v>Sonstiges</v>
      </c>
      <c r="D290" s="168">
        <f t="shared" si="234"/>
        <v>0</v>
      </c>
      <c r="E290" s="168">
        <f t="shared" si="245"/>
        <v>0</v>
      </c>
      <c r="F290" s="168">
        <f t="shared" si="245"/>
        <v>0</v>
      </c>
      <c r="G290" s="168">
        <f t="shared" si="245"/>
        <v>0</v>
      </c>
      <c r="H290" s="168">
        <f t="shared" si="245"/>
        <v>0</v>
      </c>
      <c r="I290" s="144"/>
      <c r="J290" s="34"/>
      <c r="K290" s="34"/>
      <c r="L290" s="34"/>
      <c r="M290" s="34"/>
      <c r="N290" s="34"/>
      <c r="O290" s="34"/>
      <c r="P290" s="34"/>
      <c r="Q290" s="34"/>
      <c r="S290" s="34"/>
      <c r="U290" s="34"/>
      <c r="V290" s="37"/>
      <c r="W290" s="37"/>
      <c r="X290" s="37"/>
      <c r="Y290" s="37"/>
      <c r="Z290" s="37"/>
      <c r="AA290" s="37"/>
      <c r="AB290" s="37"/>
      <c r="AC290" s="37"/>
      <c r="AD290" s="37"/>
      <c r="AE290" s="37"/>
      <c r="AF290" s="37"/>
      <c r="AG290" s="37"/>
      <c r="AH290" s="37"/>
      <c r="BO290" s="34"/>
      <c r="CW290" s="986"/>
      <c r="CX290" s="991"/>
      <c r="CY290" s="923"/>
    </row>
    <row r="291" spans="1:122" hidden="1" x14ac:dyDescent="0.2">
      <c r="A291" s="1076" t="str">
        <f t="shared" si="233"/>
        <v/>
      </c>
      <c r="B291" s="80"/>
      <c r="C291" s="97" t="str">
        <f t="shared" si="231"/>
        <v>Summe Rechts- und Beratungskosten</v>
      </c>
      <c r="D291" s="163">
        <f>SUM(D288:D290)</f>
        <v>0</v>
      </c>
      <c r="E291" s="163">
        <f>SUM(E288:E290)</f>
        <v>0</v>
      </c>
      <c r="F291" s="163">
        <f>SUM(F288:F290)</f>
        <v>0</v>
      </c>
      <c r="G291" s="163">
        <f>SUM(G288:G290)</f>
        <v>0</v>
      </c>
      <c r="H291" s="163">
        <f>SUM(H288:H290)</f>
        <v>0</v>
      </c>
      <c r="I291" s="144"/>
      <c r="J291" s="34"/>
      <c r="K291" s="34"/>
      <c r="L291" s="34"/>
      <c r="M291" s="34"/>
      <c r="N291" s="34"/>
      <c r="O291" s="34"/>
      <c r="P291" s="34"/>
      <c r="Q291" s="34"/>
      <c r="S291" s="34"/>
      <c r="U291" s="34"/>
      <c r="V291" s="37"/>
      <c r="W291" s="37"/>
      <c r="X291" s="37"/>
      <c r="Y291" s="37"/>
      <c r="Z291" s="37"/>
      <c r="AA291" s="37"/>
      <c r="AB291" s="37"/>
      <c r="AC291" s="37"/>
      <c r="AD291" s="37"/>
      <c r="AE291" s="37"/>
      <c r="AF291" s="37"/>
      <c r="AG291" s="37"/>
      <c r="AH291" s="37"/>
      <c r="BO291" s="34"/>
      <c r="CW291" s="986"/>
      <c r="CX291" s="991"/>
      <c r="CY291" s="923"/>
    </row>
    <row r="292" spans="1:122" hidden="1" x14ac:dyDescent="0.2">
      <c r="A292" s="1076"/>
      <c r="B292" s="188">
        <v>8</v>
      </c>
      <c r="C292" s="62" t="str">
        <f t="shared" si="231"/>
        <v>Verschiedenes</v>
      </c>
      <c r="D292" s="88"/>
      <c r="E292" s="88"/>
      <c r="F292" s="88"/>
      <c r="G292" s="88"/>
      <c r="H292" s="88"/>
      <c r="I292" s="144"/>
      <c r="J292" s="34"/>
      <c r="K292" s="34"/>
      <c r="L292" s="34"/>
      <c r="M292" s="34"/>
      <c r="N292" s="34"/>
      <c r="O292" s="34"/>
      <c r="P292" s="34"/>
      <c r="Q292" s="34"/>
      <c r="S292" s="34"/>
      <c r="U292" s="34"/>
      <c r="V292" s="37"/>
      <c r="W292" s="37"/>
      <c r="X292" s="37"/>
      <c r="Y292" s="37"/>
      <c r="Z292" s="37"/>
      <c r="AA292" s="37"/>
      <c r="AB292" s="37"/>
      <c r="AC292" s="37"/>
      <c r="AD292" s="37"/>
      <c r="AE292" s="37"/>
      <c r="AF292" s="37"/>
      <c r="AG292" s="37"/>
      <c r="AH292" s="37"/>
      <c r="BO292" s="34"/>
      <c r="CW292" s="986"/>
      <c r="CX292" s="991"/>
      <c r="CY292" s="967"/>
    </row>
    <row r="293" spans="1:122" hidden="1" x14ac:dyDescent="0.2">
      <c r="A293" s="1076" t="str">
        <f t="shared" si="233"/>
        <v/>
      </c>
      <c r="B293" s="71">
        <f>A61</f>
        <v>0</v>
      </c>
      <c r="C293" s="936" t="str">
        <f t="shared" si="231"/>
        <v>Finanzaufwand / Zinsen *)</v>
      </c>
      <c r="D293" s="210">
        <f t="shared" si="234"/>
        <v>0</v>
      </c>
      <c r="E293" s="210">
        <f>'7 Finanzierung|Financing'!E56</f>
        <v>0</v>
      </c>
      <c r="F293" s="210">
        <f>'7 Finanzierung|Financing'!F56</f>
        <v>0</v>
      </c>
      <c r="G293" s="210">
        <f>'7 Finanzierung|Financing'!G56</f>
        <v>0</v>
      </c>
      <c r="H293" s="210">
        <f>'7 Finanzierung|Financing'!H56</f>
        <v>0</v>
      </c>
      <c r="I293" s="144"/>
      <c r="J293" s="34"/>
      <c r="K293" s="34"/>
      <c r="L293" s="34"/>
      <c r="M293" s="34"/>
      <c r="N293" s="34"/>
      <c r="O293" s="34"/>
      <c r="P293" s="34"/>
      <c r="Q293" s="34"/>
      <c r="S293" s="34"/>
      <c r="U293" s="34"/>
      <c r="V293" s="37"/>
      <c r="W293" s="37"/>
      <c r="X293" s="37"/>
      <c r="Y293" s="37"/>
      <c r="Z293" s="37"/>
      <c r="AA293" s="37"/>
      <c r="AB293" s="37"/>
      <c r="AC293" s="37"/>
      <c r="AD293" s="37"/>
      <c r="AE293" s="37"/>
      <c r="AF293" s="37"/>
      <c r="AG293" s="37"/>
      <c r="AH293" s="37"/>
      <c r="BO293" s="34"/>
      <c r="CW293" s="986"/>
      <c r="CX293" s="991"/>
      <c r="CY293" s="923"/>
    </row>
    <row r="294" spans="1:122" hidden="1" x14ac:dyDescent="0.2">
      <c r="A294" s="1076">
        <f t="shared" si="233"/>
        <v>0.19</v>
      </c>
      <c r="B294" s="71">
        <f>A62</f>
        <v>0.19</v>
      </c>
      <c r="C294" s="72" t="str">
        <f t="shared" si="231"/>
        <v>Reisekosten</v>
      </c>
      <c r="D294" s="168">
        <f t="shared" si="234"/>
        <v>0</v>
      </c>
      <c r="E294" s="168">
        <f t="shared" ref="E294:H295" si="246">E138*POWER((1+$A138),$D$167)</f>
        <v>0</v>
      </c>
      <c r="F294" s="168">
        <f t="shared" si="246"/>
        <v>0</v>
      </c>
      <c r="G294" s="168">
        <f t="shared" si="246"/>
        <v>0</v>
      </c>
      <c r="H294" s="168">
        <f t="shared" si="246"/>
        <v>0</v>
      </c>
      <c r="I294" s="144"/>
      <c r="J294" s="34"/>
      <c r="K294" s="34"/>
      <c r="L294" s="34"/>
      <c r="M294" s="34"/>
      <c r="N294" s="34"/>
      <c r="O294" s="34"/>
      <c r="P294" s="34"/>
      <c r="Q294" s="34"/>
      <c r="S294" s="34"/>
      <c r="U294" s="34"/>
      <c r="V294" s="37"/>
      <c r="W294" s="37"/>
      <c r="X294" s="37"/>
      <c r="Y294" s="37"/>
      <c r="Z294" s="37"/>
      <c r="AA294" s="37"/>
      <c r="AB294" s="37"/>
      <c r="AC294" s="37"/>
      <c r="AD294" s="37"/>
      <c r="AE294" s="37"/>
      <c r="AF294" s="37"/>
      <c r="AG294" s="37"/>
      <c r="AH294" s="37"/>
      <c r="BO294" s="34"/>
      <c r="CW294" s="986"/>
      <c r="CX294" s="991"/>
      <c r="CY294" s="923"/>
    </row>
    <row r="295" spans="1:122" hidden="1" x14ac:dyDescent="0.2">
      <c r="A295" s="1076">
        <f t="shared" si="233"/>
        <v>7.0000000000000007E-2</v>
      </c>
      <c r="B295" s="71">
        <f>A63</f>
        <v>7.0000000000000007E-2</v>
      </c>
      <c r="C295" s="72" t="str">
        <f t="shared" si="231"/>
        <v>Fachliteratur, Bücher</v>
      </c>
      <c r="D295" s="168">
        <f t="shared" si="234"/>
        <v>0</v>
      </c>
      <c r="E295" s="168">
        <f t="shared" si="246"/>
        <v>0</v>
      </c>
      <c r="F295" s="168">
        <f t="shared" si="246"/>
        <v>0</v>
      </c>
      <c r="G295" s="168">
        <f t="shared" si="246"/>
        <v>0</v>
      </c>
      <c r="H295" s="168">
        <f t="shared" si="246"/>
        <v>0</v>
      </c>
      <c r="I295" s="144"/>
      <c r="J295" s="34"/>
      <c r="K295" s="34"/>
      <c r="L295" s="34"/>
      <c r="M295" s="34"/>
      <c r="N295" s="34"/>
      <c r="O295" s="34"/>
      <c r="P295" s="34"/>
      <c r="Q295" s="34"/>
      <c r="S295" s="34"/>
      <c r="U295" s="34"/>
      <c r="V295" s="37"/>
      <c r="W295" s="37"/>
      <c r="X295" s="37"/>
      <c r="Y295" s="37"/>
      <c r="Z295" s="37"/>
      <c r="AA295" s="37"/>
      <c r="AB295" s="37"/>
      <c r="AC295" s="37"/>
      <c r="AD295" s="37"/>
      <c r="AE295" s="37"/>
      <c r="AF295" s="37"/>
      <c r="AG295" s="37"/>
      <c r="AH295" s="37"/>
      <c r="BO295" s="34"/>
      <c r="CW295" s="986"/>
      <c r="CX295" s="991"/>
      <c r="CY295" s="923"/>
    </row>
    <row r="296" spans="1:122" hidden="1" x14ac:dyDescent="0.2">
      <c r="A296" s="1076">
        <f t="shared" si="233"/>
        <v>0.19</v>
      </c>
      <c r="B296" s="71">
        <f>A64</f>
        <v>0.19</v>
      </c>
      <c r="C296" s="72" t="str">
        <f t="shared" si="231"/>
        <v>Schulungen</v>
      </c>
      <c r="D296" s="168">
        <f t="shared" si="234"/>
        <v>0</v>
      </c>
      <c r="E296" s="168">
        <f t="shared" ref="E296:H297" si="247">E140*POWER((1+$A140),$D$167)</f>
        <v>0</v>
      </c>
      <c r="F296" s="168">
        <f t="shared" si="247"/>
        <v>0</v>
      </c>
      <c r="G296" s="168">
        <f t="shared" si="247"/>
        <v>0</v>
      </c>
      <c r="H296" s="168">
        <f t="shared" si="247"/>
        <v>0</v>
      </c>
      <c r="I296" s="144"/>
      <c r="J296" s="34"/>
      <c r="K296" s="34"/>
      <c r="L296" s="34"/>
      <c r="M296" s="34"/>
      <c r="N296" s="34"/>
      <c r="O296" s="34"/>
      <c r="P296" s="34"/>
      <c r="Q296" s="34"/>
      <c r="S296" s="34"/>
      <c r="U296" s="34"/>
      <c r="V296" s="37"/>
      <c r="W296" s="37"/>
      <c r="X296" s="37"/>
      <c r="Y296" s="37"/>
      <c r="Z296" s="37"/>
      <c r="AA296" s="37"/>
      <c r="AB296" s="37"/>
      <c r="AC296" s="37"/>
      <c r="AD296" s="37"/>
      <c r="AE296" s="37"/>
      <c r="AF296" s="37"/>
      <c r="AG296" s="37"/>
      <c r="AH296" s="37"/>
      <c r="BO296" s="34"/>
      <c r="CW296" s="986"/>
      <c r="CX296" s="991"/>
      <c r="CY296" s="923"/>
    </row>
    <row r="297" spans="1:122" hidden="1" x14ac:dyDescent="0.2">
      <c r="A297" s="1076">
        <f t="shared" si="233"/>
        <v>0</v>
      </c>
      <c r="B297" s="71">
        <f>A65</f>
        <v>0</v>
      </c>
      <c r="C297" s="72" t="str">
        <f t="shared" si="231"/>
        <v>Versicherungen, Berufsgenossenschaft, Handwerkskammer etc.</v>
      </c>
      <c r="D297" s="935">
        <f t="shared" si="234"/>
        <v>0</v>
      </c>
      <c r="E297" s="168">
        <f t="shared" si="247"/>
        <v>0</v>
      </c>
      <c r="F297" s="168">
        <f t="shared" si="247"/>
        <v>0</v>
      </c>
      <c r="G297" s="168">
        <f t="shared" si="247"/>
        <v>0</v>
      </c>
      <c r="H297" s="168">
        <f t="shared" si="247"/>
        <v>0</v>
      </c>
      <c r="I297" s="144"/>
      <c r="J297" s="34"/>
      <c r="K297" s="34"/>
      <c r="L297" s="34"/>
      <c r="M297" s="34"/>
      <c r="N297" s="34"/>
      <c r="O297" s="34"/>
      <c r="P297" s="34"/>
      <c r="Q297" s="34"/>
      <c r="S297" s="34"/>
      <c r="U297" s="34"/>
      <c r="V297" s="37"/>
      <c r="W297" s="37"/>
      <c r="X297" s="37"/>
      <c r="Y297" s="37"/>
      <c r="Z297" s="37"/>
      <c r="AA297" s="37"/>
      <c r="AB297" s="37"/>
      <c r="AC297" s="37"/>
      <c r="AD297" s="37"/>
      <c r="AE297" s="37"/>
      <c r="AF297" s="37"/>
      <c r="AG297" s="37"/>
      <c r="AH297" s="37"/>
      <c r="BO297" s="34"/>
      <c r="CW297" s="986"/>
      <c r="CX297" s="991"/>
      <c r="CY297" s="923"/>
    </row>
    <row r="298" spans="1:122" ht="15" hidden="1" thickBot="1" x14ac:dyDescent="0.25">
      <c r="A298" s="1076"/>
      <c r="B298" s="92"/>
      <c r="C298" s="97" t="str">
        <f t="shared" si="231"/>
        <v>Summe Verschiedenes</v>
      </c>
      <c r="D298" s="99">
        <f>SUM(D293:D297)</f>
        <v>0</v>
      </c>
      <c r="E298" s="99">
        <f>SUM(E293:E297)</f>
        <v>0</v>
      </c>
      <c r="F298" s="99">
        <f>SUM(F293:F297)</f>
        <v>0</v>
      </c>
      <c r="G298" s="99">
        <f>SUM(G293:G297)</f>
        <v>0</v>
      </c>
      <c r="H298" s="99">
        <f>SUM(H293:H297)</f>
        <v>0</v>
      </c>
      <c r="I298" s="144"/>
      <c r="J298" s="34"/>
      <c r="K298" s="34"/>
      <c r="L298" s="34"/>
      <c r="M298" s="34"/>
      <c r="N298" s="34"/>
      <c r="O298" s="34"/>
      <c r="P298" s="34"/>
      <c r="Q298" s="34"/>
      <c r="S298" s="34"/>
      <c r="U298" s="34"/>
      <c r="V298" s="37"/>
      <c r="W298" s="37"/>
      <c r="X298" s="37"/>
      <c r="Y298" s="37"/>
      <c r="Z298" s="37"/>
      <c r="AA298" s="37"/>
      <c r="AB298" s="37"/>
      <c r="AC298" s="37"/>
      <c r="AD298" s="37"/>
      <c r="AE298" s="37"/>
      <c r="AF298" s="37"/>
      <c r="AG298" s="37"/>
      <c r="AH298" s="37"/>
      <c r="BO298" s="34"/>
      <c r="CW298" s="986"/>
      <c r="CX298" s="991"/>
      <c r="CY298" s="923"/>
    </row>
    <row r="299" spans="1:122" ht="15" hidden="1" thickTop="1" x14ac:dyDescent="0.2">
      <c r="A299" s="1076"/>
      <c r="B299" s="101"/>
      <c r="C299" s="102" t="str">
        <f t="shared" si="231"/>
        <v>Summe Betriebskosten I</v>
      </c>
      <c r="D299" s="103">
        <f t="shared" si="234"/>
        <v>0</v>
      </c>
      <c r="E299" s="103">
        <f>SUM(E239:E298)/2</f>
        <v>0</v>
      </c>
      <c r="F299" s="103">
        <f>SUM(F239:F298)/2</f>
        <v>0</v>
      </c>
      <c r="G299" s="103">
        <f>SUM(G239:G298)/2</f>
        <v>0</v>
      </c>
      <c r="H299" s="103">
        <f>SUM(H239:H298)/2</f>
        <v>0</v>
      </c>
      <c r="I299" s="194"/>
      <c r="J299" s="55"/>
      <c r="K299" s="55"/>
      <c r="L299" s="55"/>
      <c r="M299" s="55"/>
      <c r="N299" s="55"/>
      <c r="O299" s="55"/>
      <c r="P299" s="195"/>
      <c r="Q299" s="195"/>
      <c r="S299" s="34"/>
      <c r="U299" s="34"/>
      <c r="V299" s="37"/>
      <c r="W299" s="37"/>
      <c r="X299" s="37"/>
      <c r="Y299" s="37"/>
      <c r="Z299" s="37"/>
      <c r="AA299" s="37"/>
      <c r="AB299" s="37"/>
      <c r="AC299" s="37"/>
      <c r="AD299" s="37"/>
      <c r="AE299" s="37"/>
      <c r="AF299" s="37"/>
      <c r="AG299" s="37"/>
      <c r="AH299" s="37"/>
      <c r="BO299" s="195"/>
      <c r="CW299" s="986"/>
      <c r="CX299" s="991"/>
      <c r="CY299" s="968"/>
    </row>
    <row r="300" spans="1:122" ht="15" hidden="1" thickBot="1" x14ac:dyDescent="0.25">
      <c r="A300" s="929"/>
      <c r="B300" s="61"/>
      <c r="C300" s="106" t="str">
        <f t="shared" si="231"/>
        <v>Abschreibungen (aus "3 Anschaffungen|Investment")</v>
      </c>
      <c r="D300" s="107">
        <f t="shared" si="234"/>
        <v>0</v>
      </c>
      <c r="E300" s="107">
        <f ca="1">'3 Anschaffungen|Investment'!F55</f>
        <v>0</v>
      </c>
      <c r="F300" s="107">
        <f ca="1">'3 Anschaffungen|Investment'!G55</f>
        <v>0</v>
      </c>
      <c r="G300" s="107">
        <f ca="1">'3 Anschaffungen|Investment'!H55</f>
        <v>0</v>
      </c>
      <c r="H300" s="107">
        <f ca="1">'3 Anschaffungen|Investment'!I55</f>
        <v>0</v>
      </c>
      <c r="I300" s="144"/>
      <c r="J300" s="34"/>
      <c r="K300" s="34"/>
      <c r="L300" s="34"/>
      <c r="M300" s="34"/>
      <c r="N300" s="34"/>
      <c r="O300" s="34"/>
      <c r="P300" s="34"/>
      <c r="Q300" s="34"/>
      <c r="S300" s="34"/>
      <c r="U300" s="34"/>
      <c r="V300" s="37"/>
      <c r="W300" s="37"/>
      <c r="X300" s="37"/>
      <c r="Y300" s="37"/>
      <c r="Z300" s="37"/>
      <c r="AA300" s="37"/>
      <c r="AB300" s="37"/>
      <c r="AC300" s="37"/>
      <c r="AD300" s="37"/>
      <c r="AE300" s="37"/>
      <c r="AF300" s="37"/>
      <c r="AG300" s="37"/>
      <c r="AH300" s="37"/>
      <c r="BO300" s="34"/>
      <c r="CW300" s="986"/>
      <c r="CX300" s="991"/>
      <c r="CY300" s="957"/>
    </row>
    <row r="301" spans="1:122" ht="15.75" hidden="1" thickTop="1" thickBot="1" x14ac:dyDescent="0.25">
      <c r="A301" s="929"/>
      <c r="B301" s="109"/>
      <c r="C301" s="110" t="str">
        <f>C69</f>
        <v>Summe Betriebskosten II</v>
      </c>
      <c r="D301" s="111">
        <f t="shared" si="234"/>
        <v>0</v>
      </c>
      <c r="E301" s="111">
        <f ca="1">E145*POWER((1+$A145),$D$167)</f>
        <v>0</v>
      </c>
      <c r="F301" s="111">
        <f ca="1">F145*POWER((1+$A145),$D$167)</f>
        <v>0</v>
      </c>
      <c r="G301" s="111">
        <f ca="1">G145*POWER((1+$A145),$D$167)</f>
        <v>0</v>
      </c>
      <c r="H301" s="111">
        <f ca="1">H145*POWER((1+$A145),$D$167)</f>
        <v>0</v>
      </c>
      <c r="I301" s="170"/>
      <c r="J301" s="171"/>
      <c r="K301" s="171"/>
      <c r="L301" s="171"/>
      <c r="M301" s="171"/>
      <c r="N301" s="171"/>
      <c r="O301" s="171"/>
      <c r="P301" s="171"/>
      <c r="Q301" s="171"/>
      <c r="S301" s="34"/>
      <c r="U301" s="34"/>
      <c r="V301" s="37"/>
      <c r="W301" s="37"/>
      <c r="X301" s="37"/>
      <c r="Y301" s="37"/>
      <c r="Z301" s="37"/>
      <c r="AA301" s="37"/>
      <c r="AB301" s="37"/>
      <c r="AC301" s="37"/>
      <c r="AD301" s="37"/>
      <c r="AE301" s="37"/>
      <c r="AF301" s="37"/>
      <c r="AG301" s="37"/>
      <c r="AH301" s="37"/>
      <c r="BO301" s="171"/>
      <c r="CY301" s="971"/>
    </row>
    <row r="302" spans="1:122" s="34" customFormat="1" hidden="1" x14ac:dyDescent="0.2">
      <c r="A302" s="886"/>
      <c r="B302" s="32"/>
      <c r="C302" s="32" t="str">
        <f>C70</f>
        <v>*) wird aus Tabelle "Finanzierung" übernommen (auf ganze Euro gerundet!)</v>
      </c>
      <c r="P302" s="35"/>
      <c r="Q302" s="35"/>
      <c r="R302" s="55"/>
      <c r="V302" s="37"/>
      <c r="W302" s="37"/>
      <c r="X302" s="37"/>
      <c r="Y302" s="37"/>
      <c r="Z302" s="37"/>
      <c r="AA302" s="37"/>
      <c r="AB302" s="37"/>
      <c r="AC302" s="37"/>
      <c r="AD302" s="37"/>
      <c r="AE302" s="37"/>
      <c r="AF302" s="37"/>
      <c r="AG302" s="37"/>
      <c r="AH302" s="37"/>
      <c r="BA302" s="67"/>
      <c r="BB302" s="67"/>
      <c r="BC302" s="67"/>
      <c r="BD302" s="67"/>
      <c r="BE302" s="67"/>
      <c r="BF302" s="67"/>
      <c r="BG302" s="67"/>
      <c r="BH302" s="67"/>
      <c r="BI302" s="67"/>
      <c r="BJ302" s="67"/>
      <c r="BK302" s="67"/>
      <c r="BL302" s="67"/>
      <c r="BM302" s="67"/>
      <c r="BN302" s="67"/>
      <c r="BO302" s="35"/>
      <c r="BP302" s="67"/>
      <c r="BQ302" s="67"/>
      <c r="BR302" s="67"/>
      <c r="BS302" s="67"/>
      <c r="CW302" s="909"/>
      <c r="CX302" s="989"/>
      <c r="CY302" s="922"/>
      <c r="CZ302" s="905"/>
      <c r="DA302" s="1000"/>
      <c r="DB302" s="35"/>
      <c r="DC302" s="33"/>
      <c r="DD302" s="33"/>
      <c r="DE302" s="33"/>
      <c r="DF302" s="33"/>
      <c r="DG302" s="33"/>
      <c r="DH302" s="33"/>
      <c r="DI302" s="33"/>
      <c r="DJ302" s="33"/>
      <c r="DK302" s="33"/>
      <c r="DL302" s="33"/>
      <c r="DM302" s="33"/>
      <c r="DN302" s="33"/>
      <c r="DO302" s="33"/>
      <c r="DP302" s="33"/>
      <c r="DQ302" s="33"/>
      <c r="DR302" s="33"/>
    </row>
    <row r="303" spans="1:122" s="34" customFormat="1" x14ac:dyDescent="0.2">
      <c r="A303" s="886"/>
      <c r="B303" s="32"/>
      <c r="P303" s="35"/>
      <c r="Q303" s="35"/>
      <c r="R303" s="55"/>
      <c r="V303" s="37"/>
      <c r="W303" s="37"/>
      <c r="X303" s="37"/>
      <c r="Y303" s="37"/>
      <c r="Z303" s="37"/>
      <c r="AA303" s="37"/>
      <c r="AB303" s="37"/>
      <c r="AC303" s="37"/>
      <c r="AD303" s="37"/>
      <c r="AE303" s="37"/>
      <c r="AF303" s="37"/>
      <c r="AG303" s="37"/>
      <c r="AH303" s="37"/>
      <c r="BA303" s="67"/>
      <c r="BB303" s="67"/>
      <c r="BC303" s="67"/>
      <c r="BD303" s="67"/>
      <c r="BE303" s="67"/>
      <c r="BF303" s="67"/>
      <c r="BG303" s="67"/>
      <c r="BH303" s="67"/>
      <c r="BI303" s="67"/>
      <c r="BJ303" s="67"/>
      <c r="BK303" s="67"/>
      <c r="BL303" s="67"/>
      <c r="BM303" s="67"/>
      <c r="BN303" s="67"/>
      <c r="BO303" s="35"/>
      <c r="BP303" s="67"/>
      <c r="BQ303" s="67"/>
      <c r="BR303" s="67"/>
      <c r="BS303" s="67"/>
      <c r="CW303" s="909"/>
      <c r="CX303" s="989"/>
      <c r="CY303" s="922"/>
      <c r="CZ303" s="905"/>
      <c r="DA303" s="1000"/>
      <c r="DB303" s="35"/>
      <c r="DC303" s="33"/>
      <c r="DD303" s="33"/>
      <c r="DE303" s="33"/>
      <c r="DF303" s="33"/>
      <c r="DG303" s="33"/>
      <c r="DH303" s="33"/>
      <c r="DI303" s="33"/>
      <c r="DJ303" s="33"/>
      <c r="DK303" s="33"/>
      <c r="DL303" s="33"/>
      <c r="DM303" s="33"/>
      <c r="DN303" s="33"/>
      <c r="DO303" s="33"/>
      <c r="DP303" s="33"/>
      <c r="DQ303" s="33"/>
      <c r="DR303" s="33"/>
    </row>
    <row r="304" spans="1:122" s="34" customFormat="1" x14ac:dyDescent="0.2">
      <c r="A304" s="886"/>
      <c r="B304" s="32"/>
      <c r="P304" s="35"/>
      <c r="Q304" s="35"/>
      <c r="R304" s="55"/>
      <c r="V304" s="37"/>
      <c r="W304" s="37"/>
      <c r="X304" s="37"/>
      <c r="Y304" s="37"/>
      <c r="Z304" s="37"/>
      <c r="AA304" s="37"/>
      <c r="AB304" s="37"/>
      <c r="AC304" s="37"/>
      <c r="AD304" s="37"/>
      <c r="AE304" s="37"/>
      <c r="AF304" s="37"/>
      <c r="AG304" s="37"/>
      <c r="AH304" s="37"/>
      <c r="BA304" s="67"/>
      <c r="BB304" s="67"/>
      <c r="BC304" s="67"/>
      <c r="BD304" s="67"/>
      <c r="BE304" s="67"/>
      <c r="BF304" s="67"/>
      <c r="BG304" s="67"/>
      <c r="BH304" s="67"/>
      <c r="BI304" s="67"/>
      <c r="BJ304" s="67"/>
      <c r="BK304" s="67"/>
      <c r="BL304" s="67"/>
      <c r="BM304" s="67"/>
      <c r="BN304" s="67"/>
      <c r="BO304" s="35"/>
      <c r="BP304" s="67"/>
      <c r="BQ304" s="67"/>
      <c r="BR304" s="67"/>
      <c r="BS304" s="67"/>
      <c r="CW304" s="909"/>
      <c r="CX304" s="989"/>
      <c r="CY304" s="922"/>
      <c r="CZ304" s="905"/>
      <c r="DA304" s="1000"/>
      <c r="DB304" s="35"/>
      <c r="DC304" s="33"/>
      <c r="DD304" s="33"/>
      <c r="DE304" s="33"/>
      <c r="DF304" s="33"/>
      <c r="DG304" s="33"/>
      <c r="DH304" s="33"/>
      <c r="DI304" s="33"/>
      <c r="DJ304" s="33"/>
      <c r="DK304" s="33"/>
      <c r="DL304" s="33"/>
      <c r="DM304" s="33"/>
      <c r="DN304" s="33"/>
      <c r="DO304" s="33"/>
      <c r="DP304" s="33"/>
      <c r="DQ304" s="33"/>
      <c r="DR304" s="33"/>
    </row>
    <row r="305" spans="1:122" s="34" customFormat="1" x14ac:dyDescent="0.2">
      <c r="A305" s="886"/>
      <c r="B305" s="32"/>
      <c r="P305" s="35"/>
      <c r="Q305" s="35"/>
      <c r="R305" s="55"/>
      <c r="V305" s="37"/>
      <c r="W305" s="37"/>
      <c r="X305" s="37"/>
      <c r="Y305" s="37"/>
      <c r="Z305" s="37"/>
      <c r="AA305" s="37"/>
      <c r="AB305" s="37"/>
      <c r="AC305" s="37"/>
      <c r="AD305" s="37"/>
      <c r="AE305" s="37"/>
      <c r="AF305" s="37"/>
      <c r="AG305" s="37"/>
      <c r="AH305" s="37"/>
      <c r="BA305" s="67"/>
      <c r="BB305" s="67"/>
      <c r="BC305" s="67"/>
      <c r="BD305" s="67"/>
      <c r="BE305" s="67"/>
      <c r="BF305" s="67"/>
      <c r="BG305" s="67"/>
      <c r="BH305" s="67"/>
      <c r="BI305" s="67"/>
      <c r="BJ305" s="67"/>
      <c r="BK305" s="67"/>
      <c r="BL305" s="67"/>
      <c r="BM305" s="67"/>
      <c r="BN305" s="67"/>
      <c r="BO305" s="35"/>
      <c r="BP305" s="67"/>
      <c r="BQ305" s="67"/>
      <c r="BR305" s="67"/>
      <c r="BS305" s="67"/>
      <c r="CW305" s="909"/>
      <c r="CX305" s="989"/>
      <c r="CY305" s="922"/>
      <c r="CZ305" s="905"/>
      <c r="DA305" s="1000"/>
      <c r="DB305" s="35"/>
      <c r="DC305" s="33"/>
      <c r="DD305" s="33"/>
      <c r="DE305" s="33"/>
      <c r="DF305" s="33"/>
      <c r="DG305" s="33"/>
      <c r="DH305" s="33"/>
      <c r="DI305" s="33"/>
      <c r="DJ305" s="33"/>
      <c r="DK305" s="33"/>
      <c r="DL305" s="33"/>
      <c r="DM305" s="33"/>
      <c r="DN305" s="33"/>
      <c r="DO305" s="33"/>
      <c r="DP305" s="33"/>
      <c r="DQ305" s="33"/>
      <c r="DR305" s="33"/>
    </row>
    <row r="306" spans="1:122" s="34" customFormat="1" x14ac:dyDescent="0.2">
      <c r="A306" s="886"/>
      <c r="B306" s="32"/>
      <c r="P306" s="35"/>
      <c r="Q306" s="35"/>
      <c r="R306" s="55"/>
      <c r="V306" s="37"/>
      <c r="W306" s="37"/>
      <c r="X306" s="37"/>
      <c r="Y306" s="37"/>
      <c r="Z306" s="37"/>
      <c r="AA306" s="37"/>
      <c r="AB306" s="37"/>
      <c r="AC306" s="37"/>
      <c r="AD306" s="37"/>
      <c r="AE306" s="37"/>
      <c r="AF306" s="37"/>
      <c r="AG306" s="37"/>
      <c r="AH306" s="37"/>
      <c r="BA306" s="67"/>
      <c r="BB306" s="67"/>
      <c r="BC306" s="67"/>
      <c r="BD306" s="67"/>
      <c r="BE306" s="67"/>
      <c r="BF306" s="67"/>
      <c r="BG306" s="67"/>
      <c r="BH306" s="67"/>
      <c r="BI306" s="67"/>
      <c r="BJ306" s="67"/>
      <c r="BK306" s="67"/>
      <c r="BL306" s="67"/>
      <c r="BM306" s="67"/>
      <c r="BN306" s="67"/>
      <c r="BO306" s="35"/>
      <c r="BP306" s="67"/>
      <c r="BQ306" s="67"/>
      <c r="BR306" s="67"/>
      <c r="BS306" s="67"/>
      <c r="CW306" s="909"/>
      <c r="CX306" s="989"/>
      <c r="CY306" s="922"/>
      <c r="CZ306" s="905"/>
      <c r="DA306" s="1000"/>
      <c r="DB306" s="35"/>
      <c r="DC306" s="33"/>
      <c r="DD306" s="33"/>
      <c r="DE306" s="33"/>
      <c r="DF306" s="33"/>
      <c r="DG306" s="33"/>
      <c r="DH306" s="33"/>
      <c r="DI306" s="33"/>
      <c r="DJ306" s="33"/>
      <c r="DK306" s="33"/>
      <c r="DL306" s="33"/>
      <c r="DM306" s="33"/>
      <c r="DN306" s="33"/>
      <c r="DO306" s="33"/>
      <c r="DP306" s="33"/>
      <c r="DQ306" s="33"/>
      <c r="DR306" s="33"/>
    </row>
    <row r="307" spans="1:122" s="34" customFormat="1" x14ac:dyDescent="0.2">
      <c r="A307" s="886"/>
      <c r="B307" s="32"/>
      <c r="P307" s="35"/>
      <c r="Q307" s="35"/>
      <c r="R307" s="55"/>
      <c r="V307" s="37"/>
      <c r="W307" s="37"/>
      <c r="X307" s="37"/>
      <c r="Y307" s="37"/>
      <c r="Z307" s="37"/>
      <c r="AA307" s="37"/>
      <c r="AB307" s="37"/>
      <c r="AC307" s="37"/>
      <c r="AD307" s="37"/>
      <c r="AE307" s="37"/>
      <c r="AF307" s="37"/>
      <c r="AG307" s="37"/>
      <c r="AH307" s="37"/>
      <c r="BA307" s="67"/>
      <c r="BB307" s="67"/>
      <c r="BC307" s="67"/>
      <c r="BD307" s="67"/>
      <c r="BE307" s="67"/>
      <c r="BF307" s="67"/>
      <c r="BG307" s="67"/>
      <c r="BH307" s="67"/>
      <c r="BI307" s="67"/>
      <c r="BJ307" s="67"/>
      <c r="BK307" s="67"/>
      <c r="BL307" s="67"/>
      <c r="BM307" s="67"/>
      <c r="BN307" s="67"/>
      <c r="BO307" s="35"/>
      <c r="BP307" s="67"/>
      <c r="BQ307" s="67"/>
      <c r="BR307" s="67"/>
      <c r="BS307" s="67"/>
      <c r="CW307" s="909"/>
      <c r="CX307" s="989"/>
      <c r="CY307" s="922"/>
      <c r="CZ307" s="905"/>
      <c r="DA307" s="1000"/>
      <c r="DB307" s="35"/>
      <c r="DC307" s="33"/>
      <c r="DD307" s="33"/>
      <c r="DE307" s="33"/>
      <c r="DF307" s="33"/>
      <c r="DG307" s="33"/>
      <c r="DH307" s="33"/>
      <c r="DI307" s="33"/>
      <c r="DJ307" s="33"/>
      <c r="DK307" s="33"/>
      <c r="DL307" s="33"/>
      <c r="DM307" s="33"/>
      <c r="DN307" s="33"/>
      <c r="DO307" s="33"/>
      <c r="DP307" s="33"/>
      <c r="DQ307" s="33"/>
      <c r="DR307" s="33"/>
    </row>
    <row r="308" spans="1:122" s="34" customFormat="1" x14ac:dyDescent="0.2">
      <c r="A308" s="886"/>
      <c r="B308" s="32"/>
      <c r="P308" s="35"/>
      <c r="Q308" s="35"/>
      <c r="R308" s="55"/>
      <c r="V308" s="37"/>
      <c r="W308" s="37"/>
      <c r="X308" s="37"/>
      <c r="Y308" s="37"/>
      <c r="Z308" s="37"/>
      <c r="AA308" s="37"/>
      <c r="AB308" s="37"/>
      <c r="AC308" s="37"/>
      <c r="AD308" s="37"/>
      <c r="AE308" s="37"/>
      <c r="AF308" s="37"/>
      <c r="AG308" s="37"/>
      <c r="AH308" s="37"/>
      <c r="BA308" s="67"/>
      <c r="BB308" s="67"/>
      <c r="BC308" s="67"/>
      <c r="BD308" s="67"/>
      <c r="BE308" s="67"/>
      <c r="BF308" s="67"/>
      <c r="BG308" s="67"/>
      <c r="BH308" s="67"/>
      <c r="BI308" s="67"/>
      <c r="BJ308" s="67"/>
      <c r="BK308" s="67"/>
      <c r="BL308" s="67"/>
      <c r="BM308" s="67"/>
      <c r="BN308" s="67"/>
      <c r="BO308" s="35"/>
      <c r="BP308" s="67"/>
      <c r="BQ308" s="67"/>
      <c r="BR308" s="67"/>
      <c r="BS308" s="67"/>
      <c r="CW308" s="909"/>
      <c r="CX308" s="989"/>
      <c r="CY308" s="922"/>
      <c r="CZ308" s="905"/>
      <c r="DA308" s="1000"/>
      <c r="DB308" s="35"/>
      <c r="DC308" s="33"/>
      <c r="DD308" s="33"/>
      <c r="DE308" s="33"/>
      <c r="DF308" s="33"/>
      <c r="DG308" s="33"/>
      <c r="DH308" s="33"/>
      <c r="DI308" s="33"/>
      <c r="DJ308" s="33"/>
      <c r="DK308" s="33"/>
      <c r="DL308" s="33"/>
      <c r="DM308" s="33"/>
      <c r="DN308" s="33"/>
      <c r="DO308" s="33"/>
      <c r="DP308" s="33"/>
      <c r="DQ308" s="33"/>
      <c r="DR308" s="33"/>
    </row>
    <row r="309" spans="1:122" s="34" customFormat="1" x14ac:dyDescent="0.2">
      <c r="A309" s="886"/>
      <c r="B309" s="32"/>
      <c r="P309" s="35"/>
      <c r="Q309" s="35"/>
      <c r="R309" s="55"/>
      <c r="V309" s="37"/>
      <c r="W309" s="37"/>
      <c r="X309" s="37"/>
      <c r="Y309" s="37"/>
      <c r="Z309" s="37"/>
      <c r="AA309" s="37"/>
      <c r="AB309" s="37"/>
      <c r="AC309" s="37"/>
      <c r="AD309" s="37"/>
      <c r="AE309" s="37"/>
      <c r="AF309" s="37"/>
      <c r="AG309" s="37"/>
      <c r="AH309" s="37"/>
      <c r="BA309" s="67"/>
      <c r="BB309" s="67"/>
      <c r="BC309" s="67"/>
      <c r="BD309" s="67"/>
      <c r="BE309" s="67"/>
      <c r="BF309" s="67"/>
      <c r="BG309" s="67"/>
      <c r="BH309" s="67"/>
      <c r="BI309" s="67"/>
      <c r="BJ309" s="67"/>
      <c r="BK309" s="67"/>
      <c r="BL309" s="67"/>
      <c r="BM309" s="67"/>
      <c r="BN309" s="67"/>
      <c r="BO309" s="35"/>
      <c r="BP309" s="67"/>
      <c r="BQ309" s="67"/>
      <c r="BR309" s="67"/>
      <c r="BS309" s="67"/>
      <c r="CW309" s="909"/>
      <c r="CX309" s="989"/>
      <c r="CY309" s="922"/>
      <c r="CZ309" s="905"/>
      <c r="DA309" s="1000"/>
      <c r="DB309" s="35"/>
      <c r="DC309" s="33"/>
      <c r="DD309" s="33"/>
      <c r="DE309" s="33"/>
      <c r="DF309" s="33"/>
      <c r="DG309" s="33"/>
      <c r="DH309" s="33"/>
      <c r="DI309" s="33"/>
      <c r="DJ309" s="33"/>
      <c r="DK309" s="33"/>
      <c r="DL309" s="33"/>
      <c r="DM309" s="33"/>
      <c r="DN309" s="33"/>
      <c r="DO309" s="33"/>
      <c r="DP309" s="33"/>
      <c r="DQ309" s="33"/>
      <c r="DR309" s="33"/>
    </row>
    <row r="310" spans="1:122" s="34" customFormat="1" x14ac:dyDescent="0.2">
      <c r="A310" s="886"/>
      <c r="B310" s="32"/>
      <c r="P310" s="35"/>
      <c r="Q310" s="35"/>
      <c r="R310" s="55"/>
      <c r="V310" s="37"/>
      <c r="W310" s="37"/>
      <c r="X310" s="37"/>
      <c r="Y310" s="37"/>
      <c r="Z310" s="37"/>
      <c r="AA310" s="37"/>
      <c r="AB310" s="37"/>
      <c r="AC310" s="37"/>
      <c r="AD310" s="37"/>
      <c r="AE310" s="37"/>
      <c r="AF310" s="37"/>
      <c r="AG310" s="37"/>
      <c r="AH310" s="37"/>
      <c r="BA310" s="67"/>
      <c r="BB310" s="67"/>
      <c r="BC310" s="67"/>
      <c r="BD310" s="67"/>
      <c r="BE310" s="67"/>
      <c r="BF310" s="67"/>
      <c r="BG310" s="67"/>
      <c r="BH310" s="67"/>
      <c r="BI310" s="67"/>
      <c r="BJ310" s="67"/>
      <c r="BK310" s="67"/>
      <c r="BL310" s="67"/>
      <c r="BM310" s="67"/>
      <c r="BN310" s="67"/>
      <c r="BO310" s="35"/>
      <c r="BP310" s="67"/>
      <c r="BQ310" s="67"/>
      <c r="BR310" s="67"/>
      <c r="BS310" s="67"/>
      <c r="CW310" s="909"/>
      <c r="CX310" s="989"/>
      <c r="CY310" s="922"/>
      <c r="CZ310" s="905"/>
      <c r="DA310" s="1000"/>
      <c r="DB310" s="35"/>
      <c r="DC310" s="33"/>
      <c r="DD310" s="33"/>
      <c r="DE310" s="33"/>
      <c r="DF310" s="33"/>
      <c r="DG310" s="33"/>
      <c r="DH310" s="33"/>
      <c r="DI310" s="33"/>
      <c r="DJ310" s="33"/>
      <c r="DK310" s="33"/>
      <c r="DL310" s="33"/>
      <c r="DM310" s="33"/>
      <c r="DN310" s="33"/>
      <c r="DO310" s="33"/>
      <c r="DP310" s="33"/>
      <c r="DQ310" s="33"/>
      <c r="DR310" s="33"/>
    </row>
    <row r="311" spans="1:122" s="34" customFormat="1" x14ac:dyDescent="0.2">
      <c r="A311" s="886"/>
      <c r="B311" s="32"/>
      <c r="P311" s="35"/>
      <c r="Q311" s="35"/>
      <c r="R311" s="55"/>
      <c r="V311" s="37"/>
      <c r="W311" s="37"/>
      <c r="X311" s="37"/>
      <c r="Y311" s="37"/>
      <c r="Z311" s="37"/>
      <c r="AA311" s="37"/>
      <c r="AB311" s="37"/>
      <c r="AC311" s="37"/>
      <c r="AD311" s="37"/>
      <c r="AE311" s="37"/>
      <c r="AF311" s="37"/>
      <c r="AG311" s="37"/>
      <c r="AH311" s="37"/>
      <c r="BA311" s="67"/>
      <c r="BB311" s="67"/>
      <c r="BC311" s="67"/>
      <c r="BD311" s="67"/>
      <c r="BE311" s="67"/>
      <c r="BF311" s="67"/>
      <c r="BG311" s="67"/>
      <c r="BH311" s="67"/>
      <c r="BI311" s="67"/>
      <c r="BJ311" s="67"/>
      <c r="BK311" s="67"/>
      <c r="BL311" s="67"/>
      <c r="BM311" s="67"/>
      <c r="BN311" s="67"/>
      <c r="BO311" s="35"/>
      <c r="BP311" s="67"/>
      <c r="BQ311" s="67"/>
      <c r="BR311" s="67"/>
      <c r="BS311" s="67"/>
      <c r="CW311" s="909"/>
      <c r="CX311" s="989"/>
      <c r="CY311" s="922"/>
      <c r="CZ311" s="905"/>
      <c r="DA311" s="1000"/>
      <c r="DB311" s="35"/>
      <c r="DC311" s="33"/>
      <c r="DD311" s="33"/>
      <c r="DE311" s="33"/>
      <c r="DF311" s="33"/>
      <c r="DG311" s="33"/>
      <c r="DH311" s="33"/>
      <c r="DI311" s="33"/>
      <c r="DJ311" s="33"/>
      <c r="DK311" s="33"/>
      <c r="DL311" s="33"/>
      <c r="DM311" s="33"/>
      <c r="DN311" s="33"/>
      <c r="DO311" s="33"/>
      <c r="DP311" s="33"/>
      <c r="DQ311" s="33"/>
      <c r="DR311" s="33"/>
    </row>
    <row r="312" spans="1:122" s="34" customFormat="1" x14ac:dyDescent="0.2">
      <c r="A312" s="886"/>
      <c r="B312" s="32"/>
      <c r="P312" s="35"/>
      <c r="Q312" s="35"/>
      <c r="R312" s="55"/>
      <c r="V312" s="37"/>
      <c r="W312" s="37"/>
      <c r="X312" s="37"/>
      <c r="Y312" s="37"/>
      <c r="Z312" s="37"/>
      <c r="AA312" s="37"/>
      <c r="AB312" s="37"/>
      <c r="AC312" s="37"/>
      <c r="AD312" s="37"/>
      <c r="AE312" s="37"/>
      <c r="AF312" s="37"/>
      <c r="AG312" s="37"/>
      <c r="AH312" s="37"/>
      <c r="BA312" s="67"/>
      <c r="BB312" s="67"/>
      <c r="BC312" s="67"/>
      <c r="BD312" s="67"/>
      <c r="BE312" s="67"/>
      <c r="BF312" s="67"/>
      <c r="BG312" s="67"/>
      <c r="BH312" s="67"/>
      <c r="BI312" s="67"/>
      <c r="BJ312" s="67"/>
      <c r="BK312" s="67"/>
      <c r="BL312" s="67"/>
      <c r="BM312" s="67"/>
      <c r="BN312" s="67"/>
      <c r="BO312" s="35"/>
      <c r="BP312" s="67"/>
      <c r="BQ312" s="67"/>
      <c r="BR312" s="67"/>
      <c r="BS312" s="67"/>
      <c r="CW312" s="909"/>
      <c r="CX312" s="989"/>
      <c r="CY312" s="922"/>
      <c r="CZ312" s="905"/>
      <c r="DA312" s="1000"/>
      <c r="DB312" s="35"/>
      <c r="DC312" s="33"/>
      <c r="DD312" s="33"/>
      <c r="DE312" s="33"/>
      <c r="DF312" s="33"/>
      <c r="DG312" s="33"/>
      <c r="DH312" s="33"/>
      <c r="DI312" s="33"/>
      <c r="DJ312" s="33"/>
      <c r="DK312" s="33"/>
      <c r="DL312" s="33"/>
      <c r="DM312" s="33"/>
      <c r="DN312" s="33"/>
      <c r="DO312" s="33"/>
      <c r="DP312" s="33"/>
      <c r="DQ312" s="33"/>
      <c r="DR312" s="33"/>
    </row>
    <row r="313" spans="1:122" s="34" customFormat="1" x14ac:dyDescent="0.2">
      <c r="A313" s="886"/>
      <c r="B313" s="32"/>
      <c r="P313" s="35"/>
      <c r="Q313" s="35"/>
      <c r="R313" s="55"/>
      <c r="V313" s="37"/>
      <c r="W313" s="37"/>
      <c r="X313" s="37"/>
      <c r="Y313" s="37"/>
      <c r="Z313" s="37"/>
      <c r="AA313" s="37"/>
      <c r="AB313" s="37"/>
      <c r="AC313" s="37"/>
      <c r="AD313" s="37"/>
      <c r="AE313" s="37"/>
      <c r="AF313" s="37"/>
      <c r="AG313" s="37"/>
      <c r="AH313" s="37"/>
      <c r="BA313" s="67"/>
      <c r="BB313" s="67"/>
      <c r="BC313" s="67"/>
      <c r="BD313" s="67"/>
      <c r="BE313" s="67"/>
      <c r="BF313" s="67"/>
      <c r="BG313" s="67"/>
      <c r="BH313" s="67"/>
      <c r="BI313" s="67"/>
      <c r="BJ313" s="67"/>
      <c r="BK313" s="67"/>
      <c r="BL313" s="67"/>
      <c r="BM313" s="67"/>
      <c r="BN313" s="67"/>
      <c r="BO313" s="35"/>
      <c r="BP313" s="67"/>
      <c r="BQ313" s="67"/>
      <c r="BR313" s="67"/>
      <c r="BS313" s="67"/>
      <c r="CW313" s="909"/>
      <c r="CX313" s="989"/>
      <c r="CY313" s="922"/>
      <c r="CZ313" s="905"/>
      <c r="DA313" s="1000"/>
      <c r="DB313" s="35"/>
      <c r="DC313" s="33"/>
      <c r="DD313" s="33"/>
      <c r="DE313" s="33"/>
      <c r="DF313" s="33"/>
      <c r="DG313" s="33"/>
      <c r="DH313" s="33"/>
      <c r="DI313" s="33"/>
      <c r="DJ313" s="33"/>
      <c r="DK313" s="33"/>
      <c r="DL313" s="33"/>
      <c r="DM313" s="33"/>
      <c r="DN313" s="33"/>
      <c r="DO313" s="33"/>
      <c r="DP313" s="33"/>
      <c r="DQ313" s="33"/>
      <c r="DR313" s="33"/>
    </row>
    <row r="314" spans="1:122" s="34" customFormat="1" x14ac:dyDescent="0.2">
      <c r="A314" s="886"/>
      <c r="B314" s="32"/>
      <c r="P314" s="35"/>
      <c r="Q314" s="35"/>
      <c r="R314" s="55"/>
      <c r="V314" s="37"/>
      <c r="W314" s="37"/>
      <c r="X314" s="37"/>
      <c r="Y314" s="37"/>
      <c r="Z314" s="37"/>
      <c r="AA314" s="37"/>
      <c r="AB314" s="37"/>
      <c r="AC314" s="37"/>
      <c r="AD314" s="37"/>
      <c r="AE314" s="37"/>
      <c r="AF314" s="37"/>
      <c r="AG314" s="37"/>
      <c r="AH314" s="37"/>
      <c r="BA314" s="67"/>
      <c r="BB314" s="67"/>
      <c r="BC314" s="67"/>
      <c r="BD314" s="67"/>
      <c r="BE314" s="67"/>
      <c r="BF314" s="67"/>
      <c r="BG314" s="67"/>
      <c r="BH314" s="67"/>
      <c r="BI314" s="67"/>
      <c r="BJ314" s="67"/>
      <c r="BK314" s="67"/>
      <c r="BL314" s="67"/>
      <c r="BM314" s="67"/>
      <c r="BN314" s="67"/>
      <c r="BO314" s="35"/>
      <c r="BP314" s="67"/>
      <c r="BQ314" s="67"/>
      <c r="BR314" s="67"/>
      <c r="BS314" s="67"/>
      <c r="CW314" s="909"/>
      <c r="CX314" s="989"/>
      <c r="CY314" s="922"/>
      <c r="CZ314" s="905"/>
      <c r="DA314" s="1000"/>
      <c r="DB314" s="35"/>
      <c r="DC314" s="33"/>
      <c r="DD314" s="33"/>
      <c r="DE314" s="33"/>
      <c r="DF314" s="33"/>
      <c r="DG314" s="33"/>
      <c r="DH314" s="33"/>
      <c r="DI314" s="33"/>
      <c r="DJ314" s="33"/>
      <c r="DK314" s="33"/>
      <c r="DL314" s="33"/>
      <c r="DM314" s="33"/>
      <c r="DN314" s="33"/>
      <c r="DO314" s="33"/>
      <c r="DP314" s="33"/>
      <c r="DQ314" s="33"/>
      <c r="DR314" s="33"/>
    </row>
    <row r="315" spans="1:122" s="34" customFormat="1" x14ac:dyDescent="0.2">
      <c r="A315" s="886"/>
      <c r="B315" s="32"/>
      <c r="P315" s="35"/>
      <c r="Q315" s="35"/>
      <c r="R315" s="55"/>
      <c r="V315" s="37"/>
      <c r="W315" s="37"/>
      <c r="X315" s="37"/>
      <c r="Y315" s="37"/>
      <c r="Z315" s="37"/>
      <c r="AA315" s="37"/>
      <c r="AB315" s="37"/>
      <c r="AC315" s="37"/>
      <c r="AD315" s="37"/>
      <c r="AE315" s="37"/>
      <c r="AF315" s="37"/>
      <c r="AG315" s="37"/>
      <c r="AH315" s="37"/>
      <c r="BA315" s="67"/>
      <c r="BB315" s="67"/>
      <c r="BC315" s="67"/>
      <c r="BD315" s="67"/>
      <c r="BE315" s="67"/>
      <c r="BF315" s="67"/>
      <c r="BG315" s="67"/>
      <c r="BH315" s="67"/>
      <c r="BI315" s="67"/>
      <c r="BJ315" s="67"/>
      <c r="BK315" s="67"/>
      <c r="BL315" s="67"/>
      <c r="BM315" s="67"/>
      <c r="BN315" s="67"/>
      <c r="BO315" s="35"/>
      <c r="BP315" s="67"/>
      <c r="BQ315" s="67"/>
      <c r="BR315" s="67"/>
      <c r="BS315" s="67"/>
      <c r="CW315" s="909"/>
      <c r="CX315" s="989"/>
      <c r="CY315" s="922"/>
      <c r="CZ315" s="905"/>
      <c r="DA315" s="1000"/>
      <c r="DB315" s="35"/>
      <c r="DC315" s="33"/>
      <c r="DD315" s="33"/>
      <c r="DE315" s="33"/>
      <c r="DF315" s="33"/>
      <c r="DG315" s="33"/>
      <c r="DH315" s="33"/>
      <c r="DI315" s="33"/>
      <c r="DJ315" s="33"/>
      <c r="DK315" s="33"/>
      <c r="DL315" s="33"/>
      <c r="DM315" s="33"/>
      <c r="DN315" s="33"/>
      <c r="DO315" s="33"/>
      <c r="DP315" s="33"/>
      <c r="DQ315" s="33"/>
      <c r="DR315" s="33"/>
    </row>
    <row r="316" spans="1:122" s="34" customFormat="1" x14ac:dyDescent="0.2">
      <c r="A316" s="886"/>
      <c r="B316" s="32"/>
      <c r="P316" s="35"/>
      <c r="Q316" s="35"/>
      <c r="R316" s="55"/>
      <c r="V316" s="37"/>
      <c r="W316" s="37"/>
      <c r="X316" s="37"/>
      <c r="Y316" s="37"/>
      <c r="Z316" s="37"/>
      <c r="AA316" s="37"/>
      <c r="AB316" s="37"/>
      <c r="AC316" s="37"/>
      <c r="AD316" s="37"/>
      <c r="AE316" s="37"/>
      <c r="AF316" s="37"/>
      <c r="AG316" s="37"/>
      <c r="AH316" s="37"/>
      <c r="BA316" s="67"/>
      <c r="BB316" s="67"/>
      <c r="BC316" s="67"/>
      <c r="BD316" s="67"/>
      <c r="BE316" s="67"/>
      <c r="BF316" s="67"/>
      <c r="BG316" s="67"/>
      <c r="BH316" s="67"/>
      <c r="BI316" s="67"/>
      <c r="BJ316" s="67"/>
      <c r="BK316" s="67"/>
      <c r="BL316" s="67"/>
      <c r="BM316" s="67"/>
      <c r="BN316" s="67"/>
      <c r="BO316" s="35"/>
      <c r="BP316" s="67"/>
      <c r="BQ316" s="67"/>
      <c r="BR316" s="67"/>
      <c r="BS316" s="67"/>
      <c r="CW316" s="909"/>
      <c r="CX316" s="989"/>
      <c r="CY316" s="922"/>
      <c r="CZ316" s="905"/>
      <c r="DA316" s="1000"/>
      <c r="DB316" s="35"/>
      <c r="DC316" s="33"/>
      <c r="DD316" s="33"/>
      <c r="DE316" s="33"/>
      <c r="DF316" s="33"/>
      <c r="DG316" s="33"/>
      <c r="DH316" s="33"/>
      <c r="DI316" s="33"/>
      <c r="DJ316" s="33"/>
      <c r="DK316" s="33"/>
      <c r="DL316" s="33"/>
      <c r="DM316" s="33"/>
      <c r="DN316" s="33"/>
      <c r="DO316" s="33"/>
      <c r="DP316" s="33"/>
      <c r="DQ316" s="33"/>
      <c r="DR316" s="33"/>
    </row>
    <row r="317" spans="1:122" s="34" customFormat="1" x14ac:dyDescent="0.2">
      <c r="A317" s="886"/>
      <c r="B317" s="32"/>
      <c r="P317" s="35"/>
      <c r="Q317" s="35"/>
      <c r="R317" s="55"/>
      <c r="V317" s="37"/>
      <c r="W317" s="37"/>
      <c r="X317" s="37"/>
      <c r="Y317" s="37"/>
      <c r="Z317" s="37"/>
      <c r="AA317" s="37"/>
      <c r="AB317" s="37"/>
      <c r="AC317" s="37"/>
      <c r="AD317" s="37"/>
      <c r="AE317" s="37"/>
      <c r="AF317" s="37"/>
      <c r="AG317" s="37"/>
      <c r="AH317" s="37"/>
      <c r="BA317" s="67"/>
      <c r="BB317" s="67"/>
      <c r="BC317" s="67"/>
      <c r="BD317" s="67"/>
      <c r="BE317" s="67"/>
      <c r="BF317" s="67"/>
      <c r="BG317" s="67"/>
      <c r="BH317" s="67"/>
      <c r="BI317" s="67"/>
      <c r="BJ317" s="67"/>
      <c r="BK317" s="67"/>
      <c r="BL317" s="67"/>
      <c r="BM317" s="67"/>
      <c r="BN317" s="67"/>
      <c r="BO317" s="35"/>
      <c r="BP317" s="67"/>
      <c r="BQ317" s="67"/>
      <c r="BR317" s="67"/>
      <c r="BS317" s="67"/>
      <c r="CW317" s="909"/>
      <c r="CX317" s="989"/>
      <c r="CY317" s="922"/>
      <c r="CZ317" s="905"/>
      <c r="DA317" s="1000"/>
      <c r="DB317" s="35"/>
      <c r="DC317" s="33"/>
      <c r="DD317" s="33"/>
      <c r="DE317" s="33"/>
      <c r="DF317" s="33"/>
      <c r="DG317" s="33"/>
      <c r="DH317" s="33"/>
      <c r="DI317" s="33"/>
      <c r="DJ317" s="33"/>
      <c r="DK317" s="33"/>
      <c r="DL317" s="33"/>
      <c r="DM317" s="33"/>
      <c r="DN317" s="33"/>
      <c r="DO317" s="33"/>
      <c r="DP317" s="33"/>
      <c r="DQ317" s="33"/>
      <c r="DR317" s="33"/>
    </row>
    <row r="318" spans="1:122" s="34" customFormat="1" x14ac:dyDescent="0.2">
      <c r="A318" s="886"/>
      <c r="B318" s="32"/>
      <c r="P318" s="35"/>
      <c r="Q318" s="35"/>
      <c r="R318" s="55"/>
      <c r="V318" s="37"/>
      <c r="W318" s="37"/>
      <c r="X318" s="37"/>
      <c r="Y318" s="37"/>
      <c r="Z318" s="37"/>
      <c r="AA318" s="37"/>
      <c r="AB318" s="37"/>
      <c r="AC318" s="37"/>
      <c r="AD318" s="37"/>
      <c r="AE318" s="37"/>
      <c r="AF318" s="37"/>
      <c r="AG318" s="37"/>
      <c r="AH318" s="37"/>
      <c r="BA318" s="67"/>
      <c r="BB318" s="67"/>
      <c r="BC318" s="67"/>
      <c r="BD318" s="67"/>
      <c r="BE318" s="67"/>
      <c r="BF318" s="67"/>
      <c r="BG318" s="67"/>
      <c r="BH318" s="67"/>
      <c r="BI318" s="67"/>
      <c r="BJ318" s="67"/>
      <c r="BK318" s="67"/>
      <c r="BL318" s="67"/>
      <c r="BM318" s="67"/>
      <c r="BN318" s="67"/>
      <c r="BO318" s="35"/>
      <c r="BP318" s="67"/>
      <c r="BQ318" s="67"/>
      <c r="BR318" s="67"/>
      <c r="BS318" s="67"/>
      <c r="CW318" s="909"/>
      <c r="CX318" s="989"/>
      <c r="CY318" s="922"/>
      <c r="CZ318" s="905"/>
      <c r="DA318" s="1000"/>
      <c r="DB318" s="35"/>
      <c r="DC318" s="33"/>
      <c r="DD318" s="33"/>
      <c r="DE318" s="33"/>
      <c r="DF318" s="33"/>
      <c r="DG318" s="33"/>
      <c r="DH318" s="33"/>
      <c r="DI318" s="33"/>
      <c r="DJ318" s="33"/>
      <c r="DK318" s="33"/>
      <c r="DL318" s="33"/>
      <c r="DM318" s="33"/>
      <c r="DN318" s="33"/>
      <c r="DO318" s="33"/>
      <c r="DP318" s="33"/>
      <c r="DQ318" s="33"/>
      <c r="DR318" s="33"/>
    </row>
    <row r="319" spans="1:122" s="34" customFormat="1" x14ac:dyDescent="0.2">
      <c r="A319" s="886"/>
      <c r="B319" s="32"/>
      <c r="P319" s="35"/>
      <c r="Q319" s="35"/>
      <c r="R319" s="55"/>
      <c r="V319" s="37"/>
      <c r="W319" s="37"/>
      <c r="X319" s="37"/>
      <c r="Y319" s="37"/>
      <c r="Z319" s="37"/>
      <c r="AA319" s="37"/>
      <c r="AB319" s="37"/>
      <c r="AC319" s="37"/>
      <c r="AD319" s="37"/>
      <c r="AE319" s="37"/>
      <c r="AF319" s="37"/>
      <c r="AG319" s="37"/>
      <c r="AH319" s="37"/>
      <c r="BA319" s="67"/>
      <c r="BB319" s="67"/>
      <c r="BC319" s="67"/>
      <c r="BD319" s="67"/>
      <c r="BE319" s="67"/>
      <c r="BF319" s="67"/>
      <c r="BG319" s="67"/>
      <c r="BH319" s="67"/>
      <c r="BI319" s="67"/>
      <c r="BJ319" s="67"/>
      <c r="BK319" s="67"/>
      <c r="BL319" s="67"/>
      <c r="BM319" s="67"/>
      <c r="BN319" s="67"/>
      <c r="BO319" s="35"/>
      <c r="BP319" s="67"/>
      <c r="BQ319" s="67"/>
      <c r="BR319" s="67"/>
      <c r="BS319" s="67"/>
      <c r="CW319" s="909"/>
      <c r="CX319" s="989"/>
      <c r="CY319" s="922"/>
      <c r="CZ319" s="905"/>
      <c r="DA319" s="1000"/>
      <c r="DB319" s="35"/>
      <c r="DC319" s="33"/>
      <c r="DD319" s="33"/>
      <c r="DE319" s="33"/>
      <c r="DF319" s="33"/>
      <c r="DG319" s="33"/>
      <c r="DH319" s="33"/>
      <c r="DI319" s="33"/>
      <c r="DJ319" s="33"/>
      <c r="DK319" s="33"/>
      <c r="DL319" s="33"/>
      <c r="DM319" s="33"/>
      <c r="DN319" s="33"/>
      <c r="DO319" s="33"/>
      <c r="DP319" s="33"/>
      <c r="DQ319" s="33"/>
      <c r="DR319" s="33"/>
    </row>
    <row r="320" spans="1:122" s="34" customFormat="1" x14ac:dyDescent="0.2">
      <c r="A320" s="886"/>
      <c r="B320" s="32"/>
      <c r="P320" s="35"/>
      <c r="Q320" s="35"/>
      <c r="R320" s="55"/>
      <c r="V320" s="37"/>
      <c r="W320" s="37"/>
      <c r="X320" s="37"/>
      <c r="Y320" s="37"/>
      <c r="Z320" s="37"/>
      <c r="AA320" s="37"/>
      <c r="AB320" s="37"/>
      <c r="AC320" s="37"/>
      <c r="AD320" s="37"/>
      <c r="AE320" s="37"/>
      <c r="AF320" s="37"/>
      <c r="AG320" s="37"/>
      <c r="AH320" s="37"/>
      <c r="BA320" s="67"/>
      <c r="BB320" s="67"/>
      <c r="BC320" s="67"/>
      <c r="BD320" s="67"/>
      <c r="BE320" s="67"/>
      <c r="BF320" s="67"/>
      <c r="BG320" s="67"/>
      <c r="BH320" s="67"/>
      <c r="BI320" s="67"/>
      <c r="BJ320" s="67"/>
      <c r="BK320" s="67"/>
      <c r="BL320" s="67"/>
      <c r="BM320" s="67"/>
      <c r="BN320" s="67"/>
      <c r="BO320" s="35"/>
      <c r="BP320" s="67"/>
      <c r="BQ320" s="67"/>
      <c r="BR320" s="67"/>
      <c r="BS320" s="67"/>
      <c r="CW320" s="909"/>
      <c r="CX320" s="989"/>
      <c r="CY320" s="922"/>
      <c r="CZ320" s="905"/>
      <c r="DA320" s="1000"/>
      <c r="DB320" s="35"/>
      <c r="DC320" s="33"/>
      <c r="DD320" s="33"/>
      <c r="DE320" s="33"/>
      <c r="DF320" s="33"/>
      <c r="DG320" s="33"/>
      <c r="DH320" s="33"/>
      <c r="DI320" s="33"/>
      <c r="DJ320" s="33"/>
      <c r="DK320" s="33"/>
      <c r="DL320" s="33"/>
      <c r="DM320" s="33"/>
      <c r="DN320" s="33"/>
      <c r="DO320" s="33"/>
      <c r="DP320" s="33"/>
      <c r="DQ320" s="33"/>
      <c r="DR320" s="33"/>
    </row>
    <row r="321" spans="1:122" s="34" customFormat="1" x14ac:dyDescent="0.2">
      <c r="A321" s="886"/>
      <c r="B321" s="32"/>
      <c r="P321" s="35"/>
      <c r="Q321" s="35"/>
      <c r="R321" s="55"/>
      <c r="V321" s="37"/>
      <c r="W321" s="37"/>
      <c r="X321" s="37"/>
      <c r="Y321" s="37"/>
      <c r="Z321" s="37"/>
      <c r="AA321" s="37"/>
      <c r="AB321" s="37"/>
      <c r="AC321" s="37"/>
      <c r="AD321" s="37"/>
      <c r="AE321" s="37"/>
      <c r="AF321" s="37"/>
      <c r="AG321" s="37"/>
      <c r="AH321" s="37"/>
      <c r="BA321" s="67"/>
      <c r="BB321" s="67"/>
      <c r="BC321" s="67"/>
      <c r="BD321" s="67"/>
      <c r="BE321" s="67"/>
      <c r="BF321" s="67"/>
      <c r="BG321" s="67"/>
      <c r="BH321" s="67"/>
      <c r="BI321" s="67"/>
      <c r="BJ321" s="67"/>
      <c r="BK321" s="67"/>
      <c r="BL321" s="67"/>
      <c r="BM321" s="67"/>
      <c r="BN321" s="67"/>
      <c r="BO321" s="35"/>
      <c r="BP321" s="67"/>
      <c r="BQ321" s="67"/>
      <c r="BR321" s="67"/>
      <c r="BS321" s="67"/>
      <c r="CW321" s="909"/>
      <c r="CX321" s="989"/>
      <c r="CY321" s="922"/>
      <c r="CZ321" s="905"/>
      <c r="DA321" s="1000"/>
      <c r="DB321" s="35"/>
      <c r="DC321" s="33"/>
      <c r="DD321" s="33"/>
      <c r="DE321" s="33"/>
      <c r="DF321" s="33"/>
      <c r="DG321" s="33"/>
      <c r="DH321" s="33"/>
      <c r="DI321" s="33"/>
      <c r="DJ321" s="33"/>
      <c r="DK321" s="33"/>
      <c r="DL321" s="33"/>
      <c r="DM321" s="33"/>
      <c r="DN321" s="33"/>
      <c r="DO321" s="33"/>
      <c r="DP321" s="33"/>
      <c r="DQ321" s="33"/>
      <c r="DR321" s="33"/>
    </row>
    <row r="322" spans="1:122" s="34" customFormat="1" x14ac:dyDescent="0.2">
      <c r="A322" s="886"/>
      <c r="B322" s="32"/>
      <c r="P322" s="35"/>
      <c r="Q322" s="35"/>
      <c r="R322" s="55"/>
      <c r="V322" s="37"/>
      <c r="W322" s="37"/>
      <c r="X322" s="37"/>
      <c r="Y322" s="37"/>
      <c r="Z322" s="37"/>
      <c r="AA322" s="37"/>
      <c r="AB322" s="37"/>
      <c r="AC322" s="37"/>
      <c r="AD322" s="37"/>
      <c r="AE322" s="37"/>
      <c r="AF322" s="37"/>
      <c r="AG322" s="37"/>
      <c r="AH322" s="37"/>
      <c r="BA322" s="67"/>
      <c r="BB322" s="67"/>
      <c r="BC322" s="67"/>
      <c r="BD322" s="67"/>
      <c r="BE322" s="67"/>
      <c r="BF322" s="67"/>
      <c r="BG322" s="67"/>
      <c r="BH322" s="67"/>
      <c r="BI322" s="67"/>
      <c r="BJ322" s="67"/>
      <c r="BK322" s="67"/>
      <c r="BL322" s="67"/>
      <c r="BM322" s="67"/>
      <c r="BN322" s="67"/>
      <c r="BO322" s="35"/>
      <c r="BP322" s="67"/>
      <c r="BQ322" s="67"/>
      <c r="BR322" s="67"/>
      <c r="BS322" s="67"/>
      <c r="CW322" s="909"/>
      <c r="CX322" s="989"/>
      <c r="CY322" s="922"/>
      <c r="CZ322" s="905"/>
      <c r="DA322" s="1000"/>
      <c r="DB322" s="35"/>
      <c r="DC322" s="33"/>
      <c r="DD322" s="33"/>
      <c r="DE322" s="33"/>
      <c r="DF322" s="33"/>
      <c r="DG322" s="33"/>
      <c r="DH322" s="33"/>
      <c r="DI322" s="33"/>
      <c r="DJ322" s="33"/>
      <c r="DK322" s="33"/>
      <c r="DL322" s="33"/>
      <c r="DM322" s="33"/>
      <c r="DN322" s="33"/>
      <c r="DO322" s="33"/>
      <c r="DP322" s="33"/>
      <c r="DQ322" s="33"/>
      <c r="DR322" s="33"/>
    </row>
    <row r="323" spans="1:122" s="34" customFormat="1" x14ac:dyDescent="0.2">
      <c r="A323" s="886"/>
      <c r="B323" s="32"/>
      <c r="P323" s="35"/>
      <c r="Q323" s="35"/>
      <c r="R323" s="55"/>
      <c r="V323" s="37"/>
      <c r="W323" s="37"/>
      <c r="X323" s="37"/>
      <c r="Y323" s="37"/>
      <c r="Z323" s="37"/>
      <c r="AA323" s="37"/>
      <c r="AB323" s="37"/>
      <c r="AC323" s="37"/>
      <c r="AD323" s="37"/>
      <c r="AE323" s="37"/>
      <c r="AF323" s="37"/>
      <c r="AG323" s="37"/>
      <c r="AH323" s="37"/>
      <c r="BA323" s="67"/>
      <c r="BB323" s="67"/>
      <c r="BC323" s="67"/>
      <c r="BD323" s="67"/>
      <c r="BE323" s="67"/>
      <c r="BF323" s="67"/>
      <c r="BG323" s="67"/>
      <c r="BH323" s="67"/>
      <c r="BI323" s="67"/>
      <c r="BJ323" s="67"/>
      <c r="BK323" s="67"/>
      <c r="BL323" s="67"/>
      <c r="BM323" s="67"/>
      <c r="BN323" s="67"/>
      <c r="BO323" s="35"/>
      <c r="BP323" s="67"/>
      <c r="BQ323" s="67"/>
      <c r="BR323" s="67"/>
      <c r="BS323" s="67"/>
      <c r="CW323" s="909"/>
      <c r="CX323" s="989"/>
      <c r="CY323" s="922"/>
      <c r="CZ323" s="905"/>
      <c r="DA323" s="1000"/>
      <c r="DB323" s="35"/>
      <c r="DC323" s="33"/>
      <c r="DD323" s="33"/>
      <c r="DE323" s="33"/>
      <c r="DF323" s="33"/>
      <c r="DG323" s="33"/>
      <c r="DH323" s="33"/>
      <c r="DI323" s="33"/>
      <c r="DJ323" s="33"/>
      <c r="DK323" s="33"/>
      <c r="DL323" s="33"/>
      <c r="DM323" s="33"/>
      <c r="DN323" s="33"/>
      <c r="DO323" s="33"/>
      <c r="DP323" s="33"/>
      <c r="DQ323" s="33"/>
      <c r="DR323" s="33"/>
    </row>
    <row r="324" spans="1:122" s="34" customFormat="1" x14ac:dyDescent="0.2">
      <c r="A324" s="886"/>
      <c r="B324" s="32"/>
      <c r="P324" s="35"/>
      <c r="Q324" s="35"/>
      <c r="R324" s="55"/>
      <c r="V324" s="37"/>
      <c r="W324" s="37"/>
      <c r="X324" s="37"/>
      <c r="Y324" s="37"/>
      <c r="Z324" s="37"/>
      <c r="AA324" s="37"/>
      <c r="AB324" s="37"/>
      <c r="AC324" s="37"/>
      <c r="AD324" s="37"/>
      <c r="AE324" s="37"/>
      <c r="AF324" s="37"/>
      <c r="AG324" s="37"/>
      <c r="AH324" s="37"/>
      <c r="BA324" s="67"/>
      <c r="BB324" s="67"/>
      <c r="BC324" s="67"/>
      <c r="BD324" s="67"/>
      <c r="BE324" s="67"/>
      <c r="BF324" s="67"/>
      <c r="BG324" s="67"/>
      <c r="BH324" s="67"/>
      <c r="BI324" s="67"/>
      <c r="BJ324" s="67"/>
      <c r="BK324" s="67"/>
      <c r="BL324" s="67"/>
      <c r="BM324" s="67"/>
      <c r="BN324" s="67"/>
      <c r="BO324" s="35"/>
      <c r="BP324" s="67"/>
      <c r="BQ324" s="67"/>
      <c r="BR324" s="67"/>
      <c r="BS324" s="67"/>
      <c r="CW324" s="909"/>
      <c r="CX324" s="989"/>
      <c r="CY324" s="922"/>
      <c r="CZ324" s="905"/>
      <c r="DA324" s="1000"/>
      <c r="DB324" s="35"/>
      <c r="DC324" s="33"/>
      <c r="DD324" s="33"/>
      <c r="DE324" s="33"/>
      <c r="DF324" s="33"/>
      <c r="DG324" s="33"/>
      <c r="DH324" s="33"/>
      <c r="DI324" s="33"/>
      <c r="DJ324" s="33"/>
      <c r="DK324" s="33"/>
      <c r="DL324" s="33"/>
      <c r="DM324" s="33"/>
      <c r="DN324" s="33"/>
      <c r="DO324" s="33"/>
      <c r="DP324" s="33"/>
      <c r="DQ324" s="33"/>
      <c r="DR324" s="33"/>
    </row>
    <row r="325" spans="1:122" s="34" customFormat="1" x14ac:dyDescent="0.2">
      <c r="A325" s="886"/>
      <c r="B325" s="32"/>
      <c r="P325" s="35"/>
      <c r="Q325" s="35"/>
      <c r="R325" s="55"/>
      <c r="V325" s="37"/>
      <c r="W325" s="37"/>
      <c r="X325" s="37"/>
      <c r="Y325" s="37"/>
      <c r="Z325" s="37"/>
      <c r="AA325" s="37"/>
      <c r="AB325" s="37"/>
      <c r="AC325" s="37"/>
      <c r="AD325" s="37"/>
      <c r="AE325" s="37"/>
      <c r="AF325" s="37"/>
      <c r="AG325" s="37"/>
      <c r="AH325" s="37"/>
      <c r="BA325" s="67"/>
      <c r="BB325" s="67"/>
      <c r="BC325" s="67"/>
      <c r="BD325" s="67"/>
      <c r="BE325" s="67"/>
      <c r="BF325" s="67"/>
      <c r="BG325" s="67"/>
      <c r="BH325" s="67"/>
      <c r="BI325" s="67"/>
      <c r="BJ325" s="67"/>
      <c r="BK325" s="67"/>
      <c r="BL325" s="67"/>
      <c r="BM325" s="67"/>
      <c r="BN325" s="67"/>
      <c r="BO325" s="35"/>
      <c r="BP325" s="67"/>
      <c r="BQ325" s="67"/>
      <c r="BR325" s="67"/>
      <c r="BS325" s="67"/>
      <c r="CW325" s="909"/>
      <c r="CX325" s="989"/>
      <c r="CY325" s="922"/>
      <c r="CZ325" s="905"/>
      <c r="DA325" s="1000"/>
      <c r="DB325" s="35"/>
      <c r="DC325" s="33"/>
      <c r="DD325" s="33"/>
      <c r="DE325" s="33"/>
      <c r="DF325" s="33"/>
      <c r="DG325" s="33"/>
      <c r="DH325" s="33"/>
      <c r="DI325" s="33"/>
      <c r="DJ325" s="33"/>
      <c r="DK325" s="33"/>
      <c r="DL325" s="33"/>
      <c r="DM325" s="33"/>
      <c r="DN325" s="33"/>
      <c r="DO325" s="33"/>
      <c r="DP325" s="33"/>
      <c r="DQ325" s="33"/>
      <c r="DR325" s="33"/>
    </row>
    <row r="326" spans="1:122" s="34" customFormat="1" x14ac:dyDescent="0.2">
      <c r="A326" s="886"/>
      <c r="B326" s="32"/>
      <c r="P326" s="35"/>
      <c r="Q326" s="35"/>
      <c r="R326" s="55"/>
      <c r="V326" s="37"/>
      <c r="W326" s="37"/>
      <c r="X326" s="37"/>
      <c r="Y326" s="37"/>
      <c r="Z326" s="37"/>
      <c r="AA326" s="37"/>
      <c r="AB326" s="37"/>
      <c r="AC326" s="37"/>
      <c r="AD326" s="37"/>
      <c r="AE326" s="37"/>
      <c r="AF326" s="37"/>
      <c r="AG326" s="37"/>
      <c r="AH326" s="37"/>
      <c r="BA326" s="67"/>
      <c r="BB326" s="67"/>
      <c r="BC326" s="67"/>
      <c r="BD326" s="67"/>
      <c r="BE326" s="67"/>
      <c r="BF326" s="67"/>
      <c r="BG326" s="67"/>
      <c r="BH326" s="67"/>
      <c r="BI326" s="67"/>
      <c r="BJ326" s="67"/>
      <c r="BK326" s="67"/>
      <c r="BL326" s="67"/>
      <c r="BM326" s="67"/>
      <c r="BN326" s="67"/>
      <c r="BO326" s="35"/>
      <c r="BP326" s="67"/>
      <c r="BQ326" s="67"/>
      <c r="BR326" s="67"/>
      <c r="BS326" s="67"/>
      <c r="CW326" s="909"/>
      <c r="CX326" s="989"/>
      <c r="CY326" s="922"/>
      <c r="CZ326" s="905"/>
      <c r="DA326" s="1000"/>
      <c r="DB326" s="35"/>
      <c r="DC326" s="33"/>
      <c r="DD326" s="33"/>
      <c r="DE326" s="33"/>
      <c r="DF326" s="33"/>
      <c r="DG326" s="33"/>
      <c r="DH326" s="33"/>
      <c r="DI326" s="33"/>
      <c r="DJ326" s="33"/>
      <c r="DK326" s="33"/>
      <c r="DL326" s="33"/>
      <c r="DM326" s="33"/>
      <c r="DN326" s="33"/>
      <c r="DO326" s="33"/>
      <c r="DP326" s="33"/>
      <c r="DQ326" s="33"/>
      <c r="DR326" s="33"/>
    </row>
    <row r="327" spans="1:122" s="34" customFormat="1" x14ac:dyDescent="0.2">
      <c r="A327" s="886"/>
      <c r="B327" s="32"/>
      <c r="P327" s="35"/>
      <c r="Q327" s="35"/>
      <c r="R327" s="55"/>
      <c r="V327" s="37"/>
      <c r="W327" s="37"/>
      <c r="X327" s="37"/>
      <c r="Y327" s="37"/>
      <c r="Z327" s="37"/>
      <c r="AA327" s="37"/>
      <c r="AB327" s="37"/>
      <c r="AC327" s="37"/>
      <c r="AD327" s="37"/>
      <c r="AE327" s="37"/>
      <c r="AF327" s="37"/>
      <c r="AG327" s="37"/>
      <c r="AH327" s="37"/>
      <c r="BA327" s="67"/>
      <c r="BB327" s="67"/>
      <c r="BC327" s="67"/>
      <c r="BD327" s="67"/>
      <c r="BE327" s="67"/>
      <c r="BF327" s="67"/>
      <c r="BG327" s="67"/>
      <c r="BH327" s="67"/>
      <c r="BI327" s="67"/>
      <c r="BJ327" s="67"/>
      <c r="BK327" s="67"/>
      <c r="BL327" s="67"/>
      <c r="BM327" s="67"/>
      <c r="BN327" s="67"/>
      <c r="BO327" s="35"/>
      <c r="BP327" s="67"/>
      <c r="BQ327" s="67"/>
      <c r="BR327" s="67"/>
      <c r="BS327" s="67"/>
      <c r="CW327" s="909"/>
      <c r="CX327" s="989"/>
      <c r="CY327" s="922"/>
      <c r="CZ327" s="905"/>
      <c r="DA327" s="1000"/>
      <c r="DB327" s="35"/>
      <c r="DC327" s="33"/>
      <c r="DD327" s="33"/>
      <c r="DE327" s="33"/>
      <c r="DF327" s="33"/>
      <c r="DG327" s="33"/>
      <c r="DH327" s="33"/>
      <c r="DI327" s="33"/>
      <c r="DJ327" s="33"/>
      <c r="DK327" s="33"/>
      <c r="DL327" s="33"/>
      <c r="DM327" s="33"/>
      <c r="DN327" s="33"/>
      <c r="DO327" s="33"/>
      <c r="DP327" s="33"/>
      <c r="DQ327" s="33"/>
      <c r="DR327" s="33"/>
    </row>
    <row r="328" spans="1:122" s="34" customFormat="1" x14ac:dyDescent="0.2">
      <c r="A328" s="886"/>
      <c r="B328" s="32"/>
      <c r="P328" s="35"/>
      <c r="Q328" s="35"/>
      <c r="R328" s="55"/>
      <c r="V328" s="37"/>
      <c r="W328" s="37"/>
      <c r="X328" s="37"/>
      <c r="Y328" s="37"/>
      <c r="Z328" s="37"/>
      <c r="AA328" s="37"/>
      <c r="AB328" s="37"/>
      <c r="AC328" s="37"/>
      <c r="AD328" s="37"/>
      <c r="AE328" s="37"/>
      <c r="AF328" s="37"/>
      <c r="AG328" s="37"/>
      <c r="AH328" s="37"/>
      <c r="BA328" s="67"/>
      <c r="BB328" s="67"/>
      <c r="BC328" s="67"/>
      <c r="BD328" s="67"/>
      <c r="BE328" s="67"/>
      <c r="BF328" s="67"/>
      <c r="BG328" s="67"/>
      <c r="BH328" s="67"/>
      <c r="BI328" s="67"/>
      <c r="BJ328" s="67"/>
      <c r="BK328" s="67"/>
      <c r="BL328" s="67"/>
      <c r="BM328" s="67"/>
      <c r="BN328" s="67"/>
      <c r="BO328" s="35"/>
      <c r="BP328" s="67"/>
      <c r="BQ328" s="67"/>
      <c r="BR328" s="67"/>
      <c r="BS328" s="67"/>
      <c r="CW328" s="909"/>
      <c r="CX328" s="989"/>
      <c r="CY328" s="922"/>
      <c r="CZ328" s="905"/>
      <c r="DA328" s="1000"/>
      <c r="DB328" s="35"/>
      <c r="DC328" s="33"/>
      <c r="DD328" s="33"/>
      <c r="DE328" s="33"/>
      <c r="DF328" s="33"/>
      <c r="DG328" s="33"/>
      <c r="DH328" s="33"/>
      <c r="DI328" s="33"/>
      <c r="DJ328" s="33"/>
      <c r="DK328" s="33"/>
      <c r="DL328" s="33"/>
      <c r="DM328" s="33"/>
      <c r="DN328" s="33"/>
      <c r="DO328" s="33"/>
      <c r="DP328" s="33"/>
      <c r="DQ328" s="33"/>
      <c r="DR328" s="33"/>
    </row>
    <row r="329" spans="1:122" s="34" customFormat="1" x14ac:dyDescent="0.2">
      <c r="A329" s="886"/>
      <c r="B329" s="32"/>
      <c r="P329" s="35"/>
      <c r="Q329" s="35"/>
      <c r="R329" s="55"/>
      <c r="V329" s="37"/>
      <c r="W329" s="37"/>
      <c r="X329" s="37"/>
      <c r="Y329" s="37"/>
      <c r="Z329" s="37"/>
      <c r="AA329" s="37"/>
      <c r="AB329" s="37"/>
      <c r="AC329" s="37"/>
      <c r="AD329" s="37"/>
      <c r="AE329" s="37"/>
      <c r="AF329" s="37"/>
      <c r="AG329" s="37"/>
      <c r="AH329" s="37"/>
      <c r="BA329" s="67"/>
      <c r="BB329" s="67"/>
      <c r="BC329" s="67"/>
      <c r="BD329" s="67"/>
      <c r="BE329" s="67"/>
      <c r="BF329" s="67"/>
      <c r="BG329" s="67"/>
      <c r="BH329" s="67"/>
      <c r="BI329" s="67"/>
      <c r="BJ329" s="67"/>
      <c r="BK329" s="67"/>
      <c r="BL329" s="67"/>
      <c r="BM329" s="67"/>
      <c r="BN329" s="67"/>
      <c r="BO329" s="35"/>
      <c r="BP329" s="67"/>
      <c r="BQ329" s="67"/>
      <c r="BR329" s="67"/>
      <c r="BS329" s="67"/>
      <c r="CW329" s="909"/>
      <c r="CX329" s="989"/>
      <c r="CY329" s="922"/>
      <c r="CZ329" s="905"/>
      <c r="DA329" s="1000"/>
      <c r="DB329" s="35"/>
      <c r="DC329" s="33"/>
      <c r="DD329" s="33"/>
      <c r="DE329" s="33"/>
      <c r="DF329" s="33"/>
      <c r="DG329" s="33"/>
      <c r="DH329" s="33"/>
      <c r="DI329" s="33"/>
      <c r="DJ329" s="33"/>
      <c r="DK329" s="33"/>
      <c r="DL329" s="33"/>
      <c r="DM329" s="33"/>
      <c r="DN329" s="33"/>
      <c r="DO329" s="33"/>
      <c r="DP329" s="33"/>
      <c r="DQ329" s="33"/>
      <c r="DR329" s="33"/>
    </row>
    <row r="330" spans="1:122" s="34" customFormat="1" x14ac:dyDescent="0.2">
      <c r="A330" s="886"/>
      <c r="B330" s="32"/>
      <c r="P330" s="35"/>
      <c r="Q330" s="35"/>
      <c r="R330" s="55"/>
      <c r="V330" s="37"/>
      <c r="W330" s="37"/>
      <c r="X330" s="37"/>
      <c r="Y330" s="37"/>
      <c r="Z330" s="37"/>
      <c r="AA330" s="37"/>
      <c r="AB330" s="37"/>
      <c r="AC330" s="37"/>
      <c r="AD330" s="37"/>
      <c r="AE330" s="37"/>
      <c r="AF330" s="37"/>
      <c r="AG330" s="37"/>
      <c r="AH330" s="37"/>
      <c r="BA330" s="67"/>
      <c r="BB330" s="67"/>
      <c r="BC330" s="67"/>
      <c r="BD330" s="67"/>
      <c r="BE330" s="67"/>
      <c r="BF330" s="67"/>
      <c r="BG330" s="67"/>
      <c r="BH330" s="67"/>
      <c r="BI330" s="67"/>
      <c r="BJ330" s="67"/>
      <c r="BK330" s="67"/>
      <c r="BL330" s="67"/>
      <c r="BM330" s="67"/>
      <c r="BN330" s="67"/>
      <c r="BO330" s="35"/>
      <c r="BP330" s="67"/>
      <c r="BQ330" s="67"/>
      <c r="BR330" s="67"/>
      <c r="BS330" s="67"/>
      <c r="CW330" s="909"/>
      <c r="CX330" s="989"/>
      <c r="CY330" s="922"/>
      <c r="CZ330" s="905"/>
      <c r="DA330" s="1000"/>
      <c r="DB330" s="35"/>
      <c r="DC330" s="33"/>
      <c r="DD330" s="33"/>
      <c r="DE330" s="33"/>
      <c r="DF330" s="33"/>
      <c r="DG330" s="33"/>
      <c r="DH330" s="33"/>
      <c r="DI330" s="33"/>
      <c r="DJ330" s="33"/>
      <c r="DK330" s="33"/>
      <c r="DL330" s="33"/>
      <c r="DM330" s="33"/>
      <c r="DN330" s="33"/>
      <c r="DO330" s="33"/>
      <c r="DP330" s="33"/>
      <c r="DQ330" s="33"/>
      <c r="DR330" s="33"/>
    </row>
    <row r="331" spans="1:122" s="34" customFormat="1" x14ac:dyDescent="0.2">
      <c r="A331" s="886"/>
      <c r="B331" s="32"/>
      <c r="P331" s="35"/>
      <c r="Q331" s="35"/>
      <c r="R331" s="55"/>
      <c r="V331" s="37"/>
      <c r="W331" s="37"/>
      <c r="X331" s="37"/>
      <c r="Y331" s="37"/>
      <c r="Z331" s="37"/>
      <c r="AA331" s="37"/>
      <c r="AB331" s="37"/>
      <c r="AC331" s="37"/>
      <c r="AD331" s="37"/>
      <c r="AE331" s="37"/>
      <c r="AF331" s="37"/>
      <c r="AG331" s="37"/>
      <c r="AH331" s="37"/>
      <c r="BA331" s="67"/>
      <c r="BB331" s="67"/>
      <c r="BC331" s="67"/>
      <c r="BD331" s="67"/>
      <c r="BE331" s="67"/>
      <c r="BF331" s="67"/>
      <c r="BG331" s="67"/>
      <c r="BH331" s="67"/>
      <c r="BI331" s="67"/>
      <c r="BJ331" s="67"/>
      <c r="BK331" s="67"/>
      <c r="BL331" s="67"/>
      <c r="BM331" s="67"/>
      <c r="BN331" s="67"/>
      <c r="BO331" s="35"/>
      <c r="BP331" s="67"/>
      <c r="BQ331" s="67"/>
      <c r="BR331" s="67"/>
      <c r="BS331" s="67"/>
      <c r="CW331" s="909"/>
      <c r="CX331" s="989"/>
      <c r="CY331" s="922"/>
      <c r="CZ331" s="905"/>
      <c r="DA331" s="1000"/>
      <c r="DB331" s="35"/>
      <c r="DC331" s="33"/>
      <c r="DD331" s="33"/>
      <c r="DE331" s="33"/>
      <c r="DF331" s="33"/>
      <c r="DG331" s="33"/>
      <c r="DH331" s="33"/>
      <c r="DI331" s="33"/>
      <c r="DJ331" s="33"/>
      <c r="DK331" s="33"/>
      <c r="DL331" s="33"/>
      <c r="DM331" s="33"/>
      <c r="DN331" s="33"/>
      <c r="DO331" s="33"/>
      <c r="DP331" s="33"/>
      <c r="DQ331" s="33"/>
      <c r="DR331" s="33"/>
    </row>
    <row r="332" spans="1:122" s="34" customFormat="1" x14ac:dyDescent="0.2">
      <c r="A332" s="886"/>
      <c r="B332" s="32"/>
      <c r="P332" s="35"/>
      <c r="Q332" s="35"/>
      <c r="R332" s="55"/>
      <c r="V332" s="37"/>
      <c r="W332" s="37"/>
      <c r="X332" s="37"/>
      <c r="Y332" s="37"/>
      <c r="Z332" s="37"/>
      <c r="AA332" s="37"/>
      <c r="AB332" s="37"/>
      <c r="AC332" s="37"/>
      <c r="AD332" s="37"/>
      <c r="AE332" s="37"/>
      <c r="AF332" s="37"/>
      <c r="AG332" s="37"/>
      <c r="AH332" s="37"/>
      <c r="BA332" s="67"/>
      <c r="BB332" s="67"/>
      <c r="BC332" s="67"/>
      <c r="BD332" s="67"/>
      <c r="BE332" s="67"/>
      <c r="BF332" s="67"/>
      <c r="BG332" s="67"/>
      <c r="BH332" s="67"/>
      <c r="BI332" s="67"/>
      <c r="BJ332" s="67"/>
      <c r="BK332" s="67"/>
      <c r="BL332" s="67"/>
      <c r="BM332" s="67"/>
      <c r="BN332" s="67"/>
      <c r="BO332" s="35"/>
      <c r="BP332" s="67"/>
      <c r="BQ332" s="67"/>
      <c r="BR332" s="67"/>
      <c r="BS332" s="67"/>
      <c r="CW332" s="909"/>
      <c r="CX332" s="989"/>
      <c r="CY332" s="922"/>
      <c r="CZ332" s="905"/>
      <c r="DA332" s="1000"/>
      <c r="DB332" s="35"/>
      <c r="DC332" s="33"/>
      <c r="DD332" s="33"/>
      <c r="DE332" s="33"/>
      <c r="DF332" s="33"/>
      <c r="DG332" s="33"/>
      <c r="DH332" s="33"/>
      <c r="DI332" s="33"/>
      <c r="DJ332" s="33"/>
      <c r="DK332" s="33"/>
      <c r="DL332" s="33"/>
      <c r="DM332" s="33"/>
      <c r="DN332" s="33"/>
      <c r="DO332" s="33"/>
      <c r="DP332" s="33"/>
      <c r="DQ332" s="33"/>
      <c r="DR332" s="33"/>
    </row>
    <row r="333" spans="1:122" s="34" customFormat="1" x14ac:dyDescent="0.2">
      <c r="A333" s="886"/>
      <c r="B333" s="32"/>
      <c r="P333" s="35"/>
      <c r="Q333" s="35"/>
      <c r="R333" s="55"/>
      <c r="V333" s="37"/>
      <c r="W333" s="37"/>
      <c r="X333" s="37"/>
      <c r="Y333" s="37"/>
      <c r="Z333" s="37"/>
      <c r="AA333" s="37"/>
      <c r="AB333" s="37"/>
      <c r="AC333" s="37"/>
      <c r="AD333" s="37"/>
      <c r="AE333" s="37"/>
      <c r="AF333" s="37"/>
      <c r="AG333" s="37"/>
      <c r="AH333" s="37"/>
      <c r="BA333" s="67"/>
      <c r="BB333" s="67"/>
      <c r="BC333" s="67"/>
      <c r="BD333" s="67"/>
      <c r="BE333" s="67"/>
      <c r="BF333" s="67"/>
      <c r="BG333" s="67"/>
      <c r="BH333" s="67"/>
      <c r="BI333" s="67"/>
      <c r="BJ333" s="67"/>
      <c r="BK333" s="67"/>
      <c r="BL333" s="67"/>
      <c r="BM333" s="67"/>
      <c r="BN333" s="67"/>
      <c r="BO333" s="35"/>
      <c r="BP333" s="67"/>
      <c r="BQ333" s="67"/>
      <c r="BR333" s="67"/>
      <c r="BS333" s="67"/>
      <c r="CW333" s="909"/>
      <c r="CX333" s="989"/>
      <c r="CY333" s="922"/>
      <c r="CZ333" s="905"/>
      <c r="DA333" s="1000"/>
      <c r="DB333" s="35"/>
      <c r="DC333" s="33"/>
      <c r="DD333" s="33"/>
      <c r="DE333" s="33"/>
      <c r="DF333" s="33"/>
      <c r="DG333" s="33"/>
      <c r="DH333" s="33"/>
      <c r="DI333" s="33"/>
      <c r="DJ333" s="33"/>
      <c r="DK333" s="33"/>
      <c r="DL333" s="33"/>
      <c r="DM333" s="33"/>
      <c r="DN333" s="33"/>
      <c r="DO333" s="33"/>
      <c r="DP333" s="33"/>
      <c r="DQ333" s="33"/>
      <c r="DR333" s="33"/>
    </row>
    <row r="334" spans="1:122" s="34" customFormat="1" x14ac:dyDescent="0.2">
      <c r="A334" s="886"/>
      <c r="B334" s="32"/>
      <c r="P334" s="35"/>
      <c r="Q334" s="35"/>
      <c r="R334" s="55"/>
      <c r="V334" s="37"/>
      <c r="W334" s="37"/>
      <c r="X334" s="37"/>
      <c r="Y334" s="37"/>
      <c r="Z334" s="37"/>
      <c r="AA334" s="37"/>
      <c r="AB334" s="37"/>
      <c r="AC334" s="37"/>
      <c r="AD334" s="37"/>
      <c r="AE334" s="37"/>
      <c r="AF334" s="37"/>
      <c r="AG334" s="37"/>
      <c r="AH334" s="37"/>
      <c r="BA334" s="67"/>
      <c r="BB334" s="67"/>
      <c r="BC334" s="67"/>
      <c r="BD334" s="67"/>
      <c r="BE334" s="67"/>
      <c r="BF334" s="67"/>
      <c r="BG334" s="67"/>
      <c r="BH334" s="67"/>
      <c r="BI334" s="67"/>
      <c r="BJ334" s="67"/>
      <c r="BK334" s="67"/>
      <c r="BL334" s="67"/>
      <c r="BM334" s="67"/>
      <c r="BN334" s="67"/>
      <c r="BO334" s="35"/>
      <c r="BP334" s="67"/>
      <c r="BQ334" s="67"/>
      <c r="BR334" s="67"/>
      <c r="BS334" s="67"/>
      <c r="CW334" s="909"/>
      <c r="CX334" s="989"/>
      <c r="CY334" s="922"/>
      <c r="CZ334" s="905"/>
      <c r="DA334" s="1000"/>
      <c r="DB334" s="35"/>
      <c r="DC334" s="33"/>
      <c r="DD334" s="33"/>
      <c r="DE334" s="33"/>
      <c r="DF334" s="33"/>
      <c r="DG334" s="33"/>
      <c r="DH334" s="33"/>
      <c r="DI334" s="33"/>
      <c r="DJ334" s="33"/>
      <c r="DK334" s="33"/>
      <c r="DL334" s="33"/>
      <c r="DM334" s="33"/>
      <c r="DN334" s="33"/>
      <c r="DO334" s="33"/>
      <c r="DP334" s="33"/>
      <c r="DQ334" s="33"/>
      <c r="DR334" s="33"/>
    </row>
    <row r="335" spans="1:122" s="34" customFormat="1" x14ac:dyDescent="0.2">
      <c r="A335" s="886"/>
      <c r="B335" s="32"/>
      <c r="P335" s="35"/>
      <c r="Q335" s="35"/>
      <c r="R335" s="55"/>
      <c r="V335" s="37"/>
      <c r="W335" s="37"/>
      <c r="X335" s="37"/>
      <c r="Y335" s="37"/>
      <c r="Z335" s="37"/>
      <c r="AA335" s="37"/>
      <c r="AB335" s="37"/>
      <c r="AC335" s="37"/>
      <c r="AD335" s="37"/>
      <c r="AE335" s="37"/>
      <c r="AF335" s="37"/>
      <c r="AG335" s="37"/>
      <c r="AH335" s="37"/>
      <c r="BA335" s="67"/>
      <c r="BB335" s="67"/>
      <c r="BC335" s="67"/>
      <c r="BD335" s="67"/>
      <c r="BE335" s="67"/>
      <c r="BF335" s="67"/>
      <c r="BG335" s="67"/>
      <c r="BH335" s="67"/>
      <c r="BI335" s="67"/>
      <c r="BJ335" s="67"/>
      <c r="BK335" s="67"/>
      <c r="BL335" s="67"/>
      <c r="BM335" s="67"/>
      <c r="BN335" s="67"/>
      <c r="BO335" s="35"/>
      <c r="BP335" s="67"/>
      <c r="BQ335" s="67"/>
      <c r="BR335" s="67"/>
      <c r="BS335" s="67"/>
      <c r="CW335" s="909"/>
      <c r="CX335" s="989"/>
      <c r="CY335" s="922"/>
      <c r="CZ335" s="905"/>
      <c r="DA335" s="1000"/>
      <c r="DB335" s="35"/>
      <c r="DC335" s="33"/>
      <c r="DD335" s="33"/>
      <c r="DE335" s="33"/>
      <c r="DF335" s="33"/>
      <c r="DG335" s="33"/>
      <c r="DH335" s="33"/>
      <c r="DI335" s="33"/>
      <c r="DJ335" s="33"/>
      <c r="DK335" s="33"/>
      <c r="DL335" s="33"/>
      <c r="DM335" s="33"/>
      <c r="DN335" s="33"/>
      <c r="DO335" s="33"/>
      <c r="DP335" s="33"/>
      <c r="DQ335" s="33"/>
      <c r="DR335" s="33"/>
    </row>
    <row r="336" spans="1:122" s="34" customFormat="1" x14ac:dyDescent="0.2">
      <c r="A336" s="886"/>
      <c r="B336" s="32"/>
      <c r="P336" s="35"/>
      <c r="Q336" s="35"/>
      <c r="R336" s="55"/>
      <c r="V336" s="37"/>
      <c r="W336" s="37"/>
      <c r="X336" s="37"/>
      <c r="Y336" s="37"/>
      <c r="Z336" s="37"/>
      <c r="AA336" s="37"/>
      <c r="AB336" s="37"/>
      <c r="AC336" s="37"/>
      <c r="AD336" s="37"/>
      <c r="AE336" s="37"/>
      <c r="AF336" s="37"/>
      <c r="AG336" s="37"/>
      <c r="AH336" s="37"/>
      <c r="BA336" s="67"/>
      <c r="BB336" s="67"/>
      <c r="BC336" s="67"/>
      <c r="BD336" s="67"/>
      <c r="BE336" s="67"/>
      <c r="BF336" s="67"/>
      <c r="BG336" s="67"/>
      <c r="BH336" s="67"/>
      <c r="BI336" s="67"/>
      <c r="BJ336" s="67"/>
      <c r="BK336" s="67"/>
      <c r="BL336" s="67"/>
      <c r="BM336" s="67"/>
      <c r="BN336" s="67"/>
      <c r="BO336" s="35"/>
      <c r="BP336" s="67"/>
      <c r="BQ336" s="67"/>
      <c r="BR336" s="67"/>
      <c r="BS336" s="67"/>
      <c r="CW336" s="909"/>
      <c r="CX336" s="989"/>
      <c r="CY336" s="922"/>
      <c r="CZ336" s="905"/>
      <c r="DA336" s="1000"/>
      <c r="DB336" s="35"/>
      <c r="DC336" s="33"/>
      <c r="DD336" s="33"/>
      <c r="DE336" s="33"/>
      <c r="DF336" s="33"/>
      <c r="DG336" s="33"/>
      <c r="DH336" s="33"/>
      <c r="DI336" s="33"/>
      <c r="DJ336" s="33"/>
      <c r="DK336" s="33"/>
      <c r="DL336" s="33"/>
      <c r="DM336" s="33"/>
      <c r="DN336" s="33"/>
      <c r="DO336" s="33"/>
      <c r="DP336" s="33"/>
      <c r="DQ336" s="33"/>
      <c r="DR336" s="33"/>
    </row>
    <row r="337" spans="1:122" s="34" customFormat="1" x14ac:dyDescent="0.2">
      <c r="A337" s="886"/>
      <c r="B337" s="32"/>
      <c r="P337" s="35"/>
      <c r="Q337" s="35"/>
      <c r="R337" s="55"/>
      <c r="V337" s="37"/>
      <c r="W337" s="37"/>
      <c r="X337" s="37"/>
      <c r="Y337" s="37"/>
      <c r="Z337" s="37"/>
      <c r="AA337" s="37"/>
      <c r="AB337" s="37"/>
      <c r="AC337" s="37"/>
      <c r="AD337" s="37"/>
      <c r="AE337" s="37"/>
      <c r="AF337" s="37"/>
      <c r="AG337" s="37"/>
      <c r="AH337" s="37"/>
      <c r="BA337" s="67"/>
      <c r="BB337" s="67"/>
      <c r="BC337" s="67"/>
      <c r="BD337" s="67"/>
      <c r="BE337" s="67"/>
      <c r="BF337" s="67"/>
      <c r="BG337" s="67"/>
      <c r="BH337" s="67"/>
      <c r="BI337" s="67"/>
      <c r="BJ337" s="67"/>
      <c r="BK337" s="67"/>
      <c r="BL337" s="67"/>
      <c r="BM337" s="67"/>
      <c r="BN337" s="67"/>
      <c r="BO337" s="35"/>
      <c r="BP337" s="67"/>
      <c r="BQ337" s="67"/>
      <c r="BR337" s="67"/>
      <c r="BS337" s="67"/>
      <c r="CW337" s="909"/>
      <c r="CX337" s="989"/>
      <c r="CY337" s="922"/>
      <c r="CZ337" s="905"/>
      <c r="DA337" s="1000"/>
      <c r="DB337" s="35"/>
      <c r="DC337" s="33"/>
      <c r="DD337" s="33"/>
      <c r="DE337" s="33"/>
      <c r="DF337" s="33"/>
      <c r="DG337" s="33"/>
      <c r="DH337" s="33"/>
      <c r="DI337" s="33"/>
      <c r="DJ337" s="33"/>
      <c r="DK337" s="33"/>
      <c r="DL337" s="33"/>
      <c r="DM337" s="33"/>
      <c r="DN337" s="33"/>
      <c r="DO337" s="33"/>
      <c r="DP337" s="33"/>
      <c r="DQ337" s="33"/>
      <c r="DR337" s="33"/>
    </row>
    <row r="338" spans="1:122" s="34" customFormat="1" x14ac:dyDescent="0.2">
      <c r="A338" s="886"/>
      <c r="B338" s="32"/>
      <c r="P338" s="35"/>
      <c r="Q338" s="35"/>
      <c r="R338" s="55"/>
      <c r="V338" s="37"/>
      <c r="W338" s="37"/>
      <c r="X338" s="37"/>
      <c r="Y338" s="37"/>
      <c r="Z338" s="37"/>
      <c r="AA338" s="37"/>
      <c r="AB338" s="37"/>
      <c r="AC338" s="37"/>
      <c r="AD338" s="37"/>
      <c r="AE338" s="37"/>
      <c r="AF338" s="37"/>
      <c r="AG338" s="37"/>
      <c r="AH338" s="37"/>
      <c r="BA338" s="67"/>
      <c r="BB338" s="67"/>
      <c r="BC338" s="67"/>
      <c r="BD338" s="67"/>
      <c r="BE338" s="67"/>
      <c r="BF338" s="67"/>
      <c r="BG338" s="67"/>
      <c r="BH338" s="67"/>
      <c r="BI338" s="67"/>
      <c r="BJ338" s="67"/>
      <c r="BK338" s="67"/>
      <c r="BL338" s="67"/>
      <c r="BM338" s="67"/>
      <c r="BN338" s="67"/>
      <c r="BO338" s="35"/>
      <c r="BP338" s="67"/>
      <c r="BQ338" s="67"/>
      <c r="BR338" s="67"/>
      <c r="BS338" s="67"/>
      <c r="CW338" s="909"/>
      <c r="CX338" s="989"/>
      <c r="CY338" s="922"/>
      <c r="CZ338" s="905"/>
      <c r="DA338" s="1000"/>
      <c r="DB338" s="35"/>
      <c r="DC338" s="33"/>
      <c r="DD338" s="33"/>
      <c r="DE338" s="33"/>
      <c r="DF338" s="33"/>
      <c r="DG338" s="33"/>
      <c r="DH338" s="33"/>
      <c r="DI338" s="33"/>
      <c r="DJ338" s="33"/>
      <c r="DK338" s="33"/>
      <c r="DL338" s="33"/>
      <c r="DM338" s="33"/>
      <c r="DN338" s="33"/>
      <c r="DO338" s="33"/>
      <c r="DP338" s="33"/>
      <c r="DQ338" s="33"/>
      <c r="DR338" s="33"/>
    </row>
    <row r="339" spans="1:122" s="34" customFormat="1" x14ac:dyDescent="0.2">
      <c r="A339" s="886"/>
      <c r="B339" s="32"/>
      <c r="P339" s="35"/>
      <c r="Q339" s="35"/>
      <c r="R339" s="55"/>
      <c r="V339" s="37"/>
      <c r="W339" s="37"/>
      <c r="X339" s="37"/>
      <c r="Y339" s="37"/>
      <c r="Z339" s="37"/>
      <c r="AA339" s="37"/>
      <c r="AB339" s="37"/>
      <c r="AC339" s="37"/>
      <c r="AD339" s="37"/>
      <c r="AE339" s="37"/>
      <c r="AF339" s="37"/>
      <c r="AG339" s="37"/>
      <c r="AH339" s="37"/>
      <c r="BA339" s="67"/>
      <c r="BB339" s="67"/>
      <c r="BC339" s="67"/>
      <c r="BD339" s="67"/>
      <c r="BE339" s="67"/>
      <c r="BF339" s="67"/>
      <c r="BG339" s="67"/>
      <c r="BH339" s="67"/>
      <c r="BI339" s="67"/>
      <c r="BJ339" s="67"/>
      <c r="BK339" s="67"/>
      <c r="BL339" s="67"/>
      <c r="BM339" s="67"/>
      <c r="BN339" s="67"/>
      <c r="BO339" s="35"/>
      <c r="BP339" s="67"/>
      <c r="BQ339" s="67"/>
      <c r="BR339" s="67"/>
      <c r="BS339" s="67"/>
      <c r="CW339" s="909"/>
      <c r="CX339" s="989"/>
      <c r="CY339" s="922"/>
      <c r="CZ339" s="905"/>
      <c r="DA339" s="1000"/>
      <c r="DB339" s="35"/>
      <c r="DC339" s="33"/>
      <c r="DD339" s="33"/>
      <c r="DE339" s="33"/>
      <c r="DF339" s="33"/>
      <c r="DG339" s="33"/>
      <c r="DH339" s="33"/>
      <c r="DI339" s="33"/>
      <c r="DJ339" s="33"/>
      <c r="DK339" s="33"/>
      <c r="DL339" s="33"/>
      <c r="DM339" s="33"/>
      <c r="DN339" s="33"/>
      <c r="DO339" s="33"/>
      <c r="DP339" s="33"/>
      <c r="DQ339" s="33"/>
      <c r="DR339" s="33"/>
    </row>
    <row r="340" spans="1:122" s="34" customFormat="1" x14ac:dyDescent="0.2">
      <c r="A340" s="886"/>
      <c r="B340" s="32"/>
      <c r="P340" s="35"/>
      <c r="Q340" s="35"/>
      <c r="R340" s="55"/>
      <c r="V340" s="37"/>
      <c r="W340" s="37"/>
      <c r="X340" s="37"/>
      <c r="Y340" s="37"/>
      <c r="Z340" s="37"/>
      <c r="AA340" s="37"/>
      <c r="AB340" s="37"/>
      <c r="AC340" s="37"/>
      <c r="AD340" s="37"/>
      <c r="AE340" s="37"/>
      <c r="AF340" s="37"/>
      <c r="AG340" s="37"/>
      <c r="AH340" s="37"/>
      <c r="BA340" s="67"/>
      <c r="BB340" s="67"/>
      <c r="BC340" s="67"/>
      <c r="BD340" s="67"/>
      <c r="BE340" s="67"/>
      <c r="BF340" s="67"/>
      <c r="BG340" s="67"/>
      <c r="BH340" s="67"/>
      <c r="BI340" s="67"/>
      <c r="BJ340" s="67"/>
      <c r="BK340" s="67"/>
      <c r="BL340" s="67"/>
      <c r="BM340" s="67"/>
      <c r="BN340" s="67"/>
      <c r="BO340" s="35"/>
      <c r="BP340" s="67"/>
      <c r="BQ340" s="67"/>
      <c r="BR340" s="67"/>
      <c r="BS340" s="67"/>
      <c r="CW340" s="909"/>
      <c r="CX340" s="989"/>
      <c r="CY340" s="922"/>
      <c r="CZ340" s="905"/>
      <c r="DA340" s="1000"/>
      <c r="DB340" s="35"/>
      <c r="DC340" s="33"/>
      <c r="DD340" s="33"/>
      <c r="DE340" s="33"/>
      <c r="DF340" s="33"/>
      <c r="DG340" s="33"/>
      <c r="DH340" s="33"/>
      <c r="DI340" s="33"/>
      <c r="DJ340" s="33"/>
      <c r="DK340" s="33"/>
      <c r="DL340" s="33"/>
      <c r="DM340" s="33"/>
      <c r="DN340" s="33"/>
      <c r="DO340" s="33"/>
      <c r="DP340" s="33"/>
      <c r="DQ340" s="33"/>
      <c r="DR340" s="33"/>
    </row>
    <row r="341" spans="1:122" s="34" customFormat="1" x14ac:dyDescent="0.2">
      <c r="A341" s="886"/>
      <c r="B341" s="32"/>
      <c r="P341" s="35"/>
      <c r="Q341" s="35"/>
      <c r="R341" s="55"/>
      <c r="V341" s="37"/>
      <c r="W341" s="37"/>
      <c r="X341" s="37"/>
      <c r="Y341" s="37"/>
      <c r="Z341" s="37"/>
      <c r="AA341" s="37"/>
      <c r="AB341" s="37"/>
      <c r="AC341" s="37"/>
      <c r="AD341" s="37"/>
      <c r="AE341" s="37"/>
      <c r="AF341" s="37"/>
      <c r="AG341" s="37"/>
      <c r="AH341" s="37"/>
      <c r="BA341" s="67"/>
      <c r="BB341" s="67"/>
      <c r="BC341" s="67"/>
      <c r="BD341" s="67"/>
      <c r="BE341" s="67"/>
      <c r="BF341" s="67"/>
      <c r="BG341" s="67"/>
      <c r="BH341" s="67"/>
      <c r="BI341" s="67"/>
      <c r="BJ341" s="67"/>
      <c r="BK341" s="67"/>
      <c r="BL341" s="67"/>
      <c r="BM341" s="67"/>
      <c r="BN341" s="67"/>
      <c r="BO341" s="35"/>
      <c r="BP341" s="67"/>
      <c r="BQ341" s="67"/>
      <c r="BR341" s="67"/>
      <c r="BS341" s="67"/>
      <c r="CW341" s="909"/>
      <c r="CX341" s="989"/>
      <c r="CY341" s="922"/>
      <c r="CZ341" s="905"/>
      <c r="DA341" s="1000"/>
      <c r="DB341" s="35"/>
      <c r="DC341" s="33"/>
      <c r="DD341" s="33"/>
      <c r="DE341" s="33"/>
      <c r="DF341" s="33"/>
      <c r="DG341" s="33"/>
      <c r="DH341" s="33"/>
      <c r="DI341" s="33"/>
      <c r="DJ341" s="33"/>
      <c r="DK341" s="33"/>
      <c r="DL341" s="33"/>
      <c r="DM341" s="33"/>
      <c r="DN341" s="33"/>
      <c r="DO341" s="33"/>
      <c r="DP341" s="33"/>
      <c r="DQ341" s="33"/>
      <c r="DR341" s="33"/>
    </row>
    <row r="342" spans="1:122" s="34" customFormat="1" x14ac:dyDescent="0.2">
      <c r="A342" s="886"/>
      <c r="B342" s="32"/>
      <c r="P342" s="35"/>
      <c r="Q342" s="35"/>
      <c r="R342" s="55"/>
      <c r="V342" s="37"/>
      <c r="W342" s="37"/>
      <c r="X342" s="37"/>
      <c r="Y342" s="37"/>
      <c r="Z342" s="37"/>
      <c r="AA342" s="37"/>
      <c r="AB342" s="37"/>
      <c r="AC342" s="37"/>
      <c r="AD342" s="37"/>
      <c r="AE342" s="37"/>
      <c r="AF342" s="37"/>
      <c r="AG342" s="37"/>
      <c r="AH342" s="37"/>
      <c r="BA342" s="67"/>
      <c r="BB342" s="67"/>
      <c r="BC342" s="67"/>
      <c r="BD342" s="67"/>
      <c r="BE342" s="67"/>
      <c r="BF342" s="67"/>
      <c r="BG342" s="67"/>
      <c r="BH342" s="67"/>
      <c r="BI342" s="67"/>
      <c r="BJ342" s="67"/>
      <c r="BK342" s="67"/>
      <c r="BL342" s="67"/>
      <c r="BM342" s="67"/>
      <c r="BN342" s="67"/>
      <c r="BO342" s="35"/>
      <c r="BP342" s="67"/>
      <c r="BQ342" s="67"/>
      <c r="BR342" s="67"/>
      <c r="BS342" s="67"/>
      <c r="CW342" s="909"/>
      <c r="CX342" s="989"/>
      <c r="CY342" s="922"/>
      <c r="CZ342" s="905"/>
      <c r="DA342" s="1000"/>
      <c r="DB342" s="35"/>
      <c r="DC342" s="33"/>
      <c r="DD342" s="33"/>
      <c r="DE342" s="33"/>
      <c r="DF342" s="33"/>
      <c r="DG342" s="33"/>
      <c r="DH342" s="33"/>
      <c r="DI342" s="33"/>
      <c r="DJ342" s="33"/>
      <c r="DK342" s="33"/>
      <c r="DL342" s="33"/>
      <c r="DM342" s="33"/>
      <c r="DN342" s="33"/>
      <c r="DO342" s="33"/>
      <c r="DP342" s="33"/>
      <c r="DQ342" s="33"/>
      <c r="DR342" s="33"/>
    </row>
    <row r="343" spans="1:122" s="34" customFormat="1" x14ac:dyDescent="0.2">
      <c r="A343" s="886"/>
      <c r="B343" s="32"/>
      <c r="P343" s="35"/>
      <c r="Q343" s="35"/>
      <c r="R343" s="55"/>
      <c r="V343" s="37"/>
      <c r="W343" s="37"/>
      <c r="X343" s="37"/>
      <c r="Y343" s="37"/>
      <c r="Z343" s="37"/>
      <c r="AA343" s="37"/>
      <c r="AB343" s="37"/>
      <c r="AC343" s="37"/>
      <c r="AD343" s="37"/>
      <c r="AE343" s="37"/>
      <c r="AF343" s="37"/>
      <c r="AG343" s="37"/>
      <c r="AH343" s="37"/>
      <c r="BA343" s="67"/>
      <c r="BB343" s="67"/>
      <c r="BC343" s="67"/>
      <c r="BD343" s="67"/>
      <c r="BE343" s="67"/>
      <c r="BF343" s="67"/>
      <c r="BG343" s="67"/>
      <c r="BH343" s="67"/>
      <c r="BI343" s="67"/>
      <c r="BJ343" s="67"/>
      <c r="BK343" s="67"/>
      <c r="BL343" s="67"/>
      <c r="BM343" s="67"/>
      <c r="BN343" s="67"/>
      <c r="BO343" s="35"/>
      <c r="BP343" s="67"/>
      <c r="BQ343" s="67"/>
      <c r="BR343" s="67"/>
      <c r="BS343" s="67"/>
      <c r="CW343" s="909"/>
      <c r="CX343" s="989"/>
      <c r="CY343" s="922"/>
      <c r="CZ343" s="905"/>
      <c r="DA343" s="1000"/>
      <c r="DB343" s="35"/>
      <c r="DC343" s="33"/>
      <c r="DD343" s="33"/>
      <c r="DE343" s="33"/>
      <c r="DF343" s="33"/>
      <c r="DG343" s="33"/>
      <c r="DH343" s="33"/>
      <c r="DI343" s="33"/>
      <c r="DJ343" s="33"/>
      <c r="DK343" s="33"/>
      <c r="DL343" s="33"/>
      <c r="DM343" s="33"/>
      <c r="DN343" s="33"/>
      <c r="DO343" s="33"/>
      <c r="DP343" s="33"/>
      <c r="DQ343" s="33"/>
      <c r="DR343" s="33"/>
    </row>
    <row r="344" spans="1:122" s="34" customFormat="1" x14ac:dyDescent="0.2">
      <c r="A344" s="886"/>
      <c r="B344" s="32"/>
      <c r="P344" s="35"/>
      <c r="Q344" s="35"/>
      <c r="R344" s="55"/>
      <c r="V344" s="37"/>
      <c r="W344" s="37"/>
      <c r="X344" s="37"/>
      <c r="Y344" s="37"/>
      <c r="Z344" s="37"/>
      <c r="AA344" s="37"/>
      <c r="AB344" s="37"/>
      <c r="AC344" s="37"/>
      <c r="AD344" s="37"/>
      <c r="AE344" s="37"/>
      <c r="AF344" s="37"/>
      <c r="AG344" s="37"/>
      <c r="AH344" s="37"/>
      <c r="BA344" s="67"/>
      <c r="BB344" s="67"/>
      <c r="BC344" s="67"/>
      <c r="BD344" s="67"/>
      <c r="BE344" s="67"/>
      <c r="BF344" s="67"/>
      <c r="BG344" s="67"/>
      <c r="BH344" s="67"/>
      <c r="BI344" s="67"/>
      <c r="BJ344" s="67"/>
      <c r="BK344" s="67"/>
      <c r="BL344" s="67"/>
      <c r="BM344" s="67"/>
      <c r="BN344" s="67"/>
      <c r="BO344" s="35"/>
      <c r="BP344" s="67"/>
      <c r="BQ344" s="67"/>
      <c r="BR344" s="67"/>
      <c r="BS344" s="67"/>
      <c r="CW344" s="909"/>
      <c r="CX344" s="989"/>
      <c r="CY344" s="922"/>
      <c r="CZ344" s="905"/>
      <c r="DA344" s="1000"/>
      <c r="DB344" s="35"/>
      <c r="DC344" s="33"/>
      <c r="DD344" s="33"/>
      <c r="DE344" s="33"/>
      <c r="DF344" s="33"/>
      <c r="DG344" s="33"/>
      <c r="DH344" s="33"/>
      <c r="DI344" s="33"/>
      <c r="DJ344" s="33"/>
      <c r="DK344" s="33"/>
      <c r="DL344" s="33"/>
      <c r="DM344" s="33"/>
      <c r="DN344" s="33"/>
      <c r="DO344" s="33"/>
      <c r="DP344" s="33"/>
      <c r="DQ344" s="33"/>
      <c r="DR344" s="33"/>
    </row>
    <row r="345" spans="1:122" s="34" customFormat="1" x14ac:dyDescent="0.2">
      <c r="A345" s="886"/>
      <c r="B345" s="32"/>
      <c r="P345" s="35"/>
      <c r="Q345" s="35"/>
      <c r="R345" s="55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37"/>
      <c r="AG345" s="37"/>
      <c r="AH345" s="37"/>
      <c r="BA345" s="67"/>
      <c r="BB345" s="67"/>
      <c r="BC345" s="67"/>
      <c r="BD345" s="67"/>
      <c r="BE345" s="67"/>
      <c r="BF345" s="67"/>
      <c r="BG345" s="67"/>
      <c r="BH345" s="67"/>
      <c r="BI345" s="67"/>
      <c r="BJ345" s="67"/>
      <c r="BK345" s="67"/>
      <c r="BL345" s="67"/>
      <c r="BM345" s="67"/>
      <c r="BN345" s="67"/>
      <c r="BO345" s="35"/>
      <c r="BP345" s="67"/>
      <c r="BQ345" s="67"/>
      <c r="BR345" s="67"/>
      <c r="BS345" s="67"/>
      <c r="CW345" s="909"/>
      <c r="CX345" s="989"/>
      <c r="CY345" s="922"/>
      <c r="CZ345" s="905"/>
      <c r="DA345" s="1000"/>
      <c r="DB345" s="35"/>
      <c r="DC345" s="33"/>
      <c r="DD345" s="33"/>
      <c r="DE345" s="33"/>
      <c r="DF345" s="33"/>
      <c r="DG345" s="33"/>
      <c r="DH345" s="33"/>
      <c r="DI345" s="33"/>
      <c r="DJ345" s="33"/>
      <c r="DK345" s="33"/>
      <c r="DL345" s="33"/>
      <c r="DM345" s="33"/>
      <c r="DN345" s="33"/>
      <c r="DO345" s="33"/>
      <c r="DP345" s="33"/>
      <c r="DQ345" s="33"/>
      <c r="DR345" s="33"/>
    </row>
    <row r="346" spans="1:122" s="34" customFormat="1" x14ac:dyDescent="0.2">
      <c r="A346" s="886"/>
      <c r="B346" s="32"/>
      <c r="P346" s="35"/>
      <c r="Q346" s="35"/>
      <c r="R346" s="55"/>
      <c r="V346" s="37"/>
      <c r="W346" s="37"/>
      <c r="X346" s="37"/>
      <c r="Y346" s="37"/>
      <c r="Z346" s="37"/>
      <c r="AA346" s="37"/>
      <c r="AB346" s="37"/>
      <c r="AC346" s="37"/>
      <c r="AD346" s="37"/>
      <c r="AE346" s="37"/>
      <c r="AF346" s="37"/>
      <c r="AG346" s="37"/>
      <c r="AH346" s="37"/>
      <c r="BA346" s="67"/>
      <c r="BB346" s="67"/>
      <c r="BC346" s="67"/>
      <c r="BD346" s="67"/>
      <c r="BE346" s="67"/>
      <c r="BF346" s="67"/>
      <c r="BG346" s="67"/>
      <c r="BH346" s="67"/>
      <c r="BI346" s="67"/>
      <c r="BJ346" s="67"/>
      <c r="BK346" s="67"/>
      <c r="BL346" s="67"/>
      <c r="BM346" s="67"/>
      <c r="BN346" s="67"/>
      <c r="BO346" s="35"/>
      <c r="BP346" s="67"/>
      <c r="BQ346" s="67"/>
      <c r="BR346" s="67"/>
      <c r="BS346" s="67"/>
      <c r="CW346" s="909"/>
      <c r="CX346" s="989"/>
      <c r="CY346" s="922"/>
      <c r="CZ346" s="905"/>
      <c r="DA346" s="1000"/>
      <c r="DB346" s="35"/>
      <c r="DC346" s="33"/>
      <c r="DD346" s="33"/>
      <c r="DE346" s="33"/>
      <c r="DF346" s="33"/>
      <c r="DG346" s="33"/>
      <c r="DH346" s="33"/>
      <c r="DI346" s="33"/>
      <c r="DJ346" s="33"/>
      <c r="DK346" s="33"/>
      <c r="DL346" s="33"/>
      <c r="DM346" s="33"/>
      <c r="DN346" s="33"/>
      <c r="DO346" s="33"/>
      <c r="DP346" s="33"/>
      <c r="DQ346" s="33"/>
      <c r="DR346" s="33"/>
    </row>
    <row r="347" spans="1:122" s="34" customFormat="1" x14ac:dyDescent="0.2">
      <c r="A347" s="886"/>
      <c r="B347" s="32"/>
      <c r="P347" s="35"/>
      <c r="Q347" s="35"/>
      <c r="R347" s="55"/>
      <c r="V347" s="37"/>
      <c r="W347" s="37"/>
      <c r="X347" s="37"/>
      <c r="Y347" s="37"/>
      <c r="Z347" s="37"/>
      <c r="AA347" s="37"/>
      <c r="AB347" s="37"/>
      <c r="AC347" s="37"/>
      <c r="AD347" s="37"/>
      <c r="AE347" s="37"/>
      <c r="AF347" s="37"/>
      <c r="AG347" s="37"/>
      <c r="AH347" s="37"/>
      <c r="BA347" s="67"/>
      <c r="BB347" s="67"/>
      <c r="BC347" s="67"/>
      <c r="BD347" s="67"/>
      <c r="BE347" s="67"/>
      <c r="BF347" s="67"/>
      <c r="BG347" s="67"/>
      <c r="BH347" s="67"/>
      <c r="BI347" s="67"/>
      <c r="BJ347" s="67"/>
      <c r="BK347" s="67"/>
      <c r="BL347" s="67"/>
      <c r="BM347" s="67"/>
      <c r="BN347" s="67"/>
      <c r="BO347" s="35"/>
      <c r="BP347" s="67"/>
      <c r="BQ347" s="67"/>
      <c r="BR347" s="67"/>
      <c r="BS347" s="67"/>
      <c r="CW347" s="909"/>
      <c r="CX347" s="989"/>
      <c r="CY347" s="922"/>
      <c r="CZ347" s="905"/>
      <c r="DA347" s="1000"/>
      <c r="DB347" s="35"/>
      <c r="DC347" s="33"/>
      <c r="DD347" s="33"/>
      <c r="DE347" s="33"/>
      <c r="DF347" s="33"/>
      <c r="DG347" s="33"/>
      <c r="DH347" s="33"/>
      <c r="DI347" s="33"/>
      <c r="DJ347" s="33"/>
      <c r="DK347" s="33"/>
      <c r="DL347" s="33"/>
      <c r="DM347" s="33"/>
      <c r="DN347" s="33"/>
      <c r="DO347" s="33"/>
      <c r="DP347" s="33"/>
      <c r="DQ347" s="33"/>
      <c r="DR347" s="33"/>
    </row>
    <row r="348" spans="1:122" s="34" customFormat="1" x14ac:dyDescent="0.2">
      <c r="A348" s="886"/>
      <c r="B348" s="32"/>
      <c r="P348" s="35"/>
      <c r="Q348" s="35"/>
      <c r="R348" s="55"/>
      <c r="V348" s="37"/>
      <c r="W348" s="37"/>
      <c r="X348" s="37"/>
      <c r="Y348" s="37"/>
      <c r="Z348" s="37"/>
      <c r="AA348" s="37"/>
      <c r="AB348" s="37"/>
      <c r="AC348" s="37"/>
      <c r="AD348" s="37"/>
      <c r="AE348" s="37"/>
      <c r="AF348" s="37"/>
      <c r="AG348" s="37"/>
      <c r="AH348" s="37"/>
      <c r="BA348" s="67"/>
      <c r="BB348" s="67"/>
      <c r="BC348" s="67"/>
      <c r="BD348" s="67"/>
      <c r="BE348" s="67"/>
      <c r="BF348" s="67"/>
      <c r="BG348" s="67"/>
      <c r="BH348" s="67"/>
      <c r="BI348" s="67"/>
      <c r="BJ348" s="67"/>
      <c r="BK348" s="67"/>
      <c r="BL348" s="67"/>
      <c r="BM348" s="67"/>
      <c r="BN348" s="67"/>
      <c r="BO348" s="35"/>
      <c r="BP348" s="67"/>
      <c r="BQ348" s="67"/>
      <c r="BR348" s="67"/>
      <c r="BS348" s="67"/>
      <c r="CW348" s="909"/>
      <c r="CX348" s="989"/>
      <c r="CY348" s="922"/>
      <c r="CZ348" s="905"/>
      <c r="DA348" s="1000"/>
      <c r="DB348" s="35"/>
      <c r="DC348" s="33"/>
      <c r="DD348" s="33"/>
      <c r="DE348" s="33"/>
      <c r="DF348" s="33"/>
      <c r="DG348" s="33"/>
      <c r="DH348" s="33"/>
      <c r="DI348" s="33"/>
      <c r="DJ348" s="33"/>
      <c r="DK348" s="33"/>
      <c r="DL348" s="33"/>
      <c r="DM348" s="33"/>
      <c r="DN348" s="33"/>
      <c r="DO348" s="33"/>
      <c r="DP348" s="33"/>
      <c r="DQ348" s="33"/>
      <c r="DR348" s="33"/>
    </row>
    <row r="349" spans="1:122" s="34" customFormat="1" x14ac:dyDescent="0.2">
      <c r="A349" s="886"/>
      <c r="B349" s="32"/>
      <c r="P349" s="35"/>
      <c r="Q349" s="35"/>
      <c r="R349" s="55"/>
      <c r="V349" s="37"/>
      <c r="W349" s="37"/>
      <c r="X349" s="37"/>
      <c r="Y349" s="37"/>
      <c r="Z349" s="37"/>
      <c r="AA349" s="37"/>
      <c r="AB349" s="37"/>
      <c r="AC349" s="37"/>
      <c r="AD349" s="37"/>
      <c r="AE349" s="37"/>
      <c r="AF349" s="37"/>
      <c r="AG349" s="37"/>
      <c r="AH349" s="37"/>
      <c r="BA349" s="67"/>
      <c r="BB349" s="67"/>
      <c r="BC349" s="67"/>
      <c r="BD349" s="67"/>
      <c r="BE349" s="67"/>
      <c r="BF349" s="67"/>
      <c r="BG349" s="67"/>
      <c r="BH349" s="67"/>
      <c r="BI349" s="67"/>
      <c r="BJ349" s="67"/>
      <c r="BK349" s="67"/>
      <c r="BL349" s="67"/>
      <c r="BM349" s="67"/>
      <c r="BN349" s="67"/>
      <c r="BO349" s="35"/>
      <c r="BP349" s="67"/>
      <c r="BQ349" s="67"/>
      <c r="BR349" s="67"/>
      <c r="BS349" s="67"/>
      <c r="CW349" s="909"/>
      <c r="CX349" s="989"/>
      <c r="CY349" s="922"/>
      <c r="CZ349" s="905"/>
      <c r="DA349" s="1000"/>
      <c r="DB349" s="35"/>
      <c r="DC349" s="33"/>
      <c r="DD349" s="33"/>
      <c r="DE349" s="33"/>
      <c r="DF349" s="33"/>
      <c r="DG349" s="33"/>
      <c r="DH349" s="33"/>
      <c r="DI349" s="33"/>
      <c r="DJ349" s="33"/>
      <c r="DK349" s="33"/>
      <c r="DL349" s="33"/>
      <c r="DM349" s="33"/>
      <c r="DN349" s="33"/>
      <c r="DO349" s="33"/>
      <c r="DP349" s="33"/>
      <c r="DQ349" s="33"/>
      <c r="DR349" s="33"/>
    </row>
    <row r="350" spans="1:122" s="34" customFormat="1" x14ac:dyDescent="0.2">
      <c r="A350" s="886"/>
      <c r="B350" s="32"/>
      <c r="P350" s="35"/>
      <c r="Q350" s="35"/>
      <c r="R350" s="55"/>
      <c r="V350" s="37"/>
      <c r="W350" s="37"/>
      <c r="X350" s="37"/>
      <c r="Y350" s="37"/>
      <c r="Z350" s="37"/>
      <c r="AA350" s="37"/>
      <c r="AB350" s="37"/>
      <c r="AC350" s="37"/>
      <c r="AD350" s="37"/>
      <c r="AE350" s="37"/>
      <c r="AF350" s="37"/>
      <c r="AG350" s="37"/>
      <c r="AH350" s="37"/>
      <c r="BA350" s="67"/>
      <c r="BB350" s="67"/>
      <c r="BC350" s="67"/>
      <c r="BD350" s="67"/>
      <c r="BE350" s="67"/>
      <c r="BF350" s="67"/>
      <c r="BG350" s="67"/>
      <c r="BH350" s="67"/>
      <c r="BI350" s="67"/>
      <c r="BJ350" s="67"/>
      <c r="BK350" s="67"/>
      <c r="BL350" s="67"/>
      <c r="BM350" s="67"/>
      <c r="BN350" s="67"/>
      <c r="BO350" s="35"/>
      <c r="BP350" s="67"/>
      <c r="BQ350" s="67"/>
      <c r="BR350" s="67"/>
      <c r="BS350" s="67"/>
      <c r="CW350" s="909"/>
      <c r="CX350" s="989"/>
      <c r="CY350" s="922"/>
      <c r="CZ350" s="905"/>
      <c r="DA350" s="1000"/>
      <c r="DB350" s="35"/>
      <c r="DC350" s="33"/>
      <c r="DD350" s="33"/>
      <c r="DE350" s="33"/>
      <c r="DF350" s="33"/>
      <c r="DG350" s="33"/>
      <c r="DH350" s="33"/>
      <c r="DI350" s="33"/>
      <c r="DJ350" s="33"/>
      <c r="DK350" s="33"/>
      <c r="DL350" s="33"/>
      <c r="DM350" s="33"/>
      <c r="DN350" s="33"/>
      <c r="DO350" s="33"/>
      <c r="DP350" s="33"/>
      <c r="DQ350" s="33"/>
      <c r="DR350" s="33"/>
    </row>
    <row r="351" spans="1:122" s="34" customFormat="1" x14ac:dyDescent="0.2">
      <c r="A351" s="886"/>
      <c r="B351" s="32"/>
      <c r="P351" s="35"/>
      <c r="Q351" s="35"/>
      <c r="R351" s="55"/>
      <c r="V351" s="37"/>
      <c r="W351" s="37"/>
      <c r="X351" s="37"/>
      <c r="Y351" s="37"/>
      <c r="Z351" s="37"/>
      <c r="AA351" s="37"/>
      <c r="AB351" s="37"/>
      <c r="AC351" s="37"/>
      <c r="AD351" s="37"/>
      <c r="AE351" s="37"/>
      <c r="AF351" s="37"/>
      <c r="AG351" s="37"/>
      <c r="AH351" s="37"/>
      <c r="BA351" s="67"/>
      <c r="BB351" s="67"/>
      <c r="BC351" s="67"/>
      <c r="BD351" s="67"/>
      <c r="BE351" s="67"/>
      <c r="BF351" s="67"/>
      <c r="BG351" s="67"/>
      <c r="BH351" s="67"/>
      <c r="BI351" s="67"/>
      <c r="BJ351" s="67"/>
      <c r="BK351" s="67"/>
      <c r="BL351" s="67"/>
      <c r="BM351" s="67"/>
      <c r="BN351" s="67"/>
      <c r="BO351" s="35"/>
      <c r="BP351" s="67"/>
      <c r="BQ351" s="67"/>
      <c r="BR351" s="67"/>
      <c r="BS351" s="67"/>
      <c r="CW351" s="909"/>
      <c r="CX351" s="989"/>
      <c r="CY351" s="922"/>
      <c r="CZ351" s="905"/>
      <c r="DA351" s="1000"/>
      <c r="DB351" s="35"/>
      <c r="DC351" s="33"/>
      <c r="DD351" s="33"/>
      <c r="DE351" s="33"/>
      <c r="DF351" s="33"/>
      <c r="DG351" s="33"/>
      <c r="DH351" s="33"/>
      <c r="DI351" s="33"/>
      <c r="DJ351" s="33"/>
      <c r="DK351" s="33"/>
      <c r="DL351" s="33"/>
      <c r="DM351" s="33"/>
      <c r="DN351" s="33"/>
      <c r="DO351" s="33"/>
      <c r="DP351" s="33"/>
      <c r="DQ351" s="33"/>
      <c r="DR351" s="33"/>
    </row>
    <row r="352" spans="1:122" s="34" customFormat="1" x14ac:dyDescent="0.2">
      <c r="A352" s="886"/>
      <c r="B352" s="32"/>
      <c r="P352" s="35"/>
      <c r="Q352" s="35"/>
      <c r="R352" s="55"/>
      <c r="V352" s="37"/>
      <c r="W352" s="37"/>
      <c r="X352" s="37"/>
      <c r="Y352" s="37"/>
      <c r="Z352" s="37"/>
      <c r="AA352" s="37"/>
      <c r="AB352" s="37"/>
      <c r="AC352" s="37"/>
      <c r="AD352" s="37"/>
      <c r="AE352" s="37"/>
      <c r="AF352" s="37"/>
      <c r="AG352" s="37"/>
      <c r="AH352" s="37"/>
      <c r="BA352" s="67"/>
      <c r="BB352" s="67"/>
      <c r="BC352" s="67"/>
      <c r="BD352" s="67"/>
      <c r="BE352" s="67"/>
      <c r="BF352" s="67"/>
      <c r="BG352" s="67"/>
      <c r="BH352" s="67"/>
      <c r="BI352" s="67"/>
      <c r="BJ352" s="67"/>
      <c r="BK352" s="67"/>
      <c r="BL352" s="67"/>
      <c r="BM352" s="67"/>
      <c r="BN352" s="67"/>
      <c r="BO352" s="35"/>
      <c r="BP352" s="67"/>
      <c r="BQ352" s="67"/>
      <c r="BR352" s="67"/>
      <c r="BS352" s="67"/>
      <c r="CW352" s="909"/>
      <c r="CX352" s="989"/>
      <c r="CY352" s="922"/>
      <c r="CZ352" s="905"/>
      <c r="DA352" s="1000"/>
      <c r="DB352" s="35"/>
      <c r="DC352" s="33"/>
      <c r="DD352" s="33"/>
      <c r="DE352" s="33"/>
      <c r="DF352" s="33"/>
      <c r="DG352" s="33"/>
      <c r="DH352" s="33"/>
      <c r="DI352" s="33"/>
      <c r="DJ352" s="33"/>
      <c r="DK352" s="33"/>
      <c r="DL352" s="33"/>
      <c r="DM352" s="33"/>
      <c r="DN352" s="33"/>
      <c r="DO352" s="33"/>
      <c r="DP352" s="33"/>
      <c r="DQ352" s="33"/>
      <c r="DR352" s="33"/>
    </row>
    <row r="353" spans="1:122" s="34" customFormat="1" x14ac:dyDescent="0.2">
      <c r="A353" s="886"/>
      <c r="B353" s="32"/>
      <c r="P353" s="35"/>
      <c r="Q353" s="35"/>
      <c r="R353" s="55"/>
      <c r="V353" s="37"/>
      <c r="W353" s="37"/>
      <c r="X353" s="37"/>
      <c r="Y353" s="37"/>
      <c r="Z353" s="37"/>
      <c r="AA353" s="37"/>
      <c r="AB353" s="37"/>
      <c r="AC353" s="37"/>
      <c r="AD353" s="37"/>
      <c r="AE353" s="37"/>
      <c r="AF353" s="37"/>
      <c r="AG353" s="37"/>
      <c r="AH353" s="37"/>
      <c r="BA353" s="67"/>
      <c r="BB353" s="67"/>
      <c r="BC353" s="67"/>
      <c r="BD353" s="67"/>
      <c r="BE353" s="67"/>
      <c r="BF353" s="67"/>
      <c r="BG353" s="67"/>
      <c r="BH353" s="67"/>
      <c r="BI353" s="67"/>
      <c r="BJ353" s="67"/>
      <c r="BK353" s="67"/>
      <c r="BL353" s="67"/>
      <c r="BM353" s="67"/>
      <c r="BN353" s="67"/>
      <c r="BO353" s="35"/>
      <c r="BP353" s="67"/>
      <c r="BQ353" s="67"/>
      <c r="BR353" s="67"/>
      <c r="BS353" s="67"/>
      <c r="CW353" s="909"/>
      <c r="CX353" s="989"/>
      <c r="CY353" s="922"/>
      <c r="CZ353" s="905"/>
      <c r="DA353" s="1000"/>
      <c r="DB353" s="35"/>
      <c r="DC353" s="33"/>
      <c r="DD353" s="33"/>
      <c r="DE353" s="33"/>
      <c r="DF353" s="33"/>
      <c r="DG353" s="33"/>
      <c r="DH353" s="33"/>
      <c r="DI353" s="33"/>
      <c r="DJ353" s="33"/>
      <c r="DK353" s="33"/>
      <c r="DL353" s="33"/>
      <c r="DM353" s="33"/>
      <c r="DN353" s="33"/>
      <c r="DO353" s="33"/>
      <c r="DP353" s="33"/>
      <c r="DQ353" s="33"/>
      <c r="DR353" s="33"/>
    </row>
    <row r="354" spans="1:122" s="34" customFormat="1" x14ac:dyDescent="0.2">
      <c r="A354" s="886"/>
      <c r="B354" s="32"/>
      <c r="P354" s="35"/>
      <c r="Q354" s="35"/>
      <c r="R354" s="55"/>
      <c r="V354" s="37"/>
      <c r="W354" s="37"/>
      <c r="X354" s="37"/>
      <c r="Y354" s="37"/>
      <c r="Z354" s="37"/>
      <c r="AA354" s="37"/>
      <c r="AB354" s="37"/>
      <c r="AC354" s="37"/>
      <c r="AD354" s="37"/>
      <c r="AE354" s="37"/>
      <c r="AF354" s="37"/>
      <c r="AG354" s="37"/>
      <c r="AH354" s="37"/>
      <c r="BA354" s="67"/>
      <c r="BB354" s="67"/>
      <c r="BC354" s="67"/>
      <c r="BD354" s="67"/>
      <c r="BE354" s="67"/>
      <c r="BF354" s="67"/>
      <c r="BG354" s="67"/>
      <c r="BH354" s="67"/>
      <c r="BI354" s="67"/>
      <c r="BJ354" s="67"/>
      <c r="BK354" s="67"/>
      <c r="BL354" s="67"/>
      <c r="BM354" s="67"/>
      <c r="BN354" s="67"/>
      <c r="BO354" s="35"/>
      <c r="BP354" s="67"/>
      <c r="BQ354" s="67"/>
      <c r="BR354" s="67"/>
      <c r="BS354" s="67"/>
      <c r="CW354" s="909"/>
      <c r="CX354" s="989"/>
      <c r="CY354" s="922"/>
      <c r="CZ354" s="905"/>
      <c r="DA354" s="1000"/>
      <c r="DB354" s="35"/>
      <c r="DC354" s="33"/>
      <c r="DD354" s="33"/>
      <c r="DE354" s="33"/>
      <c r="DF354" s="33"/>
      <c r="DG354" s="33"/>
      <c r="DH354" s="33"/>
      <c r="DI354" s="33"/>
      <c r="DJ354" s="33"/>
      <c r="DK354" s="33"/>
      <c r="DL354" s="33"/>
      <c r="DM354" s="33"/>
      <c r="DN354" s="33"/>
      <c r="DO354" s="33"/>
      <c r="DP354" s="33"/>
      <c r="DQ354" s="33"/>
      <c r="DR354" s="33"/>
    </row>
    <row r="355" spans="1:122" s="34" customFormat="1" x14ac:dyDescent="0.2">
      <c r="A355" s="886"/>
      <c r="B355" s="32"/>
      <c r="P355" s="35"/>
      <c r="Q355" s="35"/>
      <c r="R355" s="55"/>
      <c r="V355" s="37"/>
      <c r="W355" s="37"/>
      <c r="X355" s="37"/>
      <c r="Y355" s="37"/>
      <c r="Z355" s="37"/>
      <c r="AA355" s="37"/>
      <c r="AB355" s="37"/>
      <c r="AC355" s="37"/>
      <c r="AD355" s="37"/>
      <c r="AE355" s="37"/>
      <c r="AF355" s="37"/>
      <c r="AG355" s="37"/>
      <c r="AH355" s="37"/>
      <c r="BA355" s="67"/>
      <c r="BB355" s="67"/>
      <c r="BC355" s="67"/>
      <c r="BD355" s="67"/>
      <c r="BE355" s="67"/>
      <c r="BF355" s="67"/>
      <c r="BG355" s="67"/>
      <c r="BH355" s="67"/>
      <c r="BI355" s="67"/>
      <c r="BJ355" s="67"/>
      <c r="BK355" s="67"/>
      <c r="BL355" s="67"/>
      <c r="BM355" s="67"/>
      <c r="BN355" s="67"/>
      <c r="BO355" s="35"/>
      <c r="BP355" s="67"/>
      <c r="BQ355" s="67"/>
      <c r="BR355" s="67"/>
      <c r="BS355" s="67"/>
      <c r="CW355" s="909"/>
      <c r="CX355" s="989"/>
      <c r="CY355" s="922"/>
      <c r="CZ355" s="905"/>
      <c r="DA355" s="1000"/>
      <c r="DB355" s="35"/>
      <c r="DC355" s="33"/>
      <c r="DD355" s="33"/>
      <c r="DE355" s="33"/>
      <c r="DF355" s="33"/>
      <c r="DG355" s="33"/>
      <c r="DH355" s="33"/>
      <c r="DI355" s="33"/>
      <c r="DJ355" s="33"/>
      <c r="DK355" s="33"/>
      <c r="DL355" s="33"/>
      <c r="DM355" s="33"/>
      <c r="DN355" s="33"/>
      <c r="DO355" s="33"/>
      <c r="DP355" s="33"/>
      <c r="DQ355" s="33"/>
      <c r="DR355" s="33"/>
    </row>
    <row r="356" spans="1:122" s="34" customFormat="1" x14ac:dyDescent="0.2">
      <c r="A356" s="886"/>
      <c r="B356" s="32"/>
      <c r="P356" s="35"/>
      <c r="Q356" s="35"/>
      <c r="R356" s="55"/>
      <c r="V356" s="37"/>
      <c r="W356" s="37"/>
      <c r="X356" s="37"/>
      <c r="Y356" s="37"/>
      <c r="Z356" s="37"/>
      <c r="AA356" s="37"/>
      <c r="AB356" s="37"/>
      <c r="AC356" s="37"/>
      <c r="AD356" s="37"/>
      <c r="AE356" s="37"/>
      <c r="AF356" s="37"/>
      <c r="AG356" s="37"/>
      <c r="AH356" s="37"/>
      <c r="BA356" s="67"/>
      <c r="BB356" s="67"/>
      <c r="BC356" s="67"/>
      <c r="BD356" s="67"/>
      <c r="BE356" s="67"/>
      <c r="BF356" s="67"/>
      <c r="BG356" s="67"/>
      <c r="BH356" s="67"/>
      <c r="BI356" s="67"/>
      <c r="BJ356" s="67"/>
      <c r="BK356" s="67"/>
      <c r="BL356" s="67"/>
      <c r="BM356" s="67"/>
      <c r="BN356" s="67"/>
      <c r="BO356" s="35"/>
      <c r="BP356" s="67"/>
      <c r="BQ356" s="67"/>
      <c r="BR356" s="67"/>
      <c r="BS356" s="67"/>
      <c r="CW356" s="909"/>
      <c r="CX356" s="989"/>
      <c r="CY356" s="922"/>
      <c r="CZ356" s="905"/>
      <c r="DA356" s="1000"/>
      <c r="DB356" s="35"/>
      <c r="DC356" s="33"/>
      <c r="DD356" s="33"/>
      <c r="DE356" s="33"/>
      <c r="DF356" s="33"/>
      <c r="DG356" s="33"/>
      <c r="DH356" s="33"/>
      <c r="DI356" s="33"/>
      <c r="DJ356" s="33"/>
      <c r="DK356" s="33"/>
      <c r="DL356" s="33"/>
      <c r="DM356" s="33"/>
      <c r="DN356" s="33"/>
      <c r="DO356" s="33"/>
      <c r="DP356" s="33"/>
      <c r="DQ356" s="33"/>
      <c r="DR356" s="33"/>
    </row>
    <row r="357" spans="1:122" s="34" customFormat="1" x14ac:dyDescent="0.2">
      <c r="A357" s="886"/>
      <c r="B357" s="32"/>
      <c r="P357" s="35"/>
      <c r="Q357" s="35"/>
      <c r="R357" s="55"/>
      <c r="V357" s="37"/>
      <c r="W357" s="37"/>
      <c r="X357" s="37"/>
      <c r="Y357" s="37"/>
      <c r="Z357" s="37"/>
      <c r="AA357" s="37"/>
      <c r="AB357" s="37"/>
      <c r="AC357" s="37"/>
      <c r="AD357" s="37"/>
      <c r="AE357" s="37"/>
      <c r="AF357" s="37"/>
      <c r="AG357" s="37"/>
      <c r="AH357" s="37"/>
      <c r="BA357" s="67"/>
      <c r="BB357" s="67"/>
      <c r="BC357" s="67"/>
      <c r="BD357" s="67"/>
      <c r="BE357" s="67"/>
      <c r="BF357" s="67"/>
      <c r="BG357" s="67"/>
      <c r="BH357" s="67"/>
      <c r="BI357" s="67"/>
      <c r="BJ357" s="67"/>
      <c r="BK357" s="67"/>
      <c r="BL357" s="67"/>
      <c r="BM357" s="67"/>
      <c r="BN357" s="67"/>
      <c r="BO357" s="35"/>
      <c r="BP357" s="67"/>
      <c r="BQ357" s="67"/>
      <c r="BR357" s="67"/>
      <c r="BS357" s="67"/>
      <c r="CW357" s="909"/>
      <c r="CX357" s="989"/>
      <c r="CY357" s="922"/>
      <c r="CZ357" s="905"/>
      <c r="DA357" s="1000"/>
      <c r="DB357" s="35"/>
      <c r="DC357" s="33"/>
      <c r="DD357" s="33"/>
      <c r="DE357" s="33"/>
      <c r="DF357" s="33"/>
      <c r="DG357" s="33"/>
      <c r="DH357" s="33"/>
      <c r="DI357" s="33"/>
      <c r="DJ357" s="33"/>
      <c r="DK357" s="33"/>
      <c r="DL357" s="33"/>
      <c r="DM357" s="33"/>
      <c r="DN357" s="33"/>
      <c r="DO357" s="33"/>
      <c r="DP357" s="33"/>
      <c r="DQ357" s="33"/>
      <c r="DR357" s="33"/>
    </row>
    <row r="358" spans="1:122" s="34" customFormat="1" x14ac:dyDescent="0.2">
      <c r="A358" s="886"/>
      <c r="B358" s="32"/>
      <c r="P358" s="35"/>
      <c r="Q358" s="35"/>
      <c r="R358" s="55"/>
      <c r="V358" s="37"/>
      <c r="W358" s="37"/>
      <c r="X358" s="37"/>
      <c r="Y358" s="37"/>
      <c r="Z358" s="37"/>
      <c r="AA358" s="37"/>
      <c r="AB358" s="37"/>
      <c r="AC358" s="37"/>
      <c r="AD358" s="37"/>
      <c r="AE358" s="37"/>
      <c r="AF358" s="37"/>
      <c r="AG358" s="37"/>
      <c r="AH358" s="37"/>
      <c r="BA358" s="67"/>
      <c r="BB358" s="67"/>
      <c r="BC358" s="67"/>
      <c r="BD358" s="67"/>
      <c r="BE358" s="67"/>
      <c r="BF358" s="67"/>
      <c r="BG358" s="67"/>
      <c r="BH358" s="67"/>
      <c r="BI358" s="67"/>
      <c r="BJ358" s="67"/>
      <c r="BK358" s="67"/>
      <c r="BL358" s="67"/>
      <c r="BM358" s="67"/>
      <c r="BN358" s="67"/>
      <c r="BO358" s="35"/>
      <c r="BP358" s="67"/>
      <c r="BQ358" s="67"/>
      <c r="BR358" s="67"/>
      <c r="BS358" s="67"/>
      <c r="CW358" s="909"/>
      <c r="CX358" s="989"/>
      <c r="CY358" s="922"/>
      <c r="CZ358" s="905"/>
      <c r="DA358" s="1000"/>
      <c r="DB358" s="35"/>
      <c r="DC358" s="33"/>
      <c r="DD358" s="33"/>
      <c r="DE358" s="33"/>
      <c r="DF358" s="33"/>
      <c r="DG358" s="33"/>
      <c r="DH358" s="33"/>
      <c r="DI358" s="33"/>
      <c r="DJ358" s="33"/>
      <c r="DK358" s="33"/>
      <c r="DL358" s="33"/>
      <c r="DM358" s="33"/>
      <c r="DN358" s="33"/>
      <c r="DO358" s="33"/>
      <c r="DP358" s="33"/>
      <c r="DQ358" s="33"/>
      <c r="DR358" s="33"/>
    </row>
    <row r="359" spans="1:122" s="34" customFormat="1" x14ac:dyDescent="0.2">
      <c r="A359" s="886"/>
      <c r="B359" s="32"/>
      <c r="P359" s="35"/>
      <c r="Q359" s="35"/>
      <c r="R359" s="55"/>
      <c r="V359" s="37"/>
      <c r="W359" s="37"/>
      <c r="X359" s="37"/>
      <c r="Y359" s="37"/>
      <c r="Z359" s="37"/>
      <c r="AA359" s="37"/>
      <c r="AB359" s="37"/>
      <c r="AC359" s="37"/>
      <c r="AD359" s="37"/>
      <c r="AE359" s="37"/>
      <c r="AF359" s="37"/>
      <c r="AG359" s="37"/>
      <c r="AH359" s="37"/>
      <c r="BA359" s="67"/>
      <c r="BB359" s="67"/>
      <c r="BC359" s="67"/>
      <c r="BD359" s="67"/>
      <c r="BE359" s="67"/>
      <c r="BF359" s="67"/>
      <c r="BG359" s="67"/>
      <c r="BH359" s="67"/>
      <c r="BI359" s="67"/>
      <c r="BJ359" s="67"/>
      <c r="BK359" s="67"/>
      <c r="BL359" s="67"/>
      <c r="BM359" s="67"/>
      <c r="BN359" s="67"/>
      <c r="BO359" s="35"/>
      <c r="BP359" s="67"/>
      <c r="BQ359" s="67"/>
      <c r="BR359" s="67"/>
      <c r="BS359" s="67"/>
      <c r="CW359" s="909"/>
      <c r="CX359" s="989"/>
      <c r="CY359" s="922"/>
      <c r="CZ359" s="905"/>
      <c r="DA359" s="1000"/>
      <c r="DB359" s="35"/>
      <c r="DC359" s="33"/>
      <c r="DD359" s="33"/>
      <c r="DE359" s="33"/>
      <c r="DF359" s="33"/>
      <c r="DG359" s="33"/>
      <c r="DH359" s="33"/>
      <c r="DI359" s="33"/>
      <c r="DJ359" s="33"/>
      <c r="DK359" s="33"/>
      <c r="DL359" s="33"/>
      <c r="DM359" s="33"/>
      <c r="DN359" s="33"/>
      <c r="DO359" s="33"/>
      <c r="DP359" s="33"/>
      <c r="DQ359" s="33"/>
      <c r="DR359" s="33"/>
    </row>
    <row r="360" spans="1:122" s="34" customFormat="1" x14ac:dyDescent="0.2">
      <c r="A360" s="886"/>
      <c r="B360" s="32"/>
      <c r="P360" s="35"/>
      <c r="Q360" s="35"/>
      <c r="R360" s="55"/>
      <c r="V360" s="37"/>
      <c r="W360" s="37"/>
      <c r="X360" s="37"/>
      <c r="Y360" s="37"/>
      <c r="Z360" s="37"/>
      <c r="AA360" s="37"/>
      <c r="AB360" s="37"/>
      <c r="AC360" s="37"/>
      <c r="AD360" s="37"/>
      <c r="AE360" s="37"/>
      <c r="AF360" s="37"/>
      <c r="AG360" s="37"/>
      <c r="AH360" s="37"/>
      <c r="BA360" s="67"/>
      <c r="BB360" s="67"/>
      <c r="BC360" s="67"/>
      <c r="BD360" s="67"/>
      <c r="BE360" s="67"/>
      <c r="BF360" s="67"/>
      <c r="BG360" s="67"/>
      <c r="BH360" s="67"/>
      <c r="BI360" s="67"/>
      <c r="BJ360" s="67"/>
      <c r="BK360" s="67"/>
      <c r="BL360" s="67"/>
      <c r="BM360" s="67"/>
      <c r="BN360" s="67"/>
      <c r="BO360" s="35"/>
      <c r="BP360" s="67"/>
      <c r="BQ360" s="67"/>
      <c r="BR360" s="67"/>
      <c r="BS360" s="67"/>
      <c r="CW360" s="909"/>
      <c r="CX360" s="989"/>
      <c r="CY360" s="922"/>
      <c r="CZ360" s="905"/>
      <c r="DA360" s="1000"/>
      <c r="DB360" s="35"/>
      <c r="DC360" s="33"/>
      <c r="DD360" s="33"/>
      <c r="DE360" s="33"/>
      <c r="DF360" s="33"/>
      <c r="DG360" s="33"/>
      <c r="DH360" s="33"/>
      <c r="DI360" s="33"/>
      <c r="DJ360" s="33"/>
      <c r="DK360" s="33"/>
      <c r="DL360" s="33"/>
      <c r="DM360" s="33"/>
      <c r="DN360" s="33"/>
      <c r="DO360" s="33"/>
      <c r="DP360" s="33"/>
      <c r="DQ360" s="33"/>
      <c r="DR360" s="33"/>
    </row>
    <row r="361" spans="1:122" s="34" customFormat="1" x14ac:dyDescent="0.2">
      <c r="A361" s="886"/>
      <c r="B361" s="32"/>
      <c r="P361" s="35"/>
      <c r="Q361" s="35"/>
      <c r="R361" s="55"/>
      <c r="V361" s="37"/>
      <c r="W361" s="37"/>
      <c r="X361" s="37"/>
      <c r="Y361" s="37"/>
      <c r="Z361" s="37"/>
      <c r="AA361" s="37"/>
      <c r="AB361" s="37"/>
      <c r="AC361" s="37"/>
      <c r="AD361" s="37"/>
      <c r="AE361" s="37"/>
      <c r="AF361" s="37"/>
      <c r="AG361" s="37"/>
      <c r="AH361" s="37"/>
      <c r="BA361" s="67"/>
      <c r="BB361" s="67"/>
      <c r="BC361" s="67"/>
      <c r="BD361" s="67"/>
      <c r="BE361" s="67"/>
      <c r="BF361" s="67"/>
      <c r="BG361" s="67"/>
      <c r="BH361" s="67"/>
      <c r="BI361" s="67"/>
      <c r="BJ361" s="67"/>
      <c r="BK361" s="67"/>
      <c r="BL361" s="67"/>
      <c r="BM361" s="67"/>
      <c r="BN361" s="67"/>
      <c r="BO361" s="35"/>
      <c r="BP361" s="67"/>
      <c r="BQ361" s="67"/>
      <c r="BR361" s="67"/>
      <c r="BS361" s="67"/>
      <c r="CW361" s="909"/>
      <c r="CX361" s="989"/>
      <c r="CY361" s="922"/>
      <c r="CZ361" s="905"/>
      <c r="DA361" s="1000"/>
      <c r="DB361" s="35"/>
      <c r="DC361" s="33"/>
      <c r="DD361" s="33"/>
      <c r="DE361" s="33"/>
      <c r="DF361" s="33"/>
      <c r="DG361" s="33"/>
      <c r="DH361" s="33"/>
      <c r="DI361" s="33"/>
      <c r="DJ361" s="33"/>
      <c r="DK361" s="33"/>
      <c r="DL361" s="33"/>
      <c r="DM361" s="33"/>
      <c r="DN361" s="33"/>
      <c r="DO361" s="33"/>
      <c r="DP361" s="33"/>
      <c r="DQ361" s="33"/>
      <c r="DR361" s="33"/>
    </row>
    <row r="362" spans="1:122" s="34" customFormat="1" x14ac:dyDescent="0.2">
      <c r="A362" s="886"/>
      <c r="B362" s="32"/>
      <c r="P362" s="35"/>
      <c r="Q362" s="35"/>
      <c r="R362" s="55"/>
      <c r="V362" s="37"/>
      <c r="W362" s="37"/>
      <c r="X362" s="37"/>
      <c r="Y362" s="37"/>
      <c r="Z362" s="37"/>
      <c r="AA362" s="37"/>
      <c r="AB362" s="37"/>
      <c r="AC362" s="37"/>
      <c r="AD362" s="37"/>
      <c r="AE362" s="37"/>
      <c r="AF362" s="37"/>
      <c r="AG362" s="37"/>
      <c r="AH362" s="37"/>
      <c r="BA362" s="67"/>
      <c r="BB362" s="67"/>
      <c r="BC362" s="67"/>
      <c r="BD362" s="67"/>
      <c r="BE362" s="67"/>
      <c r="BF362" s="67"/>
      <c r="BG362" s="67"/>
      <c r="BH362" s="67"/>
      <c r="BI362" s="67"/>
      <c r="BJ362" s="67"/>
      <c r="BK362" s="67"/>
      <c r="BL362" s="67"/>
      <c r="BM362" s="67"/>
      <c r="BN362" s="67"/>
      <c r="BO362" s="35"/>
      <c r="BP362" s="67"/>
      <c r="BQ362" s="67"/>
      <c r="BR362" s="67"/>
      <c r="BS362" s="67"/>
      <c r="CW362" s="909"/>
      <c r="CX362" s="989"/>
      <c r="CY362" s="922"/>
      <c r="CZ362" s="905"/>
      <c r="DA362" s="1000"/>
      <c r="DB362" s="35"/>
      <c r="DC362" s="33"/>
      <c r="DD362" s="33"/>
      <c r="DE362" s="33"/>
      <c r="DF362" s="33"/>
      <c r="DG362" s="33"/>
      <c r="DH362" s="33"/>
      <c r="DI362" s="33"/>
      <c r="DJ362" s="33"/>
      <c r="DK362" s="33"/>
      <c r="DL362" s="33"/>
      <c r="DM362" s="33"/>
      <c r="DN362" s="33"/>
      <c r="DO362" s="33"/>
      <c r="DP362" s="33"/>
      <c r="DQ362" s="33"/>
      <c r="DR362" s="33"/>
    </row>
    <row r="363" spans="1:122" s="34" customFormat="1" x14ac:dyDescent="0.2">
      <c r="A363" s="886"/>
      <c r="B363" s="32"/>
      <c r="P363" s="35"/>
      <c r="Q363" s="35"/>
      <c r="R363" s="55"/>
      <c r="V363" s="37"/>
      <c r="W363" s="37"/>
      <c r="X363" s="37"/>
      <c r="Y363" s="37"/>
      <c r="Z363" s="37"/>
      <c r="AA363" s="37"/>
      <c r="AB363" s="37"/>
      <c r="AC363" s="37"/>
      <c r="AD363" s="37"/>
      <c r="AE363" s="37"/>
      <c r="AF363" s="37"/>
      <c r="AG363" s="37"/>
      <c r="AH363" s="37"/>
      <c r="BA363" s="67"/>
      <c r="BB363" s="67"/>
      <c r="BC363" s="67"/>
      <c r="BD363" s="67"/>
      <c r="BE363" s="67"/>
      <c r="BF363" s="67"/>
      <c r="BG363" s="67"/>
      <c r="BH363" s="67"/>
      <c r="BI363" s="67"/>
      <c r="BJ363" s="67"/>
      <c r="BK363" s="67"/>
      <c r="BL363" s="67"/>
      <c r="BM363" s="67"/>
      <c r="BN363" s="67"/>
      <c r="BO363" s="35"/>
      <c r="BP363" s="67"/>
      <c r="BQ363" s="67"/>
      <c r="BR363" s="67"/>
      <c r="BS363" s="67"/>
      <c r="CW363" s="909"/>
      <c r="CX363" s="989"/>
      <c r="CY363" s="922"/>
      <c r="CZ363" s="905"/>
      <c r="DA363" s="1000"/>
      <c r="DB363" s="35"/>
      <c r="DC363" s="33"/>
      <c r="DD363" s="33"/>
      <c r="DE363" s="33"/>
      <c r="DF363" s="33"/>
      <c r="DG363" s="33"/>
      <c r="DH363" s="33"/>
      <c r="DI363" s="33"/>
      <c r="DJ363" s="33"/>
      <c r="DK363" s="33"/>
      <c r="DL363" s="33"/>
      <c r="DM363" s="33"/>
      <c r="DN363" s="33"/>
      <c r="DO363" s="33"/>
      <c r="DP363" s="33"/>
      <c r="DQ363" s="33"/>
      <c r="DR363" s="33"/>
    </row>
    <row r="364" spans="1:122" s="34" customFormat="1" x14ac:dyDescent="0.2">
      <c r="A364" s="886"/>
      <c r="B364" s="32"/>
      <c r="P364" s="35"/>
      <c r="Q364" s="35"/>
      <c r="R364" s="55"/>
      <c r="V364" s="37"/>
      <c r="W364" s="37"/>
      <c r="X364" s="37"/>
      <c r="Y364" s="37"/>
      <c r="Z364" s="37"/>
      <c r="AA364" s="37"/>
      <c r="AB364" s="37"/>
      <c r="AC364" s="37"/>
      <c r="AD364" s="37"/>
      <c r="AE364" s="37"/>
      <c r="AF364" s="37"/>
      <c r="AG364" s="37"/>
      <c r="AH364" s="37"/>
      <c r="BA364" s="67"/>
      <c r="BB364" s="67"/>
      <c r="BC364" s="67"/>
      <c r="BD364" s="67"/>
      <c r="BE364" s="67"/>
      <c r="BF364" s="67"/>
      <c r="BG364" s="67"/>
      <c r="BH364" s="67"/>
      <c r="BI364" s="67"/>
      <c r="BJ364" s="67"/>
      <c r="BK364" s="67"/>
      <c r="BL364" s="67"/>
      <c r="BM364" s="67"/>
      <c r="BN364" s="67"/>
      <c r="BO364" s="35"/>
      <c r="BP364" s="67"/>
      <c r="BQ364" s="67"/>
      <c r="BR364" s="67"/>
      <c r="BS364" s="67"/>
      <c r="CW364" s="909"/>
      <c r="CX364" s="989"/>
      <c r="CY364" s="922"/>
      <c r="CZ364" s="905"/>
      <c r="DA364" s="1000"/>
      <c r="DB364" s="35"/>
      <c r="DC364" s="33"/>
      <c r="DD364" s="33"/>
      <c r="DE364" s="33"/>
      <c r="DF364" s="33"/>
      <c r="DG364" s="33"/>
      <c r="DH364" s="33"/>
      <c r="DI364" s="33"/>
      <c r="DJ364" s="33"/>
      <c r="DK364" s="33"/>
      <c r="DL364" s="33"/>
      <c r="DM364" s="33"/>
      <c r="DN364" s="33"/>
      <c r="DO364" s="33"/>
      <c r="DP364" s="33"/>
      <c r="DQ364" s="33"/>
      <c r="DR364" s="33"/>
    </row>
    <row r="365" spans="1:122" s="34" customFormat="1" x14ac:dyDescent="0.2">
      <c r="A365" s="886"/>
      <c r="B365" s="32"/>
      <c r="P365" s="35"/>
      <c r="Q365" s="35"/>
      <c r="R365" s="55"/>
      <c r="V365" s="37"/>
      <c r="W365" s="37"/>
      <c r="X365" s="37"/>
      <c r="Y365" s="37"/>
      <c r="Z365" s="37"/>
      <c r="AA365" s="37"/>
      <c r="AB365" s="37"/>
      <c r="AC365" s="37"/>
      <c r="AD365" s="37"/>
      <c r="AE365" s="37"/>
      <c r="AF365" s="37"/>
      <c r="AG365" s="37"/>
      <c r="AH365" s="37"/>
      <c r="BA365" s="67"/>
      <c r="BB365" s="67"/>
      <c r="BC365" s="67"/>
      <c r="BD365" s="67"/>
      <c r="BE365" s="67"/>
      <c r="BF365" s="67"/>
      <c r="BG365" s="67"/>
      <c r="BH365" s="67"/>
      <c r="BI365" s="67"/>
      <c r="BJ365" s="67"/>
      <c r="BK365" s="67"/>
      <c r="BL365" s="67"/>
      <c r="BM365" s="67"/>
      <c r="BN365" s="67"/>
      <c r="BO365" s="35"/>
      <c r="BP365" s="67"/>
      <c r="BQ365" s="67"/>
      <c r="BR365" s="67"/>
      <c r="BS365" s="67"/>
      <c r="CW365" s="909"/>
      <c r="CX365" s="989"/>
      <c r="CY365" s="922"/>
      <c r="CZ365" s="905"/>
      <c r="DA365" s="1000"/>
      <c r="DB365" s="35"/>
      <c r="DC365" s="33"/>
      <c r="DD365" s="33"/>
      <c r="DE365" s="33"/>
      <c r="DF365" s="33"/>
      <c r="DG365" s="33"/>
      <c r="DH365" s="33"/>
      <c r="DI365" s="33"/>
      <c r="DJ365" s="33"/>
      <c r="DK365" s="33"/>
      <c r="DL365" s="33"/>
      <c r="DM365" s="33"/>
      <c r="DN365" s="33"/>
      <c r="DO365" s="33"/>
      <c r="DP365" s="33"/>
      <c r="DQ365" s="33"/>
      <c r="DR365" s="33"/>
    </row>
    <row r="366" spans="1:122" s="34" customFormat="1" x14ac:dyDescent="0.2">
      <c r="A366" s="886"/>
      <c r="B366" s="32"/>
      <c r="P366" s="35"/>
      <c r="Q366" s="35"/>
      <c r="R366" s="55"/>
      <c r="V366" s="37"/>
      <c r="W366" s="37"/>
      <c r="X366" s="37"/>
      <c r="Y366" s="37"/>
      <c r="Z366" s="37"/>
      <c r="AA366" s="37"/>
      <c r="AB366" s="37"/>
      <c r="AC366" s="37"/>
      <c r="AD366" s="37"/>
      <c r="AE366" s="37"/>
      <c r="AF366" s="37"/>
      <c r="AG366" s="37"/>
      <c r="AH366" s="37"/>
      <c r="BA366" s="67"/>
      <c r="BB366" s="67"/>
      <c r="BC366" s="67"/>
      <c r="BD366" s="67"/>
      <c r="BE366" s="67"/>
      <c r="BF366" s="67"/>
      <c r="BG366" s="67"/>
      <c r="BH366" s="67"/>
      <c r="BI366" s="67"/>
      <c r="BJ366" s="67"/>
      <c r="BK366" s="67"/>
      <c r="BL366" s="67"/>
      <c r="BM366" s="67"/>
      <c r="BN366" s="67"/>
      <c r="BO366" s="35"/>
      <c r="BP366" s="67"/>
      <c r="BQ366" s="67"/>
      <c r="BR366" s="67"/>
      <c r="BS366" s="67"/>
      <c r="CW366" s="909"/>
      <c r="CX366" s="989"/>
      <c r="CY366" s="922"/>
      <c r="CZ366" s="905"/>
      <c r="DA366" s="1000"/>
      <c r="DB366" s="35"/>
      <c r="DC366" s="33"/>
      <c r="DD366" s="33"/>
      <c r="DE366" s="33"/>
      <c r="DF366" s="33"/>
      <c r="DG366" s="33"/>
      <c r="DH366" s="33"/>
      <c r="DI366" s="33"/>
      <c r="DJ366" s="33"/>
      <c r="DK366" s="33"/>
      <c r="DL366" s="33"/>
      <c r="DM366" s="33"/>
      <c r="DN366" s="33"/>
      <c r="DO366" s="33"/>
      <c r="DP366" s="33"/>
      <c r="DQ366" s="33"/>
      <c r="DR366" s="33"/>
    </row>
    <row r="367" spans="1:122" s="34" customFormat="1" x14ac:dyDescent="0.2">
      <c r="A367" s="886"/>
      <c r="B367" s="32"/>
      <c r="P367" s="35"/>
      <c r="Q367" s="35"/>
      <c r="R367" s="55"/>
      <c r="V367" s="37"/>
      <c r="W367" s="37"/>
      <c r="X367" s="37"/>
      <c r="Y367" s="37"/>
      <c r="Z367" s="37"/>
      <c r="AA367" s="37"/>
      <c r="AB367" s="37"/>
      <c r="AC367" s="37"/>
      <c r="AD367" s="37"/>
      <c r="AE367" s="37"/>
      <c r="AF367" s="37"/>
      <c r="AG367" s="37"/>
      <c r="AH367" s="37"/>
      <c r="BA367" s="67"/>
      <c r="BB367" s="67"/>
      <c r="BC367" s="67"/>
      <c r="BD367" s="67"/>
      <c r="BE367" s="67"/>
      <c r="BF367" s="67"/>
      <c r="BG367" s="67"/>
      <c r="BH367" s="67"/>
      <c r="BI367" s="67"/>
      <c r="BJ367" s="67"/>
      <c r="BK367" s="67"/>
      <c r="BL367" s="67"/>
      <c r="BM367" s="67"/>
      <c r="BN367" s="67"/>
      <c r="BO367" s="35"/>
      <c r="BP367" s="67"/>
      <c r="BQ367" s="67"/>
      <c r="BR367" s="67"/>
      <c r="BS367" s="67"/>
      <c r="CW367" s="909"/>
      <c r="CX367" s="989"/>
      <c r="CY367" s="922"/>
      <c r="CZ367" s="905"/>
      <c r="DA367" s="1000"/>
      <c r="DB367" s="35"/>
      <c r="DC367" s="33"/>
      <c r="DD367" s="33"/>
      <c r="DE367" s="33"/>
      <c r="DF367" s="33"/>
      <c r="DG367" s="33"/>
      <c r="DH367" s="33"/>
      <c r="DI367" s="33"/>
      <c r="DJ367" s="33"/>
      <c r="DK367" s="33"/>
      <c r="DL367" s="33"/>
      <c r="DM367" s="33"/>
      <c r="DN367" s="33"/>
      <c r="DO367" s="33"/>
      <c r="DP367" s="33"/>
      <c r="DQ367" s="33"/>
      <c r="DR367" s="33"/>
    </row>
    <row r="368" spans="1:122" s="34" customFormat="1" x14ac:dyDescent="0.2">
      <c r="A368" s="886"/>
      <c r="B368" s="32"/>
      <c r="P368" s="35"/>
      <c r="Q368" s="35"/>
      <c r="R368" s="55"/>
      <c r="V368" s="37"/>
      <c r="W368" s="37"/>
      <c r="X368" s="37"/>
      <c r="Y368" s="37"/>
      <c r="Z368" s="37"/>
      <c r="AA368" s="37"/>
      <c r="AB368" s="37"/>
      <c r="AC368" s="37"/>
      <c r="AD368" s="37"/>
      <c r="AE368" s="37"/>
      <c r="AF368" s="37"/>
      <c r="AG368" s="37"/>
      <c r="AH368" s="37"/>
      <c r="BA368" s="67"/>
      <c r="BB368" s="67"/>
      <c r="BC368" s="67"/>
      <c r="BD368" s="67"/>
      <c r="BE368" s="67"/>
      <c r="BF368" s="67"/>
      <c r="BG368" s="67"/>
      <c r="BH368" s="67"/>
      <c r="BI368" s="67"/>
      <c r="BJ368" s="67"/>
      <c r="BK368" s="67"/>
      <c r="BL368" s="67"/>
      <c r="BM368" s="67"/>
      <c r="BN368" s="67"/>
      <c r="BO368" s="35"/>
      <c r="BP368" s="67"/>
      <c r="BQ368" s="67"/>
      <c r="BR368" s="67"/>
      <c r="BS368" s="67"/>
      <c r="CW368" s="909"/>
      <c r="CX368" s="989"/>
      <c r="CY368" s="922"/>
      <c r="CZ368" s="905"/>
      <c r="DA368" s="1000"/>
      <c r="DB368" s="35"/>
      <c r="DC368" s="33"/>
      <c r="DD368" s="33"/>
      <c r="DE368" s="33"/>
      <c r="DF368" s="33"/>
      <c r="DG368" s="33"/>
      <c r="DH368" s="33"/>
      <c r="DI368" s="33"/>
      <c r="DJ368" s="33"/>
      <c r="DK368" s="33"/>
      <c r="DL368" s="33"/>
      <c r="DM368" s="33"/>
      <c r="DN368" s="33"/>
      <c r="DO368" s="33"/>
      <c r="DP368" s="33"/>
      <c r="DQ368" s="33"/>
      <c r="DR368" s="33"/>
    </row>
    <row r="369" spans="1:122" s="34" customFormat="1" x14ac:dyDescent="0.2">
      <c r="A369" s="886"/>
      <c r="B369" s="32"/>
      <c r="P369" s="35"/>
      <c r="Q369" s="35"/>
      <c r="R369" s="55"/>
      <c r="V369" s="37"/>
      <c r="W369" s="37"/>
      <c r="X369" s="37"/>
      <c r="Y369" s="37"/>
      <c r="Z369" s="37"/>
      <c r="AA369" s="37"/>
      <c r="AB369" s="37"/>
      <c r="AC369" s="37"/>
      <c r="AD369" s="37"/>
      <c r="AE369" s="37"/>
      <c r="AF369" s="37"/>
      <c r="AG369" s="37"/>
      <c r="AH369" s="37"/>
      <c r="BA369" s="67"/>
      <c r="BB369" s="67"/>
      <c r="BC369" s="67"/>
      <c r="BD369" s="67"/>
      <c r="BE369" s="67"/>
      <c r="BF369" s="67"/>
      <c r="BG369" s="67"/>
      <c r="BH369" s="67"/>
      <c r="BI369" s="67"/>
      <c r="BJ369" s="67"/>
      <c r="BK369" s="67"/>
      <c r="BL369" s="67"/>
      <c r="BM369" s="67"/>
      <c r="BN369" s="67"/>
      <c r="BO369" s="35"/>
      <c r="BP369" s="67"/>
      <c r="BQ369" s="67"/>
      <c r="BR369" s="67"/>
      <c r="BS369" s="67"/>
      <c r="CW369" s="909"/>
      <c r="CX369" s="989"/>
      <c r="CY369" s="922"/>
      <c r="CZ369" s="905"/>
      <c r="DA369" s="1000"/>
      <c r="DB369" s="35"/>
      <c r="DC369" s="33"/>
      <c r="DD369" s="33"/>
      <c r="DE369" s="33"/>
      <c r="DF369" s="33"/>
      <c r="DG369" s="33"/>
      <c r="DH369" s="33"/>
      <c r="DI369" s="33"/>
      <c r="DJ369" s="33"/>
      <c r="DK369" s="33"/>
      <c r="DL369" s="33"/>
      <c r="DM369" s="33"/>
      <c r="DN369" s="33"/>
      <c r="DO369" s="33"/>
      <c r="DP369" s="33"/>
      <c r="DQ369" s="33"/>
      <c r="DR369" s="33"/>
    </row>
    <row r="370" spans="1:122" s="34" customFormat="1" x14ac:dyDescent="0.2">
      <c r="A370" s="886"/>
      <c r="B370" s="32"/>
      <c r="P370" s="35"/>
      <c r="Q370" s="35"/>
      <c r="R370" s="55"/>
      <c r="V370" s="37"/>
      <c r="W370" s="37"/>
      <c r="X370" s="37"/>
      <c r="Y370" s="37"/>
      <c r="Z370" s="37"/>
      <c r="AA370" s="37"/>
      <c r="AB370" s="37"/>
      <c r="AC370" s="37"/>
      <c r="AD370" s="37"/>
      <c r="AE370" s="37"/>
      <c r="AF370" s="37"/>
      <c r="AG370" s="37"/>
      <c r="AH370" s="37"/>
      <c r="BA370" s="67"/>
      <c r="BB370" s="67"/>
      <c r="BC370" s="67"/>
      <c r="BD370" s="67"/>
      <c r="BE370" s="67"/>
      <c r="BF370" s="67"/>
      <c r="BG370" s="67"/>
      <c r="BH370" s="67"/>
      <c r="BI370" s="67"/>
      <c r="BJ370" s="67"/>
      <c r="BK370" s="67"/>
      <c r="BL370" s="67"/>
      <c r="BM370" s="67"/>
      <c r="BN370" s="67"/>
      <c r="BO370" s="35"/>
      <c r="BP370" s="67"/>
      <c r="BQ370" s="67"/>
      <c r="BR370" s="67"/>
      <c r="BS370" s="67"/>
      <c r="CW370" s="909"/>
      <c r="CX370" s="989"/>
      <c r="CY370" s="922"/>
      <c r="CZ370" s="905"/>
      <c r="DA370" s="1000"/>
      <c r="DB370" s="35"/>
      <c r="DC370" s="33"/>
      <c r="DD370" s="33"/>
      <c r="DE370" s="33"/>
      <c r="DF370" s="33"/>
      <c r="DG370" s="33"/>
      <c r="DH370" s="33"/>
      <c r="DI370" s="33"/>
      <c r="DJ370" s="33"/>
      <c r="DK370" s="33"/>
      <c r="DL370" s="33"/>
      <c r="DM370" s="33"/>
      <c r="DN370" s="33"/>
      <c r="DO370" s="33"/>
      <c r="DP370" s="33"/>
      <c r="DQ370" s="33"/>
      <c r="DR370" s="33"/>
    </row>
    <row r="371" spans="1:122" s="34" customFormat="1" x14ac:dyDescent="0.2">
      <c r="A371" s="886"/>
      <c r="B371" s="32"/>
      <c r="P371" s="35"/>
      <c r="Q371" s="35"/>
      <c r="R371" s="55"/>
      <c r="V371" s="37"/>
      <c r="W371" s="37"/>
      <c r="X371" s="37"/>
      <c r="Y371" s="37"/>
      <c r="Z371" s="37"/>
      <c r="AA371" s="37"/>
      <c r="AB371" s="37"/>
      <c r="AC371" s="37"/>
      <c r="AD371" s="37"/>
      <c r="AE371" s="37"/>
      <c r="AF371" s="37"/>
      <c r="AG371" s="37"/>
      <c r="AH371" s="37"/>
      <c r="BA371" s="67"/>
      <c r="BB371" s="67"/>
      <c r="BC371" s="67"/>
      <c r="BD371" s="67"/>
      <c r="BE371" s="67"/>
      <c r="BF371" s="67"/>
      <c r="BG371" s="67"/>
      <c r="BH371" s="67"/>
      <c r="BI371" s="67"/>
      <c r="BJ371" s="67"/>
      <c r="BK371" s="67"/>
      <c r="BL371" s="67"/>
      <c r="BM371" s="67"/>
      <c r="BN371" s="67"/>
      <c r="BO371" s="35"/>
      <c r="BP371" s="67"/>
      <c r="BQ371" s="67"/>
      <c r="BR371" s="67"/>
      <c r="BS371" s="67"/>
      <c r="CW371" s="909"/>
      <c r="CX371" s="989"/>
      <c r="CY371" s="922"/>
      <c r="CZ371" s="905"/>
      <c r="DA371" s="1000"/>
      <c r="DB371" s="35"/>
      <c r="DC371" s="33"/>
      <c r="DD371" s="33"/>
      <c r="DE371" s="33"/>
      <c r="DF371" s="33"/>
      <c r="DG371" s="33"/>
      <c r="DH371" s="33"/>
      <c r="DI371" s="33"/>
      <c r="DJ371" s="33"/>
      <c r="DK371" s="33"/>
      <c r="DL371" s="33"/>
      <c r="DM371" s="33"/>
      <c r="DN371" s="33"/>
      <c r="DO371" s="33"/>
      <c r="DP371" s="33"/>
      <c r="DQ371" s="33"/>
      <c r="DR371" s="33"/>
    </row>
    <row r="372" spans="1:122" s="34" customFormat="1" x14ac:dyDescent="0.2">
      <c r="A372" s="886"/>
      <c r="B372" s="32"/>
      <c r="P372" s="35"/>
      <c r="Q372" s="35"/>
      <c r="R372" s="55"/>
      <c r="V372" s="37"/>
      <c r="W372" s="37"/>
      <c r="X372" s="37"/>
      <c r="Y372" s="37"/>
      <c r="Z372" s="37"/>
      <c r="AA372" s="37"/>
      <c r="AB372" s="37"/>
      <c r="AC372" s="37"/>
      <c r="AD372" s="37"/>
      <c r="AE372" s="37"/>
      <c r="AF372" s="37"/>
      <c r="AG372" s="37"/>
      <c r="AH372" s="37"/>
      <c r="BA372" s="67"/>
      <c r="BB372" s="67"/>
      <c r="BC372" s="67"/>
      <c r="BD372" s="67"/>
      <c r="BE372" s="67"/>
      <c r="BF372" s="67"/>
      <c r="BG372" s="67"/>
      <c r="BH372" s="67"/>
      <c r="BI372" s="67"/>
      <c r="BJ372" s="67"/>
      <c r="BK372" s="67"/>
      <c r="BL372" s="67"/>
      <c r="BM372" s="67"/>
      <c r="BN372" s="67"/>
      <c r="BO372" s="35"/>
      <c r="BP372" s="67"/>
      <c r="BQ372" s="67"/>
      <c r="BR372" s="67"/>
      <c r="BS372" s="67"/>
      <c r="CW372" s="909"/>
      <c r="CX372" s="989"/>
      <c r="CY372" s="922"/>
      <c r="CZ372" s="905"/>
      <c r="DA372" s="1000"/>
      <c r="DB372" s="35"/>
      <c r="DC372" s="33"/>
      <c r="DD372" s="33"/>
      <c r="DE372" s="33"/>
      <c r="DF372" s="33"/>
      <c r="DG372" s="33"/>
      <c r="DH372" s="33"/>
      <c r="DI372" s="33"/>
      <c r="DJ372" s="33"/>
      <c r="DK372" s="33"/>
      <c r="DL372" s="33"/>
      <c r="DM372" s="33"/>
      <c r="DN372" s="33"/>
      <c r="DO372" s="33"/>
      <c r="DP372" s="33"/>
      <c r="DQ372" s="33"/>
      <c r="DR372" s="33"/>
    </row>
    <row r="373" spans="1:122" s="34" customFormat="1" x14ac:dyDescent="0.2">
      <c r="A373" s="886"/>
      <c r="B373" s="32"/>
      <c r="P373" s="35"/>
      <c r="Q373" s="35"/>
      <c r="R373" s="55"/>
      <c r="V373" s="37"/>
      <c r="W373" s="37"/>
      <c r="X373" s="37"/>
      <c r="Y373" s="37"/>
      <c r="Z373" s="37"/>
      <c r="AA373" s="37"/>
      <c r="AB373" s="37"/>
      <c r="AC373" s="37"/>
      <c r="AD373" s="37"/>
      <c r="AE373" s="37"/>
      <c r="AF373" s="37"/>
      <c r="AG373" s="37"/>
      <c r="AH373" s="37"/>
      <c r="BA373" s="67"/>
      <c r="BB373" s="67"/>
      <c r="BC373" s="67"/>
      <c r="BD373" s="67"/>
      <c r="BE373" s="67"/>
      <c r="BF373" s="67"/>
      <c r="BG373" s="67"/>
      <c r="BH373" s="67"/>
      <c r="BI373" s="67"/>
      <c r="BJ373" s="67"/>
      <c r="BK373" s="67"/>
      <c r="BL373" s="67"/>
      <c r="BM373" s="67"/>
      <c r="BN373" s="67"/>
      <c r="BO373" s="35"/>
      <c r="BP373" s="67"/>
      <c r="BQ373" s="67"/>
      <c r="BR373" s="67"/>
      <c r="BS373" s="67"/>
      <c r="CW373" s="909"/>
      <c r="CX373" s="989"/>
      <c r="CY373" s="922"/>
      <c r="CZ373" s="905"/>
      <c r="DA373" s="1000"/>
      <c r="DB373" s="35"/>
      <c r="DC373" s="33"/>
      <c r="DD373" s="33"/>
      <c r="DE373" s="33"/>
      <c r="DF373" s="33"/>
      <c r="DG373" s="33"/>
      <c r="DH373" s="33"/>
      <c r="DI373" s="33"/>
      <c r="DJ373" s="33"/>
      <c r="DK373" s="33"/>
      <c r="DL373" s="33"/>
      <c r="DM373" s="33"/>
      <c r="DN373" s="33"/>
      <c r="DO373" s="33"/>
      <c r="DP373" s="33"/>
      <c r="DQ373" s="33"/>
      <c r="DR373" s="33"/>
    </row>
    <row r="374" spans="1:122" s="34" customFormat="1" x14ac:dyDescent="0.2">
      <c r="A374" s="886"/>
      <c r="B374" s="32"/>
      <c r="P374" s="35"/>
      <c r="Q374" s="35"/>
      <c r="R374" s="55"/>
      <c r="V374" s="37"/>
      <c r="W374" s="37"/>
      <c r="X374" s="37"/>
      <c r="Y374" s="37"/>
      <c r="Z374" s="37"/>
      <c r="AA374" s="37"/>
      <c r="AB374" s="37"/>
      <c r="AC374" s="37"/>
      <c r="AD374" s="37"/>
      <c r="AE374" s="37"/>
      <c r="AF374" s="37"/>
      <c r="AG374" s="37"/>
      <c r="AH374" s="37"/>
      <c r="BA374" s="67"/>
      <c r="BB374" s="67"/>
      <c r="BC374" s="67"/>
      <c r="BD374" s="67"/>
      <c r="BE374" s="67"/>
      <c r="BF374" s="67"/>
      <c r="BG374" s="67"/>
      <c r="BH374" s="67"/>
      <c r="BI374" s="67"/>
      <c r="BJ374" s="67"/>
      <c r="BK374" s="67"/>
      <c r="BL374" s="67"/>
      <c r="BM374" s="67"/>
      <c r="BN374" s="67"/>
      <c r="BO374" s="35"/>
      <c r="BP374" s="67"/>
      <c r="BQ374" s="67"/>
      <c r="BR374" s="67"/>
      <c r="BS374" s="67"/>
      <c r="CW374" s="909"/>
      <c r="CX374" s="989"/>
      <c r="CY374" s="922"/>
      <c r="CZ374" s="905"/>
      <c r="DA374" s="1000"/>
      <c r="DB374" s="35"/>
      <c r="DC374" s="33"/>
      <c r="DD374" s="33"/>
      <c r="DE374" s="33"/>
      <c r="DF374" s="33"/>
      <c r="DG374" s="33"/>
      <c r="DH374" s="33"/>
      <c r="DI374" s="33"/>
      <c r="DJ374" s="33"/>
      <c r="DK374" s="33"/>
      <c r="DL374" s="33"/>
      <c r="DM374" s="33"/>
      <c r="DN374" s="33"/>
      <c r="DO374" s="33"/>
      <c r="DP374" s="33"/>
      <c r="DQ374" s="33"/>
      <c r="DR374" s="33"/>
    </row>
    <row r="375" spans="1:122" s="34" customFormat="1" x14ac:dyDescent="0.2">
      <c r="A375" s="886"/>
      <c r="B375" s="32"/>
      <c r="P375" s="35"/>
      <c r="Q375" s="35"/>
      <c r="R375" s="55"/>
      <c r="V375" s="37"/>
      <c r="W375" s="37"/>
      <c r="X375" s="37"/>
      <c r="Y375" s="37"/>
      <c r="Z375" s="37"/>
      <c r="AA375" s="37"/>
      <c r="AB375" s="37"/>
      <c r="AC375" s="37"/>
      <c r="AD375" s="37"/>
      <c r="AE375" s="37"/>
      <c r="AF375" s="37"/>
      <c r="AG375" s="37"/>
      <c r="AH375" s="37"/>
      <c r="BA375" s="67"/>
      <c r="BB375" s="67"/>
      <c r="BC375" s="67"/>
      <c r="BD375" s="67"/>
      <c r="BE375" s="67"/>
      <c r="BF375" s="67"/>
      <c r="BG375" s="67"/>
      <c r="BH375" s="67"/>
      <c r="BI375" s="67"/>
      <c r="BJ375" s="67"/>
      <c r="BK375" s="67"/>
      <c r="BL375" s="67"/>
      <c r="BM375" s="67"/>
      <c r="BN375" s="67"/>
      <c r="BO375" s="35"/>
      <c r="BP375" s="67"/>
      <c r="BQ375" s="67"/>
      <c r="BR375" s="67"/>
      <c r="BS375" s="67"/>
      <c r="CW375" s="909"/>
      <c r="CX375" s="989"/>
      <c r="CY375" s="922"/>
      <c r="CZ375" s="905"/>
      <c r="DA375" s="1000"/>
      <c r="DB375" s="35"/>
      <c r="DC375" s="33"/>
      <c r="DD375" s="33"/>
      <c r="DE375" s="33"/>
      <c r="DF375" s="33"/>
      <c r="DG375" s="33"/>
      <c r="DH375" s="33"/>
      <c r="DI375" s="33"/>
      <c r="DJ375" s="33"/>
      <c r="DK375" s="33"/>
      <c r="DL375" s="33"/>
      <c r="DM375" s="33"/>
      <c r="DN375" s="33"/>
      <c r="DO375" s="33"/>
      <c r="DP375" s="33"/>
      <c r="DQ375" s="33"/>
      <c r="DR375" s="33"/>
    </row>
    <row r="376" spans="1:122" s="34" customFormat="1" x14ac:dyDescent="0.2">
      <c r="A376" s="886"/>
      <c r="B376" s="32"/>
      <c r="P376" s="35"/>
      <c r="Q376" s="35"/>
      <c r="R376" s="55"/>
      <c r="V376" s="37"/>
      <c r="W376" s="37"/>
      <c r="X376" s="37"/>
      <c r="Y376" s="37"/>
      <c r="Z376" s="37"/>
      <c r="AA376" s="37"/>
      <c r="AB376" s="37"/>
      <c r="AC376" s="37"/>
      <c r="AD376" s="37"/>
      <c r="AE376" s="37"/>
      <c r="AF376" s="37"/>
      <c r="AG376" s="37"/>
      <c r="AH376" s="37"/>
      <c r="BA376" s="67"/>
      <c r="BB376" s="67"/>
      <c r="BC376" s="67"/>
      <c r="BD376" s="67"/>
      <c r="BE376" s="67"/>
      <c r="BF376" s="67"/>
      <c r="BG376" s="67"/>
      <c r="BH376" s="67"/>
      <c r="BI376" s="67"/>
      <c r="BJ376" s="67"/>
      <c r="BK376" s="67"/>
      <c r="BL376" s="67"/>
      <c r="BM376" s="67"/>
      <c r="BN376" s="67"/>
      <c r="BO376" s="35"/>
      <c r="BP376" s="67"/>
      <c r="BQ376" s="67"/>
      <c r="BR376" s="67"/>
      <c r="BS376" s="67"/>
      <c r="CW376" s="909"/>
      <c r="CX376" s="989"/>
      <c r="CY376" s="922"/>
      <c r="CZ376" s="905"/>
      <c r="DA376" s="1000"/>
      <c r="DB376" s="35"/>
      <c r="DC376" s="33"/>
      <c r="DD376" s="33"/>
      <c r="DE376" s="33"/>
      <c r="DF376" s="33"/>
      <c r="DG376" s="33"/>
      <c r="DH376" s="33"/>
      <c r="DI376" s="33"/>
      <c r="DJ376" s="33"/>
      <c r="DK376" s="33"/>
      <c r="DL376" s="33"/>
      <c r="DM376" s="33"/>
      <c r="DN376" s="33"/>
      <c r="DO376" s="33"/>
      <c r="DP376" s="33"/>
      <c r="DQ376" s="33"/>
      <c r="DR376" s="33"/>
    </row>
    <row r="377" spans="1:122" s="34" customFormat="1" x14ac:dyDescent="0.2">
      <c r="A377" s="886"/>
      <c r="B377" s="32"/>
      <c r="P377" s="35"/>
      <c r="Q377" s="35"/>
      <c r="R377" s="55"/>
      <c r="V377" s="37"/>
      <c r="W377" s="37"/>
      <c r="X377" s="37"/>
      <c r="Y377" s="37"/>
      <c r="Z377" s="37"/>
      <c r="AA377" s="37"/>
      <c r="AB377" s="37"/>
      <c r="AC377" s="37"/>
      <c r="AD377" s="37"/>
      <c r="AE377" s="37"/>
      <c r="AF377" s="37"/>
      <c r="AG377" s="37"/>
      <c r="AH377" s="37"/>
      <c r="BA377" s="67"/>
      <c r="BB377" s="67"/>
      <c r="BC377" s="67"/>
      <c r="BD377" s="67"/>
      <c r="BE377" s="67"/>
      <c r="BF377" s="67"/>
      <c r="BG377" s="67"/>
      <c r="BH377" s="67"/>
      <c r="BI377" s="67"/>
      <c r="BJ377" s="67"/>
      <c r="BK377" s="67"/>
      <c r="BL377" s="67"/>
      <c r="BM377" s="67"/>
      <c r="BN377" s="67"/>
      <c r="BO377" s="35"/>
      <c r="BP377" s="67"/>
      <c r="BQ377" s="67"/>
      <c r="BR377" s="67"/>
      <c r="BS377" s="67"/>
      <c r="CW377" s="909"/>
      <c r="CX377" s="989"/>
      <c r="CY377" s="922"/>
      <c r="CZ377" s="905"/>
      <c r="DA377" s="1000"/>
      <c r="DB377" s="35"/>
      <c r="DC377" s="33"/>
      <c r="DD377" s="33"/>
      <c r="DE377" s="33"/>
      <c r="DF377" s="33"/>
      <c r="DG377" s="33"/>
      <c r="DH377" s="33"/>
      <c r="DI377" s="33"/>
      <c r="DJ377" s="33"/>
      <c r="DK377" s="33"/>
      <c r="DL377" s="33"/>
      <c r="DM377" s="33"/>
      <c r="DN377" s="33"/>
      <c r="DO377" s="33"/>
      <c r="DP377" s="33"/>
      <c r="DQ377" s="33"/>
      <c r="DR377" s="33"/>
    </row>
    <row r="378" spans="1:122" s="34" customFormat="1" x14ac:dyDescent="0.2">
      <c r="A378" s="886"/>
      <c r="B378" s="32"/>
      <c r="P378" s="35"/>
      <c r="Q378" s="35"/>
      <c r="R378" s="55"/>
      <c r="V378" s="37"/>
      <c r="W378" s="37"/>
      <c r="X378" s="37"/>
      <c r="Y378" s="37"/>
      <c r="Z378" s="37"/>
      <c r="AA378" s="37"/>
      <c r="AB378" s="37"/>
      <c r="AC378" s="37"/>
      <c r="AD378" s="37"/>
      <c r="AE378" s="37"/>
      <c r="AF378" s="37"/>
      <c r="AG378" s="37"/>
      <c r="AH378" s="37"/>
      <c r="BA378" s="67"/>
      <c r="BB378" s="67"/>
      <c r="BC378" s="67"/>
      <c r="BD378" s="67"/>
      <c r="BE378" s="67"/>
      <c r="BF378" s="67"/>
      <c r="BG378" s="67"/>
      <c r="BH378" s="67"/>
      <c r="BI378" s="67"/>
      <c r="BJ378" s="67"/>
      <c r="BK378" s="67"/>
      <c r="BL378" s="67"/>
      <c r="BM378" s="67"/>
      <c r="BN378" s="67"/>
      <c r="BO378" s="35"/>
      <c r="BP378" s="67"/>
      <c r="BQ378" s="67"/>
      <c r="BR378" s="67"/>
      <c r="BS378" s="67"/>
      <c r="CW378" s="909"/>
      <c r="CX378" s="989"/>
      <c r="CY378" s="922"/>
      <c r="CZ378" s="905"/>
      <c r="DA378" s="1000"/>
      <c r="DB378" s="35"/>
      <c r="DC378" s="33"/>
      <c r="DD378" s="33"/>
      <c r="DE378" s="33"/>
      <c r="DF378" s="33"/>
      <c r="DG378" s="33"/>
      <c r="DH378" s="33"/>
      <c r="DI378" s="33"/>
      <c r="DJ378" s="33"/>
      <c r="DK378" s="33"/>
      <c r="DL378" s="33"/>
      <c r="DM378" s="33"/>
      <c r="DN378" s="33"/>
      <c r="DO378" s="33"/>
      <c r="DP378" s="33"/>
      <c r="DQ378" s="33"/>
      <c r="DR378" s="33"/>
    </row>
    <row r="379" spans="1:122" s="34" customFormat="1" ht="13.7" customHeight="1" x14ac:dyDescent="0.2">
      <c r="A379" s="886"/>
      <c r="B379" s="32"/>
      <c r="P379" s="35"/>
      <c r="Q379" s="35"/>
      <c r="R379" s="55"/>
      <c r="V379" s="37"/>
      <c r="W379" s="37"/>
      <c r="X379" s="37"/>
      <c r="Y379" s="37"/>
      <c r="Z379" s="37"/>
      <c r="AA379" s="37"/>
      <c r="AB379" s="37"/>
      <c r="AC379" s="37"/>
      <c r="AD379" s="37"/>
      <c r="AE379" s="37"/>
      <c r="AF379" s="37"/>
      <c r="AG379" s="37"/>
      <c r="AH379" s="37"/>
      <c r="BA379" s="67"/>
      <c r="BB379" s="67"/>
      <c r="BC379" s="67"/>
      <c r="BD379" s="67"/>
      <c r="BE379" s="67"/>
      <c r="BF379" s="67"/>
      <c r="BG379" s="67"/>
      <c r="BH379" s="67"/>
      <c r="BI379" s="67"/>
      <c r="BJ379" s="67"/>
      <c r="BK379" s="67"/>
      <c r="BL379" s="67"/>
      <c r="BM379" s="67"/>
      <c r="BN379" s="67"/>
      <c r="BO379" s="35"/>
      <c r="BP379" s="67"/>
      <c r="BQ379" s="67"/>
      <c r="BR379" s="67"/>
      <c r="BS379" s="67"/>
      <c r="CW379" s="909"/>
      <c r="CX379" s="989"/>
      <c r="CY379" s="922"/>
      <c r="CZ379" s="905"/>
      <c r="DA379" s="1000"/>
      <c r="DB379" s="35"/>
      <c r="DC379" s="33"/>
      <c r="DD379" s="33"/>
      <c r="DE379" s="33"/>
      <c r="DF379" s="33"/>
      <c r="DG379" s="33"/>
      <c r="DH379" s="33"/>
      <c r="DI379" s="33"/>
      <c r="DJ379" s="33"/>
      <c r="DK379" s="33"/>
      <c r="DL379" s="33"/>
      <c r="DM379" s="33"/>
      <c r="DN379" s="33"/>
      <c r="DO379" s="33"/>
      <c r="DP379" s="33"/>
      <c r="DQ379" s="33"/>
      <c r="DR379" s="33"/>
    </row>
    <row r="380" spans="1:122" s="33" customFormat="1" x14ac:dyDescent="0.2">
      <c r="A380" s="886"/>
      <c r="B380" s="196"/>
      <c r="P380" s="45"/>
      <c r="Q380" s="45"/>
      <c r="R380" s="55"/>
      <c r="V380" s="47"/>
      <c r="W380" s="47"/>
      <c r="X380" s="47"/>
      <c r="Y380" s="47"/>
      <c r="Z380" s="47"/>
      <c r="AA380" s="47"/>
      <c r="AB380" s="47"/>
      <c r="AC380" s="47"/>
      <c r="AD380" s="47"/>
      <c r="AE380" s="47"/>
      <c r="AF380" s="47"/>
      <c r="AG380" s="47"/>
      <c r="AH380" s="47"/>
      <c r="BA380" s="154"/>
      <c r="BB380" s="154"/>
      <c r="BC380" s="154"/>
      <c r="BD380" s="154"/>
      <c r="BE380" s="154"/>
      <c r="BF380" s="154"/>
      <c r="BG380" s="154"/>
      <c r="BH380" s="154"/>
      <c r="BI380" s="154"/>
      <c r="BJ380" s="154"/>
      <c r="BK380" s="154"/>
      <c r="BL380" s="154"/>
      <c r="BM380" s="154"/>
      <c r="BN380" s="154"/>
      <c r="BO380" s="45"/>
      <c r="BP380" s="154"/>
      <c r="BQ380" s="154"/>
      <c r="BR380" s="154"/>
      <c r="BS380" s="154"/>
      <c r="CU380" s="34"/>
      <c r="CV380" s="34"/>
      <c r="CW380" s="909"/>
      <c r="CX380" s="989"/>
      <c r="CY380" s="922"/>
      <c r="CZ380" s="905"/>
      <c r="DA380" s="1000"/>
      <c r="DB380" s="35"/>
    </row>
    <row r="381" spans="1:122" s="154" customFormat="1" x14ac:dyDescent="0.2">
      <c r="A381" s="886"/>
      <c r="B381" s="198"/>
      <c r="C381" s="199"/>
      <c r="D381" s="200">
        <f ca="1">'1 Pers.Ausgaben|Pers Expenses'!C4</f>
        <v>2017</v>
      </c>
      <c r="E381" s="200">
        <f ca="1">D381+1</f>
        <v>2018</v>
      </c>
      <c r="F381" s="200">
        <f ca="1">E381+1</f>
        <v>2019</v>
      </c>
      <c r="G381" s="200">
        <f ca="1">F381+1</f>
        <v>2020</v>
      </c>
      <c r="H381" s="200">
        <f ca="1">G381+1</f>
        <v>2021</v>
      </c>
      <c r="P381" s="201"/>
      <c r="Q381" s="201"/>
      <c r="R381" s="55"/>
      <c r="V381" s="202"/>
      <c r="W381" s="202"/>
      <c r="X381" s="202"/>
      <c r="Y381" s="202"/>
      <c r="Z381" s="202"/>
      <c r="AA381" s="202"/>
      <c r="AB381" s="202"/>
      <c r="AC381" s="202"/>
      <c r="AD381" s="202"/>
      <c r="AE381" s="202"/>
      <c r="AF381" s="202"/>
      <c r="AG381" s="202"/>
      <c r="AH381" s="202"/>
      <c r="BO381" s="201"/>
      <c r="CU381" s="67"/>
      <c r="CV381" s="67"/>
      <c r="CW381" s="909"/>
      <c r="CX381" s="989"/>
      <c r="CY381" s="39"/>
      <c r="CZ381" s="905"/>
      <c r="DA381" s="1000"/>
      <c r="DB381" s="1000"/>
    </row>
    <row r="382" spans="1:122" s="154" customFormat="1" x14ac:dyDescent="0.2">
      <c r="A382" s="886"/>
      <c r="B382" s="198"/>
      <c r="C382" s="204" t="str">
        <f t="shared" ref="C382:H382" si="248">C89</f>
        <v>Summe Bürokosten</v>
      </c>
      <c r="D382" s="202">
        <f t="shared" si="248"/>
        <v>0</v>
      </c>
      <c r="E382" s="202">
        <f t="shared" si="248"/>
        <v>0</v>
      </c>
      <c r="F382" s="202">
        <f t="shared" si="248"/>
        <v>0</v>
      </c>
      <c r="G382" s="202">
        <f t="shared" si="248"/>
        <v>0</v>
      </c>
      <c r="H382" s="202">
        <f t="shared" si="248"/>
        <v>0</v>
      </c>
      <c r="P382" s="201"/>
      <c r="Q382" s="201"/>
      <c r="R382" s="55"/>
      <c r="V382" s="202"/>
      <c r="W382" s="202"/>
      <c r="X382" s="202"/>
      <c r="Y382" s="202"/>
      <c r="Z382" s="202"/>
      <c r="AA382" s="202"/>
      <c r="AB382" s="202"/>
      <c r="AC382" s="202"/>
      <c r="AD382" s="202"/>
      <c r="AE382" s="202"/>
      <c r="AF382" s="202"/>
      <c r="AG382" s="202"/>
      <c r="AH382" s="202"/>
      <c r="BO382" s="201"/>
      <c r="CU382" s="67"/>
      <c r="CV382" s="67"/>
      <c r="CW382" s="909"/>
      <c r="CX382" s="989"/>
      <c r="CY382" s="972">
        <f>CY89</f>
        <v>0</v>
      </c>
      <c r="CZ382" s="905"/>
      <c r="DA382" s="1000"/>
      <c r="DB382" s="1000"/>
    </row>
    <row r="383" spans="1:122" s="154" customFormat="1" x14ac:dyDescent="0.2">
      <c r="A383" s="886"/>
      <c r="B383" s="198"/>
      <c r="C383" s="204" t="str">
        <f t="shared" ref="C383:H383" si="249">C95</f>
        <v>Produktionsbedarf, geringwertige Wirtschaftsgüter</v>
      </c>
      <c r="D383" s="202">
        <f t="shared" si="249"/>
        <v>0</v>
      </c>
      <c r="E383" s="202">
        <f t="shared" si="249"/>
        <v>0</v>
      </c>
      <c r="F383" s="202">
        <f t="shared" si="249"/>
        <v>0</v>
      </c>
      <c r="G383" s="202">
        <f t="shared" si="249"/>
        <v>0</v>
      </c>
      <c r="H383" s="202">
        <f t="shared" si="249"/>
        <v>0</v>
      </c>
      <c r="P383" s="201"/>
      <c r="Q383" s="201"/>
      <c r="R383" s="55"/>
      <c r="V383" s="202"/>
      <c r="W383" s="202"/>
      <c r="X383" s="202"/>
      <c r="Y383" s="202"/>
      <c r="Z383" s="202"/>
      <c r="AA383" s="202"/>
      <c r="AB383" s="202"/>
      <c r="AC383" s="202"/>
      <c r="AD383" s="202"/>
      <c r="AE383" s="202"/>
      <c r="AF383" s="202"/>
      <c r="AG383" s="202"/>
      <c r="AH383" s="202"/>
      <c r="BO383" s="201"/>
      <c r="CU383" s="67"/>
      <c r="CV383" s="67"/>
      <c r="CW383" s="909"/>
      <c r="CX383" s="989"/>
      <c r="CY383" s="972">
        <f>CY95</f>
        <v>0</v>
      </c>
      <c r="CZ383" s="905"/>
      <c r="DA383" s="1000"/>
      <c r="DB383" s="1000"/>
    </row>
    <row r="384" spans="1:122" s="154" customFormat="1" x14ac:dyDescent="0.2">
      <c r="A384" s="886"/>
      <c r="B384" s="198"/>
      <c r="C384" s="204" t="str">
        <f t="shared" ref="C384:H384" si="250">C98</f>
        <v>Verbrauchsmaterialien Studio  5.000 Euro, Büro 2000</v>
      </c>
      <c r="D384" s="202">
        <f t="shared" si="250"/>
        <v>0</v>
      </c>
      <c r="E384" s="202">
        <f t="shared" si="250"/>
        <v>0</v>
      </c>
      <c r="F384" s="202">
        <f t="shared" si="250"/>
        <v>0</v>
      </c>
      <c r="G384" s="202">
        <f t="shared" si="250"/>
        <v>0</v>
      </c>
      <c r="H384" s="202">
        <f t="shared" si="250"/>
        <v>0</v>
      </c>
      <c r="P384" s="201"/>
      <c r="Q384" s="201"/>
      <c r="R384" s="55"/>
      <c r="V384" s="202"/>
      <c r="W384" s="202"/>
      <c r="X384" s="202"/>
      <c r="Y384" s="202"/>
      <c r="Z384" s="202"/>
      <c r="AA384" s="202"/>
      <c r="AB384" s="202"/>
      <c r="AC384" s="202"/>
      <c r="AD384" s="202"/>
      <c r="AE384" s="202"/>
      <c r="AF384" s="202"/>
      <c r="AG384" s="202"/>
      <c r="AH384" s="202"/>
      <c r="BO384" s="201"/>
      <c r="CU384" s="67"/>
      <c r="CV384" s="67"/>
      <c r="CW384" s="909"/>
      <c r="CX384" s="989"/>
      <c r="CY384" s="972">
        <f>CY98</f>
        <v>0</v>
      </c>
      <c r="CZ384" s="905"/>
      <c r="DA384" s="1000"/>
      <c r="DB384" s="1000"/>
    </row>
    <row r="385" spans="1:122" s="154" customFormat="1" x14ac:dyDescent="0.2">
      <c r="A385" s="886"/>
      <c r="B385" s="198"/>
      <c r="C385" s="204" t="str">
        <f t="shared" ref="C385:H385" si="251">C108</f>
        <v>Kosten  für Ausbelichtungen u. Foto-Dienstleiustungen</v>
      </c>
      <c r="D385" s="202">
        <f t="shared" si="251"/>
        <v>0</v>
      </c>
      <c r="E385" s="202">
        <f t="shared" si="251"/>
        <v>0</v>
      </c>
      <c r="F385" s="202">
        <f t="shared" si="251"/>
        <v>0</v>
      </c>
      <c r="G385" s="202">
        <f t="shared" si="251"/>
        <v>0</v>
      </c>
      <c r="H385" s="202">
        <f t="shared" si="251"/>
        <v>0</v>
      </c>
      <c r="P385" s="201"/>
      <c r="Q385" s="201"/>
      <c r="R385" s="55"/>
      <c r="V385" s="202"/>
      <c r="W385" s="202"/>
      <c r="X385" s="202"/>
      <c r="Y385" s="202"/>
      <c r="Z385" s="202"/>
      <c r="AA385" s="202"/>
      <c r="AB385" s="202"/>
      <c r="AC385" s="202"/>
      <c r="AD385" s="202"/>
      <c r="AE385" s="202"/>
      <c r="AF385" s="202"/>
      <c r="AG385" s="202"/>
      <c r="AH385" s="202"/>
      <c r="BO385" s="201"/>
      <c r="CU385" s="67"/>
      <c r="CV385" s="67"/>
      <c r="CW385" s="909"/>
      <c r="CX385" s="989"/>
      <c r="CY385" s="972">
        <f>CY108</f>
        <v>0</v>
      </c>
      <c r="CZ385" s="905"/>
      <c r="DA385" s="1000"/>
      <c r="DB385" s="1000"/>
    </row>
    <row r="386" spans="1:122" s="154" customFormat="1" x14ac:dyDescent="0.2">
      <c r="A386" s="886"/>
      <c r="B386" s="198"/>
      <c r="C386" s="204" t="str">
        <f t="shared" ref="C386:H386" si="252">C112</f>
        <v>Rechtschutzversicherung</v>
      </c>
      <c r="D386" s="202">
        <f t="shared" si="252"/>
        <v>0</v>
      </c>
      <c r="E386" s="202">
        <f t="shared" si="252"/>
        <v>0</v>
      </c>
      <c r="F386" s="202">
        <f t="shared" si="252"/>
        <v>0</v>
      </c>
      <c r="G386" s="202">
        <f t="shared" si="252"/>
        <v>0</v>
      </c>
      <c r="H386" s="202">
        <f t="shared" si="252"/>
        <v>0</v>
      </c>
      <c r="P386" s="201"/>
      <c r="Q386" s="201"/>
      <c r="R386" s="55"/>
      <c r="V386" s="202"/>
      <c r="W386" s="202"/>
      <c r="X386" s="202"/>
      <c r="Y386" s="202"/>
      <c r="Z386" s="202"/>
      <c r="AA386" s="202"/>
      <c r="AB386" s="202"/>
      <c r="AC386" s="202"/>
      <c r="AD386" s="202"/>
      <c r="AE386" s="202"/>
      <c r="AF386" s="202"/>
      <c r="AG386" s="202"/>
      <c r="AH386" s="202"/>
      <c r="BO386" s="201"/>
      <c r="CU386" s="67"/>
      <c r="CV386" s="67"/>
      <c r="CW386" s="909"/>
      <c r="CX386" s="989"/>
      <c r="CY386" s="972">
        <f>CY112</f>
        <v>0</v>
      </c>
      <c r="CZ386" s="905"/>
      <c r="DA386" s="1000"/>
      <c r="DB386" s="1000"/>
    </row>
    <row r="387" spans="1:122" s="154" customFormat="1" x14ac:dyDescent="0.2">
      <c r="A387" s="886"/>
      <c r="B387" s="198"/>
      <c r="C387" s="204" t="str">
        <f t="shared" ref="C387:H387" si="253">C116</f>
        <v>KFZ Kosten / Betriebliche Nutzung</v>
      </c>
      <c r="D387" s="202">
        <f t="shared" si="253"/>
        <v>0</v>
      </c>
      <c r="E387" s="202">
        <f t="shared" si="253"/>
        <v>0</v>
      </c>
      <c r="F387" s="202">
        <f t="shared" si="253"/>
        <v>0</v>
      </c>
      <c r="G387" s="202">
        <f t="shared" si="253"/>
        <v>0</v>
      </c>
      <c r="H387" s="202">
        <f t="shared" si="253"/>
        <v>0</v>
      </c>
      <c r="P387" s="201"/>
      <c r="Q387" s="201"/>
      <c r="R387" s="55"/>
      <c r="V387" s="202"/>
      <c r="W387" s="202"/>
      <c r="X387" s="202"/>
      <c r="Y387" s="202"/>
      <c r="Z387" s="202"/>
      <c r="AA387" s="202"/>
      <c r="AB387" s="202"/>
      <c r="AC387" s="202"/>
      <c r="AD387" s="202"/>
      <c r="AE387" s="202"/>
      <c r="AF387" s="202"/>
      <c r="AG387" s="202"/>
      <c r="AH387" s="202"/>
      <c r="BO387" s="201"/>
      <c r="CU387" s="67"/>
      <c r="CV387" s="67"/>
      <c r="CW387" s="909"/>
      <c r="CX387" s="989"/>
      <c r="CY387" s="972">
        <f>CY116</f>
        <v>0</v>
      </c>
      <c r="CZ387" s="905"/>
      <c r="DA387" s="1000"/>
      <c r="DB387" s="1000"/>
    </row>
    <row r="388" spans="1:122" s="154" customFormat="1" x14ac:dyDescent="0.2">
      <c r="A388" s="886"/>
      <c r="B388" s="198"/>
      <c r="C388" s="204" t="str">
        <f t="shared" ref="C388:H388" si="254">C133</f>
        <v>Steuerberatung, Abschluss, Prüfung</v>
      </c>
      <c r="D388" s="202">
        <f t="shared" si="254"/>
        <v>0</v>
      </c>
      <c r="E388" s="202">
        <f t="shared" si="254"/>
        <v>0</v>
      </c>
      <c r="F388" s="202">
        <f t="shared" si="254"/>
        <v>0</v>
      </c>
      <c r="G388" s="202">
        <f t="shared" si="254"/>
        <v>0</v>
      </c>
      <c r="H388" s="202">
        <f t="shared" si="254"/>
        <v>0</v>
      </c>
      <c r="P388" s="201"/>
      <c r="Q388" s="201"/>
      <c r="R388" s="55"/>
      <c r="V388" s="202"/>
      <c r="W388" s="202"/>
      <c r="X388" s="202"/>
      <c r="Y388" s="202"/>
      <c r="Z388" s="202"/>
      <c r="AA388" s="202"/>
      <c r="AB388" s="202"/>
      <c r="AC388" s="202"/>
      <c r="AD388" s="202"/>
      <c r="AE388" s="202"/>
      <c r="AF388" s="202"/>
      <c r="AG388" s="202"/>
      <c r="AH388" s="202"/>
      <c r="BO388" s="201"/>
      <c r="CU388" s="67"/>
      <c r="CV388" s="67"/>
      <c r="CW388" s="909"/>
      <c r="CX388" s="989"/>
      <c r="CY388" s="972">
        <f>CY133</f>
        <v>0</v>
      </c>
      <c r="CZ388" s="905"/>
      <c r="DA388" s="1000"/>
      <c r="DB388" s="1000"/>
    </row>
    <row r="389" spans="1:122" s="154" customFormat="1" x14ac:dyDescent="0.2">
      <c r="A389" s="886"/>
      <c r="B389" s="198"/>
      <c r="C389" s="204" t="str">
        <f t="shared" ref="C389:H389" si="255">C142</f>
        <v>Summe Verschiedenes</v>
      </c>
      <c r="D389" s="202">
        <f t="shared" si="255"/>
        <v>0</v>
      </c>
      <c r="E389" s="202">
        <f t="shared" si="255"/>
        <v>0</v>
      </c>
      <c r="F389" s="202">
        <f t="shared" si="255"/>
        <v>0</v>
      </c>
      <c r="G389" s="202">
        <f t="shared" si="255"/>
        <v>0</v>
      </c>
      <c r="H389" s="202">
        <f t="shared" si="255"/>
        <v>0</v>
      </c>
      <c r="P389" s="201"/>
      <c r="Q389" s="201"/>
      <c r="R389" s="55"/>
      <c r="V389" s="202"/>
      <c r="W389" s="202"/>
      <c r="X389" s="202"/>
      <c r="Y389" s="202"/>
      <c r="Z389" s="202"/>
      <c r="AA389" s="202"/>
      <c r="AB389" s="202"/>
      <c r="AC389" s="202"/>
      <c r="AD389" s="202"/>
      <c r="AE389" s="202"/>
      <c r="AF389" s="202"/>
      <c r="AG389" s="202"/>
      <c r="AH389" s="202"/>
      <c r="BO389" s="201"/>
      <c r="CU389" s="67"/>
      <c r="CV389" s="67"/>
      <c r="CW389" s="909"/>
      <c r="CX389" s="989"/>
      <c r="CY389" s="972">
        <f>CY142</f>
        <v>0</v>
      </c>
      <c r="CZ389" s="905"/>
      <c r="DA389" s="1000"/>
      <c r="DB389" s="1000"/>
    </row>
    <row r="390" spans="1:122" s="154" customFormat="1" x14ac:dyDescent="0.2">
      <c r="A390" s="886"/>
      <c r="B390" s="198"/>
      <c r="C390" s="204" t="str">
        <f t="shared" ref="C390:H390" si="256">C144</f>
        <v>Abschreibungen (aus "3 Anschaffungen|Investment")</v>
      </c>
      <c r="D390" s="202">
        <f t="shared" si="256"/>
        <v>0</v>
      </c>
      <c r="E390" s="202">
        <f t="shared" ca="1" si="256"/>
        <v>0</v>
      </c>
      <c r="F390" s="202">
        <f t="shared" ca="1" si="256"/>
        <v>0</v>
      </c>
      <c r="G390" s="202">
        <f t="shared" ca="1" si="256"/>
        <v>0</v>
      </c>
      <c r="H390" s="202">
        <f t="shared" ca="1" si="256"/>
        <v>0</v>
      </c>
      <c r="P390" s="201"/>
      <c r="Q390" s="201"/>
      <c r="R390" s="55"/>
      <c r="V390" s="202"/>
      <c r="W390" s="202"/>
      <c r="X390" s="202"/>
      <c r="Y390" s="202"/>
      <c r="Z390" s="202"/>
      <c r="AA390" s="202"/>
      <c r="AB390" s="202"/>
      <c r="AC390" s="202"/>
      <c r="AD390" s="202"/>
      <c r="AE390" s="202"/>
      <c r="AF390" s="202"/>
      <c r="AG390" s="202"/>
      <c r="AH390" s="202"/>
      <c r="BO390" s="201"/>
      <c r="CU390" s="67"/>
      <c r="CV390" s="67"/>
      <c r="CW390" s="909"/>
      <c r="CX390" s="989"/>
      <c r="CY390" s="972">
        <f>CY144</f>
        <v>0</v>
      </c>
      <c r="CZ390" s="905"/>
      <c r="DA390" s="1000"/>
      <c r="DB390" s="1000"/>
    </row>
    <row r="391" spans="1:122" s="33" customFormat="1" x14ac:dyDescent="0.2">
      <c r="A391" s="886"/>
      <c r="B391" s="196"/>
      <c r="P391" s="45"/>
      <c r="Q391" s="45"/>
      <c r="R391" s="55"/>
      <c r="V391" s="47"/>
      <c r="W391" s="47"/>
      <c r="X391" s="47"/>
      <c r="Y391" s="47"/>
      <c r="Z391" s="47"/>
      <c r="AA391" s="47"/>
      <c r="AB391" s="47"/>
      <c r="AC391" s="47"/>
      <c r="AD391" s="47"/>
      <c r="AE391" s="47"/>
      <c r="AF391" s="47"/>
      <c r="AG391" s="47"/>
      <c r="AH391" s="47"/>
      <c r="BA391" s="154"/>
      <c r="BB391" s="154"/>
      <c r="BC391" s="154"/>
      <c r="BD391" s="154"/>
      <c r="BE391" s="154"/>
      <c r="BF391" s="154"/>
      <c r="BG391" s="154"/>
      <c r="BH391" s="154"/>
      <c r="BI391" s="154"/>
      <c r="BJ391" s="154"/>
      <c r="BK391" s="154"/>
      <c r="BL391" s="154"/>
      <c r="BM391" s="154"/>
      <c r="BN391" s="154"/>
      <c r="BO391" s="45"/>
      <c r="BP391" s="154"/>
      <c r="BQ391" s="154"/>
      <c r="BR391" s="154"/>
      <c r="BS391" s="154"/>
      <c r="CU391" s="34"/>
      <c r="CV391" s="34"/>
      <c r="CW391" s="909"/>
      <c r="CX391" s="989"/>
      <c r="CY391" s="922"/>
      <c r="CZ391" s="905"/>
      <c r="DA391" s="1000"/>
      <c r="DB391" s="35"/>
    </row>
    <row r="392" spans="1:122" s="33" customFormat="1" x14ac:dyDescent="0.2">
      <c r="A392" s="886"/>
      <c r="B392" s="196"/>
      <c r="P392" s="45"/>
      <c r="Q392" s="45"/>
      <c r="R392" s="55"/>
      <c r="V392" s="47"/>
      <c r="W392" s="47"/>
      <c r="X392" s="47"/>
      <c r="Y392" s="47"/>
      <c r="Z392" s="47"/>
      <c r="AA392" s="47"/>
      <c r="AB392" s="47"/>
      <c r="AC392" s="47"/>
      <c r="AD392" s="47"/>
      <c r="AE392" s="47"/>
      <c r="AF392" s="47"/>
      <c r="AG392" s="47"/>
      <c r="AH392" s="47"/>
      <c r="BA392" s="154"/>
      <c r="BB392" s="154"/>
      <c r="BC392" s="154"/>
      <c r="BD392" s="154"/>
      <c r="BE392" s="154"/>
      <c r="BF392" s="154"/>
      <c r="BG392" s="154"/>
      <c r="BH392" s="154"/>
      <c r="BI392" s="154"/>
      <c r="BJ392" s="154"/>
      <c r="BK392" s="154"/>
      <c r="BL392" s="154"/>
      <c r="BM392" s="154"/>
      <c r="BN392" s="154"/>
      <c r="BO392" s="45"/>
      <c r="BP392" s="154"/>
      <c r="BQ392" s="154"/>
      <c r="BR392" s="154"/>
      <c r="BS392" s="154"/>
      <c r="CU392" s="34"/>
      <c r="CV392" s="34"/>
      <c r="CW392" s="909"/>
      <c r="CX392" s="989"/>
      <c r="CY392" s="922"/>
      <c r="CZ392" s="905"/>
      <c r="DA392" s="1000"/>
      <c r="DB392" s="35"/>
    </row>
    <row r="393" spans="1:122" s="34" customFormat="1" x14ac:dyDescent="0.2">
      <c r="A393" s="886"/>
      <c r="B393" s="32"/>
      <c r="P393" s="35"/>
      <c r="Q393" s="35"/>
      <c r="R393" s="55"/>
      <c r="V393" s="37"/>
      <c r="W393" s="37"/>
      <c r="X393" s="37"/>
      <c r="Y393" s="37"/>
      <c r="Z393" s="37"/>
      <c r="AA393" s="37"/>
      <c r="AB393" s="37"/>
      <c r="AC393" s="37"/>
      <c r="AD393" s="37"/>
      <c r="AE393" s="37"/>
      <c r="AF393" s="37"/>
      <c r="AG393" s="37"/>
      <c r="AH393" s="37"/>
      <c r="BA393" s="67"/>
      <c r="BB393" s="67"/>
      <c r="BC393" s="67"/>
      <c r="BD393" s="67"/>
      <c r="BE393" s="67"/>
      <c r="BF393" s="67"/>
      <c r="BG393" s="67"/>
      <c r="BH393" s="67"/>
      <c r="BI393" s="67"/>
      <c r="BJ393" s="67"/>
      <c r="BK393" s="67"/>
      <c r="BL393" s="67"/>
      <c r="BM393" s="67"/>
      <c r="BN393" s="67"/>
      <c r="BO393" s="35"/>
      <c r="BP393" s="67"/>
      <c r="BQ393" s="67"/>
      <c r="BR393" s="67"/>
      <c r="BS393" s="67"/>
      <c r="CW393" s="909"/>
      <c r="CX393" s="989"/>
      <c r="CY393" s="922"/>
      <c r="CZ393" s="905"/>
      <c r="DA393" s="1000"/>
      <c r="DB393" s="35"/>
      <c r="DC393" s="33"/>
      <c r="DD393" s="33"/>
      <c r="DE393" s="33"/>
      <c r="DF393" s="33"/>
      <c r="DG393" s="33"/>
      <c r="DH393" s="33"/>
      <c r="DI393" s="33"/>
      <c r="DJ393" s="33"/>
      <c r="DK393" s="33"/>
      <c r="DL393" s="33"/>
      <c r="DM393" s="33"/>
      <c r="DN393" s="33"/>
      <c r="DO393" s="33"/>
      <c r="DP393" s="33"/>
      <c r="DQ393" s="33"/>
      <c r="DR393" s="33"/>
    </row>
    <row r="394" spans="1:122" s="34" customFormat="1" x14ac:dyDescent="0.2">
      <c r="A394" s="886"/>
      <c r="B394" s="32"/>
      <c r="P394" s="35"/>
      <c r="Q394" s="35"/>
      <c r="R394" s="55"/>
      <c r="V394" s="37"/>
      <c r="W394" s="37"/>
      <c r="X394" s="37"/>
      <c r="Y394" s="37"/>
      <c r="Z394" s="37"/>
      <c r="AA394" s="37"/>
      <c r="AB394" s="37"/>
      <c r="AC394" s="37"/>
      <c r="AD394" s="37"/>
      <c r="AE394" s="37"/>
      <c r="AF394" s="37"/>
      <c r="AG394" s="37"/>
      <c r="AH394" s="37"/>
      <c r="BA394" s="67"/>
      <c r="BB394" s="67"/>
      <c r="BC394" s="67"/>
      <c r="BD394" s="67"/>
      <c r="BE394" s="67"/>
      <c r="BF394" s="67"/>
      <c r="BG394" s="67"/>
      <c r="BH394" s="67"/>
      <c r="BI394" s="67"/>
      <c r="BJ394" s="67"/>
      <c r="BK394" s="67"/>
      <c r="BL394" s="67"/>
      <c r="BM394" s="67"/>
      <c r="BN394" s="67"/>
      <c r="BO394" s="35"/>
      <c r="BP394" s="67"/>
      <c r="BQ394" s="67"/>
      <c r="BR394" s="67"/>
      <c r="BS394" s="67"/>
      <c r="CW394" s="909"/>
      <c r="CX394" s="989"/>
      <c r="CY394" s="922"/>
      <c r="CZ394" s="905"/>
      <c r="DA394" s="1000"/>
      <c r="DB394" s="35"/>
      <c r="DC394" s="33"/>
      <c r="DD394" s="33"/>
      <c r="DE394" s="33"/>
      <c r="DF394" s="33"/>
      <c r="DG394" s="33"/>
      <c r="DH394" s="33"/>
      <c r="DI394" s="33"/>
      <c r="DJ394" s="33"/>
      <c r="DK394" s="33"/>
      <c r="DL394" s="33"/>
      <c r="DM394" s="33"/>
      <c r="DN394" s="33"/>
      <c r="DO394" s="33"/>
      <c r="DP394" s="33"/>
      <c r="DQ394" s="33"/>
      <c r="DR394" s="33"/>
    </row>
    <row r="395" spans="1:122" s="34" customFormat="1" x14ac:dyDescent="0.2">
      <c r="A395" s="886"/>
      <c r="B395" s="32"/>
      <c r="P395" s="35"/>
      <c r="Q395" s="35"/>
      <c r="R395" s="55"/>
      <c r="V395" s="37"/>
      <c r="W395" s="37"/>
      <c r="X395" s="37"/>
      <c r="Y395" s="37"/>
      <c r="Z395" s="37"/>
      <c r="AA395" s="37"/>
      <c r="AB395" s="37"/>
      <c r="AC395" s="37"/>
      <c r="AD395" s="37"/>
      <c r="AE395" s="37"/>
      <c r="AF395" s="37"/>
      <c r="AG395" s="37"/>
      <c r="AH395" s="37"/>
      <c r="BA395" s="67"/>
      <c r="BB395" s="67"/>
      <c r="BC395" s="67"/>
      <c r="BD395" s="67"/>
      <c r="BE395" s="67"/>
      <c r="BF395" s="67"/>
      <c r="BG395" s="67"/>
      <c r="BH395" s="67"/>
      <c r="BI395" s="67"/>
      <c r="BJ395" s="67"/>
      <c r="BK395" s="67"/>
      <c r="BL395" s="67"/>
      <c r="BM395" s="67"/>
      <c r="BN395" s="67"/>
      <c r="BO395" s="35"/>
      <c r="BP395" s="67"/>
      <c r="BQ395" s="67"/>
      <c r="BR395" s="67"/>
      <c r="BS395" s="67"/>
      <c r="CW395" s="909"/>
      <c r="CX395" s="989"/>
      <c r="CY395" s="922"/>
      <c r="CZ395" s="905"/>
      <c r="DA395" s="1000"/>
      <c r="DB395" s="35"/>
      <c r="DC395" s="33"/>
      <c r="DD395" s="33"/>
      <c r="DE395" s="33"/>
      <c r="DF395" s="33"/>
      <c r="DG395" s="33"/>
      <c r="DH395" s="33"/>
      <c r="DI395" s="33"/>
      <c r="DJ395" s="33"/>
      <c r="DK395" s="33"/>
      <c r="DL395" s="33"/>
      <c r="DM395" s="33"/>
      <c r="DN395" s="33"/>
      <c r="DO395" s="33"/>
      <c r="DP395" s="33"/>
      <c r="DQ395" s="33"/>
      <c r="DR395" s="33"/>
    </row>
    <row r="396" spans="1:122" s="34" customFormat="1" x14ac:dyDescent="0.2">
      <c r="A396" s="886"/>
      <c r="B396" s="32"/>
      <c r="P396" s="35"/>
      <c r="Q396" s="35"/>
      <c r="R396" s="55"/>
      <c r="V396" s="37"/>
      <c r="W396" s="37"/>
      <c r="X396" s="37"/>
      <c r="Y396" s="37"/>
      <c r="Z396" s="37"/>
      <c r="AA396" s="37"/>
      <c r="AB396" s="37"/>
      <c r="AC396" s="37"/>
      <c r="AD396" s="37"/>
      <c r="AE396" s="37"/>
      <c r="AF396" s="37"/>
      <c r="AG396" s="37"/>
      <c r="AH396" s="37"/>
      <c r="BA396" s="67"/>
      <c r="BB396" s="67"/>
      <c r="BC396" s="67"/>
      <c r="BD396" s="67"/>
      <c r="BE396" s="67"/>
      <c r="BF396" s="67"/>
      <c r="BG396" s="67"/>
      <c r="BH396" s="67"/>
      <c r="BI396" s="67"/>
      <c r="BJ396" s="67"/>
      <c r="BK396" s="67"/>
      <c r="BL396" s="67"/>
      <c r="BM396" s="67"/>
      <c r="BN396" s="67"/>
      <c r="BO396" s="35"/>
      <c r="BP396" s="67"/>
      <c r="BQ396" s="67"/>
      <c r="BR396" s="67"/>
      <c r="BS396" s="67"/>
      <c r="CW396" s="909"/>
      <c r="CX396" s="989"/>
      <c r="CY396" s="922"/>
      <c r="CZ396" s="905"/>
      <c r="DA396" s="1000"/>
      <c r="DB396" s="35"/>
      <c r="DC396" s="33"/>
      <c r="DD396" s="33"/>
      <c r="DE396" s="33"/>
      <c r="DF396" s="33"/>
      <c r="DG396" s="33"/>
      <c r="DH396" s="33"/>
      <c r="DI396" s="33"/>
      <c r="DJ396" s="33"/>
      <c r="DK396" s="33"/>
      <c r="DL396" s="33"/>
      <c r="DM396" s="33"/>
      <c r="DN396" s="33"/>
      <c r="DO396" s="33"/>
      <c r="DP396" s="33"/>
      <c r="DQ396" s="33"/>
      <c r="DR396" s="33"/>
    </row>
    <row r="397" spans="1:122" s="34" customFormat="1" x14ac:dyDescent="0.2">
      <c r="A397" s="886"/>
      <c r="B397" s="32"/>
      <c r="P397" s="35"/>
      <c r="Q397" s="35"/>
      <c r="R397" s="55"/>
      <c r="V397" s="37"/>
      <c r="W397" s="37"/>
      <c r="X397" s="37"/>
      <c r="Y397" s="37"/>
      <c r="Z397" s="37"/>
      <c r="AA397" s="37"/>
      <c r="AB397" s="37"/>
      <c r="AC397" s="37"/>
      <c r="AD397" s="37"/>
      <c r="AE397" s="37"/>
      <c r="AF397" s="37"/>
      <c r="AG397" s="37"/>
      <c r="AH397" s="37"/>
      <c r="BA397" s="67"/>
      <c r="BB397" s="67"/>
      <c r="BC397" s="67"/>
      <c r="BD397" s="67"/>
      <c r="BE397" s="67"/>
      <c r="BF397" s="67"/>
      <c r="BG397" s="67"/>
      <c r="BH397" s="67"/>
      <c r="BI397" s="67"/>
      <c r="BJ397" s="67"/>
      <c r="BK397" s="67"/>
      <c r="BL397" s="67"/>
      <c r="BM397" s="67"/>
      <c r="BN397" s="67"/>
      <c r="BO397" s="35"/>
      <c r="BP397" s="67"/>
      <c r="BQ397" s="67"/>
      <c r="BR397" s="67"/>
      <c r="BS397" s="67"/>
      <c r="CW397" s="909"/>
      <c r="CX397" s="989"/>
      <c r="CY397" s="922"/>
      <c r="CZ397" s="905"/>
      <c r="DA397" s="1000"/>
      <c r="DB397" s="35"/>
      <c r="DC397" s="33"/>
      <c r="DD397" s="33"/>
      <c r="DE397" s="33"/>
      <c r="DF397" s="33"/>
      <c r="DG397" s="33"/>
      <c r="DH397" s="33"/>
      <c r="DI397" s="33"/>
      <c r="DJ397" s="33"/>
      <c r="DK397" s="33"/>
      <c r="DL397" s="33"/>
      <c r="DM397" s="33"/>
      <c r="DN397" s="33"/>
      <c r="DO397" s="33"/>
      <c r="DP397" s="33"/>
      <c r="DQ397" s="33"/>
      <c r="DR397" s="33"/>
    </row>
    <row r="398" spans="1:122" s="34" customFormat="1" x14ac:dyDescent="0.2">
      <c r="A398" s="886"/>
      <c r="B398" s="32"/>
      <c r="P398" s="35"/>
      <c r="Q398" s="35"/>
      <c r="R398" s="55"/>
      <c r="V398" s="37"/>
      <c r="W398" s="37"/>
      <c r="X398" s="37"/>
      <c r="Y398" s="37"/>
      <c r="Z398" s="37"/>
      <c r="AA398" s="37"/>
      <c r="AB398" s="37"/>
      <c r="AC398" s="37"/>
      <c r="AD398" s="37"/>
      <c r="AE398" s="37"/>
      <c r="AF398" s="37"/>
      <c r="AG398" s="37"/>
      <c r="AH398" s="37"/>
      <c r="BA398" s="67"/>
      <c r="BB398" s="67"/>
      <c r="BC398" s="67"/>
      <c r="BD398" s="67"/>
      <c r="BE398" s="67"/>
      <c r="BF398" s="67"/>
      <c r="BG398" s="67"/>
      <c r="BH398" s="67"/>
      <c r="BI398" s="67"/>
      <c r="BJ398" s="67"/>
      <c r="BK398" s="67"/>
      <c r="BL398" s="67"/>
      <c r="BM398" s="67"/>
      <c r="BN398" s="67"/>
      <c r="BO398" s="35"/>
      <c r="BP398" s="67"/>
      <c r="BQ398" s="67"/>
      <c r="BR398" s="67"/>
      <c r="BS398" s="67"/>
      <c r="CW398" s="909"/>
      <c r="CX398" s="989"/>
      <c r="CY398" s="922"/>
      <c r="CZ398" s="905"/>
      <c r="DA398" s="1000"/>
      <c r="DB398" s="35"/>
      <c r="DC398" s="33"/>
      <c r="DD398" s="33"/>
      <c r="DE398" s="33"/>
      <c r="DF398" s="33"/>
      <c r="DG398" s="33"/>
      <c r="DH398" s="33"/>
      <c r="DI398" s="33"/>
      <c r="DJ398" s="33"/>
      <c r="DK398" s="33"/>
      <c r="DL398" s="33"/>
      <c r="DM398" s="33"/>
      <c r="DN398" s="33"/>
      <c r="DO398" s="33"/>
      <c r="DP398" s="33"/>
      <c r="DQ398" s="33"/>
      <c r="DR398" s="33"/>
    </row>
    <row r="399" spans="1:122" s="34" customFormat="1" x14ac:dyDescent="0.2">
      <c r="A399" s="886"/>
      <c r="B399" s="32"/>
      <c r="P399" s="35"/>
      <c r="Q399" s="35"/>
      <c r="R399" s="55"/>
      <c r="V399" s="37"/>
      <c r="W399" s="37"/>
      <c r="X399" s="37"/>
      <c r="Y399" s="37"/>
      <c r="Z399" s="37"/>
      <c r="AA399" s="37"/>
      <c r="AB399" s="37"/>
      <c r="AC399" s="37"/>
      <c r="AD399" s="37"/>
      <c r="AE399" s="37"/>
      <c r="AF399" s="37"/>
      <c r="AG399" s="37"/>
      <c r="AH399" s="37"/>
      <c r="BA399" s="67"/>
      <c r="BB399" s="67"/>
      <c r="BC399" s="67"/>
      <c r="BD399" s="67"/>
      <c r="BE399" s="67"/>
      <c r="BF399" s="67"/>
      <c r="BG399" s="67"/>
      <c r="BH399" s="67"/>
      <c r="BI399" s="67"/>
      <c r="BJ399" s="67"/>
      <c r="BK399" s="67"/>
      <c r="BL399" s="67"/>
      <c r="BM399" s="67"/>
      <c r="BN399" s="67"/>
      <c r="BO399" s="35"/>
      <c r="BP399" s="67"/>
      <c r="BQ399" s="67"/>
      <c r="BR399" s="67"/>
      <c r="BS399" s="67"/>
      <c r="CW399" s="909"/>
      <c r="CX399" s="989"/>
      <c r="CY399" s="922"/>
      <c r="CZ399" s="905"/>
      <c r="DA399" s="1000"/>
      <c r="DB399" s="35"/>
      <c r="DC399" s="33"/>
      <c r="DD399" s="33"/>
      <c r="DE399" s="33"/>
      <c r="DF399" s="33"/>
      <c r="DG399" s="33"/>
      <c r="DH399" s="33"/>
      <c r="DI399" s="33"/>
      <c r="DJ399" s="33"/>
      <c r="DK399" s="33"/>
      <c r="DL399" s="33"/>
      <c r="DM399" s="33"/>
      <c r="DN399" s="33"/>
      <c r="DO399" s="33"/>
      <c r="DP399" s="33"/>
      <c r="DQ399" s="33"/>
      <c r="DR399" s="33"/>
    </row>
    <row r="400" spans="1:122" s="34" customFormat="1" x14ac:dyDescent="0.2">
      <c r="A400" s="886"/>
      <c r="B400" s="32"/>
      <c r="P400" s="35"/>
      <c r="Q400" s="35"/>
      <c r="R400" s="55"/>
      <c r="V400" s="37"/>
      <c r="W400" s="37"/>
      <c r="X400" s="37"/>
      <c r="Y400" s="37"/>
      <c r="Z400" s="37"/>
      <c r="AA400" s="37"/>
      <c r="AB400" s="37"/>
      <c r="AC400" s="37"/>
      <c r="AD400" s="37"/>
      <c r="AE400" s="37"/>
      <c r="AF400" s="37"/>
      <c r="AG400" s="37"/>
      <c r="AH400" s="37"/>
      <c r="BA400" s="67"/>
      <c r="BB400" s="67"/>
      <c r="BC400" s="67"/>
      <c r="BD400" s="67"/>
      <c r="BE400" s="67"/>
      <c r="BF400" s="67"/>
      <c r="BG400" s="67"/>
      <c r="BH400" s="67"/>
      <c r="BI400" s="67"/>
      <c r="BJ400" s="67"/>
      <c r="BK400" s="67"/>
      <c r="BL400" s="67"/>
      <c r="BM400" s="67"/>
      <c r="BN400" s="67"/>
      <c r="BO400" s="35"/>
      <c r="BP400" s="67"/>
      <c r="BQ400" s="67"/>
      <c r="BR400" s="67"/>
      <c r="BS400" s="67"/>
      <c r="CW400" s="909"/>
      <c r="CX400" s="989"/>
      <c r="CY400" s="922"/>
      <c r="CZ400" s="905"/>
      <c r="DA400" s="1000"/>
      <c r="DB400" s="35"/>
      <c r="DC400" s="33"/>
      <c r="DD400" s="33"/>
      <c r="DE400" s="33"/>
      <c r="DF400" s="33"/>
      <c r="DG400" s="33"/>
      <c r="DH400" s="33"/>
      <c r="DI400" s="33"/>
      <c r="DJ400" s="33"/>
      <c r="DK400" s="33"/>
      <c r="DL400" s="33"/>
      <c r="DM400" s="33"/>
      <c r="DN400" s="33"/>
      <c r="DO400" s="33"/>
      <c r="DP400" s="33"/>
      <c r="DQ400" s="33"/>
      <c r="DR400" s="33"/>
    </row>
    <row r="401" spans="1:122" s="34" customFormat="1" x14ac:dyDescent="0.2">
      <c r="A401" s="886"/>
      <c r="B401" s="32"/>
      <c r="P401" s="35"/>
      <c r="Q401" s="35"/>
      <c r="R401" s="55"/>
      <c r="V401" s="37"/>
      <c r="W401" s="37"/>
      <c r="X401" s="37"/>
      <c r="Y401" s="37"/>
      <c r="Z401" s="37"/>
      <c r="AA401" s="37"/>
      <c r="AB401" s="37"/>
      <c r="AC401" s="37"/>
      <c r="AD401" s="37"/>
      <c r="AE401" s="37"/>
      <c r="AF401" s="37"/>
      <c r="AG401" s="37"/>
      <c r="AH401" s="37"/>
      <c r="BA401" s="67"/>
      <c r="BB401" s="67"/>
      <c r="BC401" s="67"/>
      <c r="BD401" s="67"/>
      <c r="BE401" s="67"/>
      <c r="BF401" s="67"/>
      <c r="BG401" s="67"/>
      <c r="BH401" s="67"/>
      <c r="BI401" s="67"/>
      <c r="BJ401" s="67"/>
      <c r="BK401" s="67"/>
      <c r="BL401" s="67"/>
      <c r="BM401" s="67"/>
      <c r="BN401" s="67"/>
      <c r="BO401" s="35"/>
      <c r="BP401" s="67"/>
      <c r="BQ401" s="67"/>
      <c r="BR401" s="67"/>
      <c r="BS401" s="67"/>
      <c r="CW401" s="909"/>
      <c r="CX401" s="989"/>
      <c r="CY401" s="922"/>
      <c r="CZ401" s="905"/>
      <c r="DA401" s="1000"/>
      <c r="DB401" s="35"/>
      <c r="DC401" s="33"/>
      <c r="DD401" s="33"/>
      <c r="DE401" s="33"/>
      <c r="DF401" s="33"/>
      <c r="DG401" s="33"/>
      <c r="DH401" s="33"/>
      <c r="DI401" s="33"/>
      <c r="DJ401" s="33"/>
      <c r="DK401" s="33"/>
      <c r="DL401" s="33"/>
      <c r="DM401" s="33"/>
      <c r="DN401" s="33"/>
      <c r="DO401" s="33"/>
      <c r="DP401" s="33"/>
      <c r="DQ401" s="33"/>
      <c r="DR401" s="33"/>
    </row>
    <row r="402" spans="1:122" s="34" customFormat="1" x14ac:dyDescent="0.2">
      <c r="A402" s="886"/>
      <c r="B402" s="32"/>
      <c r="P402" s="35"/>
      <c r="Q402" s="35"/>
      <c r="R402" s="55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BA402" s="67"/>
      <c r="BB402" s="67"/>
      <c r="BC402" s="67"/>
      <c r="BD402" s="67"/>
      <c r="BE402" s="67"/>
      <c r="BF402" s="67"/>
      <c r="BG402" s="67"/>
      <c r="BH402" s="67"/>
      <c r="BI402" s="67"/>
      <c r="BJ402" s="67"/>
      <c r="BK402" s="67"/>
      <c r="BL402" s="67"/>
      <c r="BM402" s="67"/>
      <c r="BN402" s="67"/>
      <c r="BO402" s="35"/>
      <c r="BP402" s="67"/>
      <c r="BQ402" s="67"/>
      <c r="BR402" s="67"/>
      <c r="BS402" s="67"/>
      <c r="CW402" s="909"/>
      <c r="CX402" s="989"/>
      <c r="CY402" s="922"/>
      <c r="CZ402" s="905"/>
      <c r="DA402" s="1000"/>
      <c r="DB402" s="35"/>
      <c r="DC402" s="33"/>
      <c r="DD402" s="33"/>
      <c r="DE402" s="33"/>
      <c r="DF402" s="33"/>
      <c r="DG402" s="33"/>
      <c r="DH402" s="33"/>
      <c r="DI402" s="33"/>
      <c r="DJ402" s="33"/>
      <c r="DK402" s="33"/>
      <c r="DL402" s="33"/>
      <c r="DM402" s="33"/>
      <c r="DN402" s="33"/>
      <c r="DO402" s="33"/>
      <c r="DP402" s="33"/>
      <c r="DQ402" s="33"/>
      <c r="DR402" s="33"/>
    </row>
    <row r="403" spans="1:122" s="34" customFormat="1" x14ac:dyDescent="0.2">
      <c r="A403" s="886"/>
      <c r="B403" s="32"/>
      <c r="P403" s="35"/>
      <c r="Q403" s="35"/>
      <c r="R403" s="55"/>
      <c r="V403" s="37"/>
      <c r="W403" s="37"/>
      <c r="X403" s="37"/>
      <c r="Y403" s="37"/>
      <c r="Z403" s="37"/>
      <c r="AA403" s="37"/>
      <c r="AB403" s="37"/>
      <c r="AC403" s="37"/>
      <c r="AD403" s="37"/>
      <c r="AE403" s="37"/>
      <c r="AF403" s="37"/>
      <c r="AG403" s="37"/>
      <c r="AH403" s="37"/>
      <c r="BA403" s="67"/>
      <c r="BB403" s="67"/>
      <c r="BC403" s="67"/>
      <c r="BD403" s="67"/>
      <c r="BE403" s="67"/>
      <c r="BF403" s="67"/>
      <c r="BG403" s="67"/>
      <c r="BH403" s="67"/>
      <c r="BI403" s="67"/>
      <c r="BJ403" s="67"/>
      <c r="BK403" s="67"/>
      <c r="BL403" s="67"/>
      <c r="BM403" s="67"/>
      <c r="BN403" s="67"/>
      <c r="BO403" s="35"/>
      <c r="BP403" s="67"/>
      <c r="BQ403" s="67"/>
      <c r="BR403" s="67"/>
      <c r="BS403" s="67"/>
      <c r="CW403" s="909"/>
      <c r="CX403" s="989"/>
      <c r="CY403" s="922"/>
      <c r="CZ403" s="905"/>
      <c r="DA403" s="1000"/>
      <c r="DB403" s="35"/>
      <c r="DC403" s="33"/>
      <c r="DD403" s="33"/>
      <c r="DE403" s="33"/>
      <c r="DF403" s="33"/>
      <c r="DG403" s="33"/>
      <c r="DH403" s="33"/>
      <c r="DI403" s="33"/>
      <c r="DJ403" s="33"/>
      <c r="DK403" s="33"/>
      <c r="DL403" s="33"/>
      <c r="DM403" s="33"/>
      <c r="DN403" s="33"/>
      <c r="DO403" s="33"/>
      <c r="DP403" s="33"/>
      <c r="DQ403" s="33"/>
      <c r="DR403" s="33"/>
    </row>
    <row r="404" spans="1:122" s="34" customFormat="1" x14ac:dyDescent="0.2">
      <c r="A404" s="886"/>
      <c r="B404" s="32"/>
      <c r="P404" s="35"/>
      <c r="Q404" s="35"/>
      <c r="R404" s="55"/>
      <c r="V404" s="37"/>
      <c r="W404" s="37"/>
      <c r="X404" s="37"/>
      <c r="Y404" s="37"/>
      <c r="Z404" s="37"/>
      <c r="AA404" s="37"/>
      <c r="AB404" s="37"/>
      <c r="AC404" s="37"/>
      <c r="AD404" s="37"/>
      <c r="AE404" s="37"/>
      <c r="AF404" s="37"/>
      <c r="AG404" s="37"/>
      <c r="AH404" s="37"/>
      <c r="BA404" s="67"/>
      <c r="BB404" s="67"/>
      <c r="BC404" s="67"/>
      <c r="BD404" s="67"/>
      <c r="BE404" s="67"/>
      <c r="BF404" s="67"/>
      <c r="BG404" s="67"/>
      <c r="BH404" s="67"/>
      <c r="BI404" s="67"/>
      <c r="BJ404" s="67"/>
      <c r="BK404" s="67"/>
      <c r="BL404" s="67"/>
      <c r="BM404" s="67"/>
      <c r="BN404" s="67"/>
      <c r="BO404" s="35"/>
      <c r="BP404" s="67"/>
      <c r="BQ404" s="67"/>
      <c r="BR404" s="67"/>
      <c r="BS404" s="67"/>
      <c r="CW404" s="909"/>
      <c r="CX404" s="989"/>
      <c r="CY404" s="922"/>
      <c r="CZ404" s="905"/>
      <c r="DA404" s="1000"/>
      <c r="DB404" s="35"/>
      <c r="DC404" s="33"/>
      <c r="DD404" s="33"/>
      <c r="DE404" s="33"/>
      <c r="DF404" s="33"/>
      <c r="DG404" s="33"/>
      <c r="DH404" s="33"/>
      <c r="DI404" s="33"/>
      <c r="DJ404" s="33"/>
      <c r="DK404" s="33"/>
      <c r="DL404" s="33"/>
      <c r="DM404" s="33"/>
      <c r="DN404" s="33"/>
      <c r="DO404" s="33"/>
      <c r="DP404" s="33"/>
      <c r="DQ404" s="33"/>
      <c r="DR404" s="33"/>
    </row>
    <row r="405" spans="1:122" s="34" customFormat="1" x14ac:dyDescent="0.2">
      <c r="A405" s="886"/>
      <c r="B405" s="32"/>
      <c r="P405" s="35"/>
      <c r="Q405" s="35"/>
      <c r="R405" s="55"/>
      <c r="V405" s="37"/>
      <c r="W405" s="37"/>
      <c r="X405" s="37"/>
      <c r="Y405" s="37"/>
      <c r="Z405" s="37"/>
      <c r="AA405" s="37"/>
      <c r="AB405" s="37"/>
      <c r="AC405" s="37"/>
      <c r="AD405" s="37"/>
      <c r="AE405" s="37"/>
      <c r="AF405" s="37"/>
      <c r="AG405" s="37"/>
      <c r="AH405" s="37"/>
      <c r="BA405" s="67"/>
      <c r="BB405" s="67"/>
      <c r="BC405" s="67"/>
      <c r="BD405" s="67"/>
      <c r="BE405" s="67"/>
      <c r="BF405" s="67"/>
      <c r="BG405" s="67"/>
      <c r="BH405" s="67"/>
      <c r="BI405" s="67"/>
      <c r="BJ405" s="67"/>
      <c r="BK405" s="67"/>
      <c r="BL405" s="67"/>
      <c r="BM405" s="67"/>
      <c r="BN405" s="67"/>
      <c r="BO405" s="35"/>
      <c r="BP405" s="67"/>
      <c r="BQ405" s="67"/>
      <c r="BR405" s="67"/>
      <c r="BS405" s="67"/>
      <c r="CW405" s="909"/>
      <c r="CX405" s="989"/>
      <c r="CY405" s="922"/>
      <c r="CZ405" s="905"/>
      <c r="DA405" s="1000"/>
      <c r="DB405" s="35"/>
      <c r="DC405" s="33"/>
      <c r="DD405" s="33"/>
      <c r="DE405" s="33"/>
      <c r="DF405" s="33"/>
      <c r="DG405" s="33"/>
      <c r="DH405" s="33"/>
      <c r="DI405" s="33"/>
      <c r="DJ405" s="33"/>
      <c r="DK405" s="33"/>
      <c r="DL405" s="33"/>
      <c r="DM405" s="33"/>
      <c r="DN405" s="33"/>
      <c r="DO405" s="33"/>
      <c r="DP405" s="33"/>
      <c r="DQ405" s="33"/>
      <c r="DR405" s="33"/>
    </row>
    <row r="406" spans="1:122" s="34" customFormat="1" x14ac:dyDescent="0.2">
      <c r="A406" s="886"/>
      <c r="B406" s="32"/>
      <c r="P406" s="35"/>
      <c r="Q406" s="35"/>
      <c r="R406" s="55"/>
      <c r="V406" s="37"/>
      <c r="W406" s="37"/>
      <c r="X406" s="37"/>
      <c r="Y406" s="37"/>
      <c r="Z406" s="37"/>
      <c r="AA406" s="37"/>
      <c r="AB406" s="37"/>
      <c r="AC406" s="37"/>
      <c r="AD406" s="37"/>
      <c r="AE406" s="37"/>
      <c r="AF406" s="37"/>
      <c r="AG406" s="37"/>
      <c r="AH406" s="37"/>
      <c r="BA406" s="67"/>
      <c r="BB406" s="67"/>
      <c r="BC406" s="67"/>
      <c r="BD406" s="67"/>
      <c r="BE406" s="67"/>
      <c r="BF406" s="67"/>
      <c r="BG406" s="67"/>
      <c r="BH406" s="67"/>
      <c r="BI406" s="67"/>
      <c r="BJ406" s="67"/>
      <c r="BK406" s="67"/>
      <c r="BL406" s="67"/>
      <c r="BM406" s="67"/>
      <c r="BN406" s="67"/>
      <c r="BO406" s="35"/>
      <c r="BP406" s="67"/>
      <c r="BQ406" s="67"/>
      <c r="BR406" s="67"/>
      <c r="BS406" s="67"/>
      <c r="CW406" s="909"/>
      <c r="CX406" s="989"/>
      <c r="CY406" s="922"/>
      <c r="CZ406" s="905"/>
      <c r="DA406" s="1000"/>
      <c r="DB406" s="35"/>
      <c r="DC406" s="33"/>
      <c r="DD406" s="33"/>
      <c r="DE406" s="33"/>
      <c r="DF406" s="33"/>
      <c r="DG406" s="33"/>
      <c r="DH406" s="33"/>
      <c r="DI406" s="33"/>
      <c r="DJ406" s="33"/>
      <c r="DK406" s="33"/>
      <c r="DL406" s="33"/>
      <c r="DM406" s="33"/>
      <c r="DN406" s="33"/>
      <c r="DO406" s="33"/>
      <c r="DP406" s="33"/>
      <c r="DQ406" s="33"/>
      <c r="DR406" s="33"/>
    </row>
    <row r="407" spans="1:122" s="34" customFormat="1" x14ac:dyDescent="0.2">
      <c r="A407" s="886"/>
      <c r="B407" s="32"/>
      <c r="P407" s="35"/>
      <c r="Q407" s="35"/>
      <c r="R407" s="55"/>
      <c r="V407" s="37"/>
      <c r="W407" s="37"/>
      <c r="X407" s="37"/>
      <c r="Y407" s="37"/>
      <c r="Z407" s="37"/>
      <c r="AA407" s="37"/>
      <c r="AB407" s="37"/>
      <c r="AC407" s="37"/>
      <c r="AD407" s="37"/>
      <c r="AE407" s="37"/>
      <c r="AF407" s="37"/>
      <c r="AG407" s="37"/>
      <c r="AH407" s="37"/>
      <c r="BA407" s="67"/>
      <c r="BB407" s="67"/>
      <c r="BC407" s="67"/>
      <c r="BD407" s="67"/>
      <c r="BE407" s="67"/>
      <c r="BF407" s="67"/>
      <c r="BG407" s="67"/>
      <c r="BH407" s="67"/>
      <c r="BI407" s="67"/>
      <c r="BJ407" s="67"/>
      <c r="BK407" s="67"/>
      <c r="BL407" s="67"/>
      <c r="BM407" s="67"/>
      <c r="BN407" s="67"/>
      <c r="BO407" s="35"/>
      <c r="BP407" s="67"/>
      <c r="BQ407" s="67"/>
      <c r="BR407" s="67"/>
      <c r="BS407" s="67"/>
      <c r="CW407" s="909"/>
      <c r="CX407" s="989"/>
      <c r="CY407" s="922"/>
      <c r="CZ407" s="905"/>
      <c r="DA407" s="1000"/>
      <c r="DB407" s="35"/>
      <c r="DC407" s="33"/>
      <c r="DD407" s="33"/>
      <c r="DE407" s="33"/>
      <c r="DF407" s="33"/>
      <c r="DG407" s="33"/>
      <c r="DH407" s="33"/>
      <c r="DI407" s="33"/>
      <c r="DJ407" s="33"/>
      <c r="DK407" s="33"/>
      <c r="DL407" s="33"/>
      <c r="DM407" s="33"/>
      <c r="DN407" s="33"/>
      <c r="DO407" s="33"/>
      <c r="DP407" s="33"/>
      <c r="DQ407" s="33"/>
      <c r="DR407" s="33"/>
    </row>
    <row r="408" spans="1:122" s="34" customFormat="1" x14ac:dyDescent="0.2">
      <c r="A408" s="886"/>
      <c r="B408" s="32"/>
      <c r="P408" s="35"/>
      <c r="Q408" s="35"/>
      <c r="R408" s="55"/>
      <c r="V408" s="37"/>
      <c r="W408" s="37"/>
      <c r="X408" s="37"/>
      <c r="Y408" s="37"/>
      <c r="Z408" s="37"/>
      <c r="AA408" s="37"/>
      <c r="AB408" s="37"/>
      <c r="AC408" s="37"/>
      <c r="AD408" s="37"/>
      <c r="AE408" s="37"/>
      <c r="AF408" s="37"/>
      <c r="AG408" s="37"/>
      <c r="AH408" s="37"/>
      <c r="BA408" s="67"/>
      <c r="BB408" s="67"/>
      <c r="BC408" s="67"/>
      <c r="BD408" s="67"/>
      <c r="BE408" s="67"/>
      <c r="BF408" s="67"/>
      <c r="BG408" s="67"/>
      <c r="BH408" s="67"/>
      <c r="BI408" s="67"/>
      <c r="BJ408" s="67"/>
      <c r="BK408" s="67"/>
      <c r="BL408" s="67"/>
      <c r="BM408" s="67"/>
      <c r="BN408" s="67"/>
      <c r="BO408" s="35"/>
      <c r="BP408" s="67"/>
      <c r="BQ408" s="67"/>
      <c r="BR408" s="67"/>
      <c r="BS408" s="67"/>
      <c r="CW408" s="909"/>
      <c r="CX408" s="989"/>
      <c r="CY408" s="922"/>
      <c r="CZ408" s="905"/>
      <c r="DA408" s="1000"/>
      <c r="DB408" s="35"/>
      <c r="DC408" s="33"/>
      <c r="DD408" s="33"/>
      <c r="DE408" s="33"/>
      <c r="DF408" s="33"/>
      <c r="DG408" s="33"/>
      <c r="DH408" s="33"/>
      <c r="DI408" s="33"/>
      <c r="DJ408" s="33"/>
      <c r="DK408" s="33"/>
      <c r="DL408" s="33"/>
      <c r="DM408" s="33"/>
      <c r="DN408" s="33"/>
      <c r="DO408" s="33"/>
      <c r="DP408" s="33"/>
      <c r="DQ408" s="33"/>
      <c r="DR408" s="33"/>
    </row>
    <row r="409" spans="1:122" s="34" customFormat="1" x14ac:dyDescent="0.2">
      <c r="A409" s="886"/>
      <c r="B409" s="32"/>
      <c r="P409" s="35"/>
      <c r="Q409" s="35"/>
      <c r="R409" s="55"/>
      <c r="V409" s="37"/>
      <c r="W409" s="37"/>
      <c r="X409" s="37"/>
      <c r="Y409" s="37"/>
      <c r="Z409" s="37"/>
      <c r="AA409" s="37"/>
      <c r="AB409" s="37"/>
      <c r="AC409" s="37"/>
      <c r="AD409" s="37"/>
      <c r="AE409" s="37"/>
      <c r="AF409" s="37"/>
      <c r="AG409" s="37"/>
      <c r="AH409" s="37"/>
      <c r="BA409" s="67"/>
      <c r="BB409" s="67"/>
      <c r="BC409" s="67"/>
      <c r="BD409" s="67"/>
      <c r="BE409" s="67"/>
      <c r="BF409" s="67"/>
      <c r="BG409" s="67"/>
      <c r="BH409" s="67"/>
      <c r="BI409" s="67"/>
      <c r="BJ409" s="67"/>
      <c r="BK409" s="67"/>
      <c r="BL409" s="67"/>
      <c r="BM409" s="67"/>
      <c r="BN409" s="67"/>
      <c r="BO409" s="35"/>
      <c r="BP409" s="67"/>
      <c r="BQ409" s="67"/>
      <c r="BR409" s="67"/>
      <c r="BS409" s="67"/>
      <c r="CW409" s="909"/>
      <c r="CX409" s="989"/>
      <c r="CY409" s="922"/>
      <c r="CZ409" s="905"/>
      <c r="DA409" s="1000"/>
      <c r="DB409" s="35"/>
      <c r="DC409" s="33"/>
      <c r="DD409" s="33"/>
      <c r="DE409" s="33"/>
      <c r="DF409" s="33"/>
      <c r="DG409" s="33"/>
      <c r="DH409" s="33"/>
      <c r="DI409" s="33"/>
      <c r="DJ409" s="33"/>
      <c r="DK409" s="33"/>
      <c r="DL409" s="33"/>
      <c r="DM409" s="33"/>
      <c r="DN409" s="33"/>
      <c r="DO409" s="33"/>
      <c r="DP409" s="33"/>
      <c r="DQ409" s="33"/>
      <c r="DR409" s="33"/>
    </row>
    <row r="410" spans="1:122" s="34" customFormat="1" x14ac:dyDescent="0.2">
      <c r="A410" s="886"/>
      <c r="B410" s="32"/>
      <c r="P410" s="35"/>
      <c r="Q410" s="35"/>
      <c r="R410" s="55"/>
      <c r="V410" s="37"/>
      <c r="W410" s="37"/>
      <c r="X410" s="37"/>
      <c r="Y410" s="37"/>
      <c r="Z410" s="37"/>
      <c r="AA410" s="37"/>
      <c r="AB410" s="37"/>
      <c r="AC410" s="37"/>
      <c r="AD410" s="37"/>
      <c r="AE410" s="37"/>
      <c r="AF410" s="37"/>
      <c r="AG410" s="37"/>
      <c r="AH410" s="37"/>
      <c r="BA410" s="67"/>
      <c r="BB410" s="67"/>
      <c r="BC410" s="67"/>
      <c r="BD410" s="67"/>
      <c r="BE410" s="67"/>
      <c r="BF410" s="67"/>
      <c r="BG410" s="67"/>
      <c r="BH410" s="67"/>
      <c r="BI410" s="67"/>
      <c r="BJ410" s="67"/>
      <c r="BK410" s="67"/>
      <c r="BL410" s="67"/>
      <c r="BM410" s="67"/>
      <c r="BN410" s="67"/>
      <c r="BO410" s="35"/>
      <c r="BP410" s="67"/>
      <c r="BQ410" s="67"/>
      <c r="BR410" s="67"/>
      <c r="BS410" s="67"/>
      <c r="CW410" s="909"/>
      <c r="CX410" s="989"/>
      <c r="CY410" s="922"/>
      <c r="CZ410" s="905"/>
      <c r="DA410" s="1000"/>
      <c r="DB410" s="35"/>
      <c r="DC410" s="33"/>
      <c r="DD410" s="33"/>
      <c r="DE410" s="33"/>
      <c r="DF410" s="33"/>
      <c r="DG410" s="33"/>
      <c r="DH410" s="33"/>
      <c r="DI410" s="33"/>
      <c r="DJ410" s="33"/>
      <c r="DK410" s="33"/>
      <c r="DL410" s="33"/>
      <c r="DM410" s="33"/>
      <c r="DN410" s="33"/>
      <c r="DO410" s="33"/>
      <c r="DP410" s="33"/>
      <c r="DQ410" s="33"/>
      <c r="DR410" s="33"/>
    </row>
    <row r="411" spans="1:122" s="34" customFormat="1" x14ac:dyDescent="0.2">
      <c r="A411" s="886"/>
      <c r="B411" s="32"/>
      <c r="P411" s="35"/>
      <c r="Q411" s="35"/>
      <c r="R411" s="55"/>
      <c r="V411" s="37"/>
      <c r="W411" s="37"/>
      <c r="X411" s="37"/>
      <c r="Y411" s="37"/>
      <c r="Z411" s="37"/>
      <c r="AA411" s="37"/>
      <c r="AB411" s="37"/>
      <c r="AC411" s="37"/>
      <c r="AD411" s="37"/>
      <c r="AE411" s="37"/>
      <c r="AF411" s="37"/>
      <c r="AG411" s="37"/>
      <c r="AH411" s="37"/>
      <c r="BA411" s="67"/>
      <c r="BB411" s="67"/>
      <c r="BC411" s="67"/>
      <c r="BD411" s="67"/>
      <c r="BE411" s="67"/>
      <c r="BF411" s="67"/>
      <c r="BG411" s="67"/>
      <c r="BH411" s="67"/>
      <c r="BI411" s="67"/>
      <c r="BJ411" s="67"/>
      <c r="BK411" s="67"/>
      <c r="BL411" s="67"/>
      <c r="BM411" s="67"/>
      <c r="BN411" s="67"/>
      <c r="BO411" s="35"/>
      <c r="BP411" s="67"/>
      <c r="BQ411" s="67"/>
      <c r="BR411" s="67"/>
      <c r="BS411" s="67"/>
      <c r="CW411" s="909"/>
      <c r="CX411" s="989"/>
      <c r="CY411" s="922"/>
      <c r="CZ411" s="905"/>
      <c r="DA411" s="1000"/>
      <c r="DB411" s="35"/>
      <c r="DC411" s="33"/>
      <c r="DD411" s="33"/>
      <c r="DE411" s="33"/>
      <c r="DF411" s="33"/>
      <c r="DG411" s="33"/>
      <c r="DH411" s="33"/>
      <c r="DI411" s="33"/>
      <c r="DJ411" s="33"/>
      <c r="DK411" s="33"/>
      <c r="DL411" s="33"/>
      <c r="DM411" s="33"/>
      <c r="DN411" s="33"/>
      <c r="DO411" s="33"/>
      <c r="DP411" s="33"/>
      <c r="DQ411" s="33"/>
      <c r="DR411" s="33"/>
    </row>
    <row r="412" spans="1:122" s="34" customFormat="1" x14ac:dyDescent="0.2">
      <c r="A412" s="886"/>
      <c r="B412" s="32"/>
      <c r="P412" s="35"/>
      <c r="Q412" s="35"/>
      <c r="R412" s="55"/>
      <c r="V412" s="37"/>
      <c r="W412" s="37"/>
      <c r="X412" s="37"/>
      <c r="Y412" s="37"/>
      <c r="Z412" s="37"/>
      <c r="AA412" s="37"/>
      <c r="AB412" s="37"/>
      <c r="AC412" s="37"/>
      <c r="AD412" s="37"/>
      <c r="AE412" s="37"/>
      <c r="AF412" s="37"/>
      <c r="AG412" s="37"/>
      <c r="AH412" s="37"/>
      <c r="BA412" s="67"/>
      <c r="BB412" s="67"/>
      <c r="BC412" s="67"/>
      <c r="BD412" s="67"/>
      <c r="BE412" s="67"/>
      <c r="BF412" s="67"/>
      <c r="BG412" s="67"/>
      <c r="BH412" s="67"/>
      <c r="BI412" s="67"/>
      <c r="BJ412" s="67"/>
      <c r="BK412" s="67"/>
      <c r="BL412" s="67"/>
      <c r="BM412" s="67"/>
      <c r="BN412" s="67"/>
      <c r="BO412" s="35"/>
      <c r="BP412" s="67"/>
      <c r="BQ412" s="67"/>
      <c r="BR412" s="67"/>
      <c r="BS412" s="67"/>
      <c r="CW412" s="909"/>
      <c r="CX412" s="989"/>
      <c r="CY412" s="922"/>
      <c r="CZ412" s="905"/>
      <c r="DA412" s="1000"/>
      <c r="DB412" s="35"/>
      <c r="DC412" s="33"/>
      <c r="DD412" s="33"/>
      <c r="DE412" s="33"/>
      <c r="DF412" s="33"/>
      <c r="DG412" s="33"/>
      <c r="DH412" s="33"/>
      <c r="DI412" s="33"/>
      <c r="DJ412" s="33"/>
      <c r="DK412" s="33"/>
      <c r="DL412" s="33"/>
      <c r="DM412" s="33"/>
      <c r="DN412" s="33"/>
      <c r="DO412" s="33"/>
      <c r="DP412" s="33"/>
      <c r="DQ412" s="33"/>
      <c r="DR412" s="33"/>
    </row>
    <row r="413" spans="1:122" s="34" customFormat="1" x14ac:dyDescent="0.2">
      <c r="A413" s="886"/>
      <c r="B413" s="32"/>
      <c r="P413" s="35"/>
      <c r="Q413" s="35"/>
      <c r="R413" s="55"/>
      <c r="V413" s="37"/>
      <c r="W413" s="37"/>
      <c r="X413" s="37"/>
      <c r="Y413" s="37"/>
      <c r="Z413" s="37"/>
      <c r="AA413" s="37"/>
      <c r="AB413" s="37"/>
      <c r="AC413" s="37"/>
      <c r="AD413" s="37"/>
      <c r="AE413" s="37"/>
      <c r="AF413" s="37"/>
      <c r="AG413" s="37"/>
      <c r="AH413" s="37"/>
      <c r="BA413" s="67"/>
      <c r="BB413" s="67"/>
      <c r="BC413" s="67"/>
      <c r="BD413" s="67"/>
      <c r="BE413" s="67"/>
      <c r="BF413" s="67"/>
      <c r="BG413" s="67"/>
      <c r="BH413" s="67"/>
      <c r="BI413" s="67"/>
      <c r="BJ413" s="67"/>
      <c r="BK413" s="67"/>
      <c r="BL413" s="67"/>
      <c r="BM413" s="67"/>
      <c r="BN413" s="67"/>
      <c r="BO413" s="35"/>
      <c r="BP413" s="67"/>
      <c r="BQ413" s="67"/>
      <c r="BR413" s="67"/>
      <c r="BS413" s="67"/>
      <c r="CW413" s="909"/>
      <c r="CX413" s="989"/>
      <c r="CY413" s="922"/>
      <c r="CZ413" s="905"/>
      <c r="DA413" s="1000"/>
      <c r="DB413" s="35"/>
      <c r="DC413" s="33"/>
      <c r="DD413" s="33"/>
      <c r="DE413" s="33"/>
      <c r="DF413" s="33"/>
      <c r="DG413" s="33"/>
      <c r="DH413" s="33"/>
      <c r="DI413" s="33"/>
      <c r="DJ413" s="33"/>
      <c r="DK413" s="33"/>
      <c r="DL413" s="33"/>
      <c r="DM413" s="33"/>
      <c r="DN413" s="33"/>
      <c r="DO413" s="33"/>
      <c r="DP413" s="33"/>
      <c r="DQ413" s="33"/>
      <c r="DR413" s="33"/>
    </row>
    <row r="414" spans="1:122" s="34" customFormat="1" x14ac:dyDescent="0.2">
      <c r="A414" s="886"/>
      <c r="B414" s="32"/>
      <c r="P414" s="35"/>
      <c r="Q414" s="35"/>
      <c r="R414" s="55"/>
      <c r="V414" s="37"/>
      <c r="W414" s="37"/>
      <c r="X414" s="37"/>
      <c r="Y414" s="37"/>
      <c r="Z414" s="37"/>
      <c r="AA414" s="37"/>
      <c r="AB414" s="37"/>
      <c r="AC414" s="37"/>
      <c r="AD414" s="37"/>
      <c r="AE414" s="37"/>
      <c r="AF414" s="37"/>
      <c r="AG414" s="37"/>
      <c r="AH414" s="37"/>
      <c r="BA414" s="67"/>
      <c r="BB414" s="67"/>
      <c r="BC414" s="67"/>
      <c r="BD414" s="67"/>
      <c r="BE414" s="67"/>
      <c r="BF414" s="67"/>
      <c r="BG414" s="67"/>
      <c r="BH414" s="67"/>
      <c r="BI414" s="67"/>
      <c r="BJ414" s="67"/>
      <c r="BK414" s="67"/>
      <c r="BL414" s="67"/>
      <c r="BM414" s="67"/>
      <c r="BN414" s="67"/>
      <c r="BO414" s="35"/>
      <c r="BP414" s="67"/>
      <c r="BQ414" s="67"/>
      <c r="BR414" s="67"/>
      <c r="BS414" s="67"/>
      <c r="CW414" s="909"/>
      <c r="CX414" s="989"/>
      <c r="CY414" s="922"/>
      <c r="CZ414" s="905"/>
      <c r="DA414" s="1000"/>
      <c r="DB414" s="35"/>
      <c r="DC414" s="33"/>
      <c r="DD414" s="33"/>
      <c r="DE414" s="33"/>
      <c r="DF414" s="33"/>
      <c r="DG414" s="33"/>
      <c r="DH414" s="33"/>
      <c r="DI414" s="33"/>
      <c r="DJ414" s="33"/>
      <c r="DK414" s="33"/>
      <c r="DL414" s="33"/>
      <c r="DM414" s="33"/>
      <c r="DN414" s="33"/>
      <c r="DO414" s="33"/>
      <c r="DP414" s="33"/>
      <c r="DQ414" s="33"/>
      <c r="DR414" s="33"/>
    </row>
    <row r="415" spans="1:122" s="34" customFormat="1" x14ac:dyDescent="0.2">
      <c r="A415" s="886"/>
      <c r="B415" s="32"/>
      <c r="P415" s="35"/>
      <c r="Q415" s="35"/>
      <c r="R415" s="55"/>
      <c r="V415" s="37"/>
      <c r="W415" s="37"/>
      <c r="X415" s="37"/>
      <c r="Y415" s="37"/>
      <c r="Z415" s="37"/>
      <c r="AA415" s="37"/>
      <c r="AB415" s="37"/>
      <c r="AC415" s="37"/>
      <c r="AD415" s="37"/>
      <c r="AE415" s="37"/>
      <c r="AF415" s="37"/>
      <c r="AG415" s="37"/>
      <c r="AH415" s="37"/>
      <c r="BA415" s="67"/>
      <c r="BB415" s="67"/>
      <c r="BC415" s="67"/>
      <c r="BD415" s="67"/>
      <c r="BE415" s="67"/>
      <c r="BF415" s="67"/>
      <c r="BG415" s="67"/>
      <c r="BH415" s="67"/>
      <c r="BI415" s="67"/>
      <c r="BJ415" s="67"/>
      <c r="BK415" s="67"/>
      <c r="BL415" s="67"/>
      <c r="BM415" s="67"/>
      <c r="BN415" s="67"/>
      <c r="BO415" s="35"/>
      <c r="BP415" s="67"/>
      <c r="BQ415" s="67"/>
      <c r="BR415" s="67"/>
      <c r="BS415" s="67"/>
      <c r="CW415" s="909"/>
      <c r="CX415" s="989"/>
      <c r="CY415" s="922"/>
      <c r="CZ415" s="885"/>
      <c r="DA415" s="1000"/>
      <c r="DB415" s="35"/>
      <c r="DC415" s="33"/>
      <c r="DD415" s="33"/>
      <c r="DE415" s="33"/>
      <c r="DF415" s="33"/>
      <c r="DG415" s="33"/>
      <c r="DH415" s="33"/>
      <c r="DI415" s="33"/>
      <c r="DJ415" s="33"/>
      <c r="DK415" s="33"/>
      <c r="DL415" s="33"/>
      <c r="DM415" s="33"/>
      <c r="DN415" s="33"/>
      <c r="DO415" s="33"/>
      <c r="DP415" s="33"/>
      <c r="DQ415" s="33"/>
      <c r="DR415" s="33"/>
    </row>
    <row r="416" spans="1:122" s="34" customFormat="1" x14ac:dyDescent="0.2">
      <c r="A416" s="886"/>
      <c r="B416" s="32"/>
      <c r="P416" s="35"/>
      <c r="Q416" s="35"/>
      <c r="R416" s="55"/>
      <c r="V416" s="37"/>
      <c r="W416" s="37"/>
      <c r="X416" s="37"/>
      <c r="Y416" s="37"/>
      <c r="Z416" s="37"/>
      <c r="AA416" s="37"/>
      <c r="AB416" s="37"/>
      <c r="AC416" s="37"/>
      <c r="AD416" s="37"/>
      <c r="AE416" s="37"/>
      <c r="AF416" s="37"/>
      <c r="AG416" s="37"/>
      <c r="AH416" s="37"/>
      <c r="BA416" s="67"/>
      <c r="BB416" s="67"/>
      <c r="BC416" s="67"/>
      <c r="BD416" s="67"/>
      <c r="BE416" s="67"/>
      <c r="BF416" s="67"/>
      <c r="BG416" s="67"/>
      <c r="BH416" s="67"/>
      <c r="BI416" s="67"/>
      <c r="BJ416" s="67"/>
      <c r="BK416" s="67"/>
      <c r="BL416" s="67"/>
      <c r="BM416" s="67"/>
      <c r="BN416" s="67"/>
      <c r="BO416" s="35"/>
      <c r="BP416" s="67"/>
      <c r="BQ416" s="67"/>
      <c r="BR416" s="67"/>
      <c r="BS416" s="67"/>
      <c r="CW416" s="909"/>
      <c r="CX416" s="989"/>
      <c r="CY416" s="922"/>
      <c r="CZ416" s="885"/>
      <c r="DA416" s="1000"/>
      <c r="DB416" s="35"/>
      <c r="DC416" s="33"/>
      <c r="DD416" s="33"/>
      <c r="DE416" s="33"/>
      <c r="DF416" s="33"/>
      <c r="DG416" s="33"/>
      <c r="DH416" s="33"/>
      <c r="DI416" s="33"/>
      <c r="DJ416" s="33"/>
      <c r="DK416" s="33"/>
      <c r="DL416" s="33"/>
      <c r="DM416" s="33"/>
      <c r="DN416" s="33"/>
      <c r="DO416" s="33"/>
      <c r="DP416" s="33"/>
      <c r="DQ416" s="33"/>
      <c r="DR416" s="33"/>
    </row>
    <row r="417" spans="1:122" s="34" customFormat="1" x14ac:dyDescent="0.2">
      <c r="A417" s="886"/>
      <c r="B417" s="32"/>
      <c r="P417" s="35"/>
      <c r="Q417" s="35"/>
      <c r="R417" s="55"/>
      <c r="V417" s="37"/>
      <c r="W417" s="37"/>
      <c r="X417" s="37"/>
      <c r="Y417" s="37"/>
      <c r="Z417" s="37"/>
      <c r="AA417" s="37"/>
      <c r="AB417" s="37"/>
      <c r="AC417" s="37"/>
      <c r="AD417" s="37"/>
      <c r="AE417" s="37"/>
      <c r="AF417" s="37"/>
      <c r="AG417" s="37"/>
      <c r="AH417" s="37"/>
      <c r="BA417" s="67"/>
      <c r="BB417" s="67"/>
      <c r="BC417" s="67"/>
      <c r="BD417" s="67"/>
      <c r="BE417" s="67"/>
      <c r="BF417" s="67"/>
      <c r="BG417" s="67"/>
      <c r="BH417" s="67"/>
      <c r="BI417" s="67"/>
      <c r="BJ417" s="67"/>
      <c r="BK417" s="67"/>
      <c r="BL417" s="67"/>
      <c r="BM417" s="67"/>
      <c r="BN417" s="67"/>
      <c r="BO417" s="35"/>
      <c r="BP417" s="67"/>
      <c r="BQ417" s="67"/>
      <c r="BR417" s="67"/>
      <c r="BS417" s="67"/>
      <c r="CW417" s="909"/>
      <c r="CX417" s="989"/>
      <c r="CY417" s="922"/>
      <c r="CZ417" s="885"/>
      <c r="DA417" s="1000"/>
      <c r="DB417" s="35"/>
      <c r="DC417" s="33"/>
      <c r="DD417" s="33"/>
      <c r="DE417" s="33"/>
      <c r="DF417" s="33"/>
      <c r="DG417" s="33"/>
      <c r="DH417" s="33"/>
      <c r="DI417" s="33"/>
      <c r="DJ417" s="33"/>
      <c r="DK417" s="33"/>
      <c r="DL417" s="33"/>
      <c r="DM417" s="33"/>
      <c r="DN417" s="33"/>
      <c r="DO417" s="33"/>
      <c r="DP417" s="33"/>
      <c r="DQ417" s="33"/>
      <c r="DR417" s="33"/>
    </row>
    <row r="418" spans="1:122" s="34" customFormat="1" x14ac:dyDescent="0.2">
      <c r="A418" s="886"/>
      <c r="B418" s="32"/>
      <c r="P418" s="35"/>
      <c r="Q418" s="35"/>
      <c r="R418" s="55"/>
      <c r="V418" s="37"/>
      <c r="W418" s="37"/>
      <c r="X418" s="37"/>
      <c r="Y418" s="37"/>
      <c r="Z418" s="37"/>
      <c r="AA418" s="37"/>
      <c r="AB418" s="37"/>
      <c r="AC418" s="37"/>
      <c r="AD418" s="37"/>
      <c r="AE418" s="37"/>
      <c r="AF418" s="37"/>
      <c r="AG418" s="37"/>
      <c r="AH418" s="37"/>
      <c r="BA418" s="67"/>
      <c r="BB418" s="67"/>
      <c r="BC418" s="67"/>
      <c r="BD418" s="67"/>
      <c r="BE418" s="67"/>
      <c r="BF418" s="67"/>
      <c r="BG418" s="67"/>
      <c r="BH418" s="67"/>
      <c r="BI418" s="67"/>
      <c r="BJ418" s="67"/>
      <c r="BK418" s="67"/>
      <c r="BL418" s="67"/>
      <c r="BM418" s="67"/>
      <c r="BN418" s="67"/>
      <c r="BO418" s="35"/>
      <c r="BP418" s="67"/>
      <c r="BQ418" s="67"/>
      <c r="BR418" s="67"/>
      <c r="BS418" s="67"/>
      <c r="CW418" s="909"/>
      <c r="CX418" s="989"/>
      <c r="CY418" s="922"/>
      <c r="CZ418" s="885"/>
      <c r="DA418" s="1000"/>
      <c r="DB418" s="35"/>
      <c r="DC418" s="33"/>
      <c r="DD418" s="33"/>
      <c r="DE418" s="33"/>
      <c r="DF418" s="33"/>
      <c r="DG418" s="33"/>
      <c r="DH418" s="33"/>
      <c r="DI418" s="33"/>
      <c r="DJ418" s="33"/>
      <c r="DK418" s="33"/>
      <c r="DL418" s="33"/>
      <c r="DM418" s="33"/>
      <c r="DN418" s="33"/>
      <c r="DO418" s="33"/>
      <c r="DP418" s="33"/>
      <c r="DQ418" s="33"/>
      <c r="DR418" s="33"/>
    </row>
    <row r="419" spans="1:122" s="34" customFormat="1" x14ac:dyDescent="0.2">
      <c r="A419" s="886"/>
      <c r="B419" s="32"/>
      <c r="P419" s="35"/>
      <c r="Q419" s="35"/>
      <c r="R419" s="55"/>
      <c r="V419" s="37"/>
      <c r="W419" s="37"/>
      <c r="X419" s="37"/>
      <c r="Y419" s="37"/>
      <c r="Z419" s="37"/>
      <c r="AA419" s="37"/>
      <c r="AB419" s="37"/>
      <c r="AC419" s="37"/>
      <c r="AD419" s="37"/>
      <c r="AE419" s="37"/>
      <c r="AF419" s="37"/>
      <c r="AG419" s="37"/>
      <c r="AH419" s="37"/>
      <c r="BA419" s="67"/>
      <c r="BB419" s="67"/>
      <c r="BC419" s="67"/>
      <c r="BD419" s="67"/>
      <c r="BE419" s="67"/>
      <c r="BF419" s="67"/>
      <c r="BG419" s="67"/>
      <c r="BH419" s="67"/>
      <c r="BI419" s="67"/>
      <c r="BJ419" s="67"/>
      <c r="BK419" s="67"/>
      <c r="BL419" s="67"/>
      <c r="BM419" s="67"/>
      <c r="BN419" s="67"/>
      <c r="BO419" s="35"/>
      <c r="BP419" s="67"/>
      <c r="BQ419" s="67"/>
      <c r="BR419" s="67"/>
      <c r="BS419" s="67"/>
      <c r="CW419" s="909"/>
      <c r="CX419" s="989"/>
      <c r="CY419" s="922"/>
      <c r="CZ419" s="885"/>
      <c r="DA419" s="1000"/>
      <c r="DB419" s="35"/>
      <c r="DC419" s="33"/>
      <c r="DD419" s="33"/>
      <c r="DE419" s="33"/>
      <c r="DF419" s="33"/>
      <c r="DG419" s="33"/>
      <c r="DH419" s="33"/>
      <c r="DI419" s="33"/>
      <c r="DJ419" s="33"/>
      <c r="DK419" s="33"/>
      <c r="DL419" s="33"/>
      <c r="DM419" s="33"/>
      <c r="DN419" s="33"/>
      <c r="DO419" s="33"/>
      <c r="DP419" s="33"/>
      <c r="DQ419" s="33"/>
      <c r="DR419" s="33"/>
    </row>
    <row r="420" spans="1:122" s="34" customFormat="1" x14ac:dyDescent="0.2">
      <c r="A420" s="886"/>
      <c r="B420" s="32"/>
      <c r="P420" s="35"/>
      <c r="Q420" s="35"/>
      <c r="R420" s="55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BA420" s="67"/>
      <c r="BB420" s="67"/>
      <c r="BC420" s="67"/>
      <c r="BD420" s="67"/>
      <c r="BE420" s="67"/>
      <c r="BF420" s="67"/>
      <c r="BG420" s="67"/>
      <c r="BH420" s="67"/>
      <c r="BI420" s="67"/>
      <c r="BJ420" s="67"/>
      <c r="BK420" s="67"/>
      <c r="BL420" s="67"/>
      <c r="BM420" s="67"/>
      <c r="BN420" s="67"/>
      <c r="BO420" s="35"/>
      <c r="BP420" s="67"/>
      <c r="BQ420" s="67"/>
      <c r="BR420" s="67"/>
      <c r="BS420" s="67"/>
      <c r="CW420" s="909"/>
      <c r="CX420" s="989"/>
      <c r="CY420" s="922"/>
      <c r="CZ420" s="885"/>
      <c r="DA420" s="1000"/>
      <c r="DB420" s="35"/>
      <c r="DC420" s="33"/>
      <c r="DD420" s="33"/>
      <c r="DE420" s="33"/>
      <c r="DF420" s="33"/>
      <c r="DG420" s="33"/>
      <c r="DH420" s="33"/>
      <c r="DI420" s="33"/>
      <c r="DJ420" s="33"/>
      <c r="DK420" s="33"/>
      <c r="DL420" s="33"/>
      <c r="DM420" s="33"/>
      <c r="DN420" s="33"/>
      <c r="DO420" s="33"/>
      <c r="DP420" s="33"/>
      <c r="DQ420" s="33"/>
      <c r="DR420" s="33"/>
    </row>
    <row r="421" spans="1:122" s="34" customFormat="1" x14ac:dyDescent="0.2">
      <c r="A421" s="886"/>
      <c r="B421" s="32"/>
      <c r="P421" s="35"/>
      <c r="Q421" s="35"/>
      <c r="R421" s="55"/>
      <c r="V421" s="37"/>
      <c r="W421" s="37"/>
      <c r="X421" s="37"/>
      <c r="Y421" s="37"/>
      <c r="Z421" s="37"/>
      <c r="AA421" s="37"/>
      <c r="AB421" s="37"/>
      <c r="AC421" s="37"/>
      <c r="AD421" s="37"/>
      <c r="AE421" s="37"/>
      <c r="AF421" s="37"/>
      <c r="AG421" s="37"/>
      <c r="AH421" s="37"/>
      <c r="BA421" s="67"/>
      <c r="BB421" s="67"/>
      <c r="BC421" s="67"/>
      <c r="BD421" s="67"/>
      <c r="BE421" s="67"/>
      <c r="BF421" s="67"/>
      <c r="BG421" s="67"/>
      <c r="BH421" s="67"/>
      <c r="BI421" s="67"/>
      <c r="BJ421" s="67"/>
      <c r="BK421" s="67"/>
      <c r="BL421" s="67"/>
      <c r="BM421" s="67"/>
      <c r="BN421" s="67"/>
      <c r="BO421" s="35"/>
      <c r="BP421" s="67"/>
      <c r="BQ421" s="67"/>
      <c r="BR421" s="67"/>
      <c r="BS421" s="67"/>
      <c r="CW421" s="909"/>
      <c r="CX421" s="989"/>
      <c r="CY421" s="922"/>
      <c r="CZ421" s="885"/>
      <c r="DA421" s="1000"/>
      <c r="DB421" s="35"/>
      <c r="DC421" s="33"/>
      <c r="DD421" s="33"/>
      <c r="DE421" s="33"/>
      <c r="DF421" s="33"/>
      <c r="DG421" s="33"/>
      <c r="DH421" s="33"/>
      <c r="DI421" s="33"/>
      <c r="DJ421" s="33"/>
      <c r="DK421" s="33"/>
      <c r="DL421" s="33"/>
      <c r="DM421" s="33"/>
      <c r="DN421" s="33"/>
      <c r="DO421" s="33"/>
      <c r="DP421" s="33"/>
      <c r="DQ421" s="33"/>
      <c r="DR421" s="33"/>
    </row>
    <row r="422" spans="1:122" s="34" customFormat="1" x14ac:dyDescent="0.2">
      <c r="A422" s="886"/>
      <c r="B422" s="32"/>
      <c r="P422" s="35"/>
      <c r="Q422" s="35"/>
      <c r="R422" s="55"/>
      <c r="V422" s="37"/>
      <c r="W422" s="37"/>
      <c r="X422" s="37"/>
      <c r="Y422" s="37"/>
      <c r="Z422" s="37"/>
      <c r="AA422" s="37"/>
      <c r="AB422" s="37"/>
      <c r="AC422" s="37"/>
      <c r="AD422" s="37"/>
      <c r="AE422" s="37"/>
      <c r="AF422" s="37"/>
      <c r="AG422" s="37"/>
      <c r="AH422" s="37"/>
      <c r="BA422" s="67"/>
      <c r="BB422" s="67"/>
      <c r="BC422" s="67"/>
      <c r="BD422" s="67"/>
      <c r="BE422" s="67"/>
      <c r="BF422" s="67"/>
      <c r="BG422" s="67"/>
      <c r="BH422" s="67"/>
      <c r="BI422" s="67"/>
      <c r="BJ422" s="67"/>
      <c r="BK422" s="67"/>
      <c r="BL422" s="67"/>
      <c r="BM422" s="67"/>
      <c r="BN422" s="67"/>
      <c r="BO422" s="35"/>
      <c r="BP422" s="67"/>
      <c r="BQ422" s="67"/>
      <c r="BR422" s="67"/>
      <c r="BS422" s="67"/>
      <c r="CW422" s="909"/>
      <c r="CX422" s="989"/>
      <c r="CY422" s="922"/>
      <c r="CZ422" s="885"/>
      <c r="DA422" s="1000"/>
      <c r="DB422" s="35"/>
      <c r="DC422" s="33"/>
      <c r="DD422" s="33"/>
      <c r="DE422" s="33"/>
      <c r="DF422" s="33"/>
      <c r="DG422" s="33"/>
      <c r="DH422" s="33"/>
      <c r="DI422" s="33"/>
      <c r="DJ422" s="33"/>
      <c r="DK422" s="33"/>
      <c r="DL422" s="33"/>
      <c r="DM422" s="33"/>
      <c r="DN422" s="33"/>
      <c r="DO422" s="33"/>
      <c r="DP422" s="33"/>
      <c r="DQ422" s="33"/>
      <c r="DR422" s="33"/>
    </row>
    <row r="423" spans="1:122" s="34" customFormat="1" x14ac:dyDescent="0.2">
      <c r="A423" s="886"/>
      <c r="B423" s="32"/>
      <c r="P423" s="35"/>
      <c r="Q423" s="35"/>
      <c r="R423" s="55"/>
      <c r="V423" s="37"/>
      <c r="W423" s="37"/>
      <c r="X423" s="37"/>
      <c r="Y423" s="37"/>
      <c r="Z423" s="37"/>
      <c r="AA423" s="37"/>
      <c r="AB423" s="37"/>
      <c r="AC423" s="37"/>
      <c r="AD423" s="37"/>
      <c r="AE423" s="37"/>
      <c r="AF423" s="37"/>
      <c r="AG423" s="37"/>
      <c r="AH423" s="37"/>
      <c r="BA423" s="67"/>
      <c r="BB423" s="67"/>
      <c r="BC423" s="67"/>
      <c r="BD423" s="67"/>
      <c r="BE423" s="67"/>
      <c r="BF423" s="67"/>
      <c r="BG423" s="67"/>
      <c r="BH423" s="67"/>
      <c r="BI423" s="67"/>
      <c r="BJ423" s="67"/>
      <c r="BK423" s="67"/>
      <c r="BL423" s="67"/>
      <c r="BM423" s="67"/>
      <c r="BN423" s="67"/>
      <c r="BO423" s="35"/>
      <c r="BP423" s="67"/>
      <c r="BQ423" s="67"/>
      <c r="BR423" s="67"/>
      <c r="BS423" s="67"/>
      <c r="CW423" s="909"/>
      <c r="CX423" s="989"/>
      <c r="CY423" s="922"/>
      <c r="CZ423" s="885"/>
      <c r="DA423" s="1000"/>
      <c r="DB423" s="35"/>
      <c r="DC423" s="33"/>
      <c r="DD423" s="33"/>
      <c r="DE423" s="33"/>
      <c r="DF423" s="33"/>
      <c r="DG423" s="33"/>
      <c r="DH423" s="33"/>
      <c r="DI423" s="33"/>
      <c r="DJ423" s="33"/>
      <c r="DK423" s="33"/>
      <c r="DL423" s="33"/>
      <c r="DM423" s="33"/>
      <c r="DN423" s="33"/>
      <c r="DO423" s="33"/>
      <c r="DP423" s="33"/>
      <c r="DQ423" s="33"/>
      <c r="DR423" s="33"/>
    </row>
    <row r="424" spans="1:122" s="34" customFormat="1" x14ac:dyDescent="0.2">
      <c r="A424" s="886"/>
      <c r="B424" s="32"/>
      <c r="P424" s="35"/>
      <c r="Q424" s="35"/>
      <c r="R424" s="55"/>
      <c r="V424" s="37"/>
      <c r="W424" s="37"/>
      <c r="X424" s="37"/>
      <c r="Y424" s="37"/>
      <c r="Z424" s="37"/>
      <c r="AA424" s="37"/>
      <c r="AB424" s="37"/>
      <c r="AC424" s="37"/>
      <c r="AD424" s="37"/>
      <c r="AE424" s="37"/>
      <c r="AF424" s="37"/>
      <c r="AG424" s="37"/>
      <c r="AH424" s="37"/>
      <c r="BA424" s="67"/>
      <c r="BB424" s="67"/>
      <c r="BC424" s="67"/>
      <c r="BD424" s="67"/>
      <c r="BE424" s="67"/>
      <c r="BF424" s="67"/>
      <c r="BG424" s="67"/>
      <c r="BH424" s="67"/>
      <c r="BI424" s="67"/>
      <c r="BJ424" s="67"/>
      <c r="BK424" s="67"/>
      <c r="BL424" s="67"/>
      <c r="BM424" s="67"/>
      <c r="BN424" s="67"/>
      <c r="BO424" s="35"/>
      <c r="BP424" s="67"/>
      <c r="BQ424" s="67"/>
      <c r="BR424" s="67"/>
      <c r="BS424" s="67"/>
      <c r="CW424" s="909"/>
      <c r="CX424" s="989"/>
      <c r="CY424" s="922"/>
      <c r="CZ424" s="885"/>
      <c r="DA424" s="1000"/>
      <c r="DB424" s="35"/>
      <c r="DC424" s="33"/>
      <c r="DD424" s="33"/>
      <c r="DE424" s="33"/>
      <c r="DF424" s="33"/>
      <c r="DG424" s="33"/>
      <c r="DH424" s="33"/>
      <c r="DI424" s="33"/>
      <c r="DJ424" s="33"/>
      <c r="DK424" s="33"/>
      <c r="DL424" s="33"/>
      <c r="DM424" s="33"/>
      <c r="DN424" s="33"/>
      <c r="DO424" s="33"/>
      <c r="DP424" s="33"/>
      <c r="DQ424" s="33"/>
      <c r="DR424" s="33"/>
    </row>
    <row r="425" spans="1:122" s="34" customFormat="1" x14ac:dyDescent="0.2">
      <c r="A425" s="886"/>
      <c r="B425" s="32"/>
      <c r="P425" s="35"/>
      <c r="Q425" s="35"/>
      <c r="R425" s="55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BA425" s="67"/>
      <c r="BB425" s="67"/>
      <c r="BC425" s="67"/>
      <c r="BD425" s="67"/>
      <c r="BE425" s="67"/>
      <c r="BF425" s="67"/>
      <c r="BG425" s="67"/>
      <c r="BH425" s="67"/>
      <c r="BI425" s="67"/>
      <c r="BJ425" s="67"/>
      <c r="BK425" s="67"/>
      <c r="BL425" s="67"/>
      <c r="BM425" s="67"/>
      <c r="BN425" s="67"/>
      <c r="BO425" s="35"/>
      <c r="BP425" s="67"/>
      <c r="BQ425" s="67"/>
      <c r="BR425" s="67"/>
      <c r="BS425" s="67"/>
      <c r="CW425" s="909"/>
      <c r="CX425" s="989"/>
      <c r="CY425" s="922"/>
      <c r="CZ425" s="905"/>
      <c r="DA425" s="1000"/>
      <c r="DB425" s="35"/>
      <c r="DC425" s="33"/>
      <c r="DD425" s="33"/>
      <c r="DE425" s="33"/>
      <c r="DF425" s="33"/>
      <c r="DG425" s="33"/>
      <c r="DH425" s="33"/>
      <c r="DI425" s="33"/>
      <c r="DJ425" s="33"/>
      <c r="DK425" s="33"/>
      <c r="DL425" s="33"/>
      <c r="DM425" s="33"/>
      <c r="DN425" s="33"/>
      <c r="DO425" s="33"/>
      <c r="DP425" s="33"/>
      <c r="DQ425" s="33"/>
      <c r="DR425" s="33"/>
    </row>
    <row r="426" spans="1:122" s="34" customFormat="1" x14ac:dyDescent="0.2">
      <c r="A426" s="886"/>
      <c r="B426" s="32"/>
      <c r="P426" s="35"/>
      <c r="Q426" s="35"/>
      <c r="R426" s="55"/>
      <c r="V426" s="37"/>
      <c r="W426" s="37"/>
      <c r="X426" s="37"/>
      <c r="Y426" s="37"/>
      <c r="Z426" s="37"/>
      <c r="AA426" s="37"/>
      <c r="AB426" s="37"/>
      <c r="AC426" s="37"/>
      <c r="AD426" s="37"/>
      <c r="AE426" s="37"/>
      <c r="AF426" s="37"/>
      <c r="AG426" s="37"/>
      <c r="AH426" s="37"/>
      <c r="BA426" s="67"/>
      <c r="BB426" s="67"/>
      <c r="BC426" s="67"/>
      <c r="BD426" s="67"/>
      <c r="BE426" s="67"/>
      <c r="BF426" s="67"/>
      <c r="BG426" s="67"/>
      <c r="BH426" s="67"/>
      <c r="BI426" s="67"/>
      <c r="BJ426" s="67"/>
      <c r="BK426" s="67"/>
      <c r="BL426" s="67"/>
      <c r="BM426" s="67"/>
      <c r="BN426" s="67"/>
      <c r="BO426" s="35"/>
      <c r="BP426" s="67"/>
      <c r="BQ426" s="67"/>
      <c r="BR426" s="67"/>
      <c r="BS426" s="67"/>
      <c r="CW426" s="909"/>
      <c r="CX426" s="989"/>
      <c r="CY426" s="922"/>
      <c r="CZ426" s="905"/>
      <c r="DA426" s="1000"/>
      <c r="DB426" s="35"/>
      <c r="DC426" s="33"/>
      <c r="DD426" s="33"/>
      <c r="DE426" s="33"/>
      <c r="DF426" s="33"/>
      <c r="DG426" s="33"/>
      <c r="DH426" s="33"/>
      <c r="DI426" s="33"/>
      <c r="DJ426" s="33"/>
      <c r="DK426" s="33"/>
      <c r="DL426" s="33"/>
      <c r="DM426" s="33"/>
      <c r="DN426" s="33"/>
      <c r="DO426" s="33"/>
      <c r="DP426" s="33"/>
      <c r="DQ426" s="33"/>
      <c r="DR426" s="33"/>
    </row>
    <row r="427" spans="1:122" s="34" customFormat="1" x14ac:dyDescent="0.2">
      <c r="A427" s="886"/>
      <c r="B427" s="32"/>
      <c r="P427" s="35"/>
      <c r="Q427" s="35"/>
      <c r="R427" s="55"/>
      <c r="V427" s="37"/>
      <c r="W427" s="37"/>
      <c r="X427" s="37"/>
      <c r="Y427" s="37"/>
      <c r="Z427" s="37"/>
      <c r="AA427" s="37"/>
      <c r="AB427" s="37"/>
      <c r="AC427" s="37"/>
      <c r="AD427" s="37"/>
      <c r="AE427" s="37"/>
      <c r="AF427" s="37"/>
      <c r="AG427" s="37"/>
      <c r="AH427" s="37"/>
      <c r="BA427" s="67"/>
      <c r="BB427" s="67"/>
      <c r="BC427" s="67"/>
      <c r="BD427" s="67"/>
      <c r="BE427" s="67"/>
      <c r="BF427" s="67"/>
      <c r="BG427" s="67"/>
      <c r="BH427" s="67"/>
      <c r="BI427" s="67"/>
      <c r="BJ427" s="67"/>
      <c r="BK427" s="67"/>
      <c r="BL427" s="67"/>
      <c r="BM427" s="67"/>
      <c r="BN427" s="67"/>
      <c r="BO427" s="35"/>
      <c r="BP427" s="67"/>
      <c r="BQ427" s="67"/>
      <c r="BR427" s="67"/>
      <c r="BS427" s="67"/>
      <c r="CW427" s="909"/>
      <c r="CX427" s="989"/>
      <c r="CY427" s="922"/>
      <c r="CZ427" s="905"/>
      <c r="DA427" s="1000"/>
      <c r="DB427" s="35"/>
      <c r="DC427" s="33"/>
      <c r="DD427" s="33"/>
      <c r="DE427" s="33"/>
      <c r="DF427" s="33"/>
      <c r="DG427" s="33"/>
      <c r="DH427" s="33"/>
      <c r="DI427" s="33"/>
      <c r="DJ427" s="33"/>
      <c r="DK427" s="33"/>
      <c r="DL427" s="33"/>
      <c r="DM427" s="33"/>
      <c r="DN427" s="33"/>
      <c r="DO427" s="33"/>
      <c r="DP427" s="33"/>
      <c r="DQ427" s="33"/>
      <c r="DR427" s="33"/>
    </row>
    <row r="428" spans="1:122" s="34" customFormat="1" x14ac:dyDescent="0.2">
      <c r="A428" s="886"/>
      <c r="B428" s="32"/>
      <c r="P428" s="35"/>
      <c r="Q428" s="35"/>
      <c r="R428" s="55"/>
      <c r="V428" s="37"/>
      <c r="W428" s="37"/>
      <c r="X428" s="37"/>
      <c r="Y428" s="37"/>
      <c r="Z428" s="37"/>
      <c r="AA428" s="37"/>
      <c r="AB428" s="37"/>
      <c r="AC428" s="37"/>
      <c r="AD428" s="37"/>
      <c r="AE428" s="37"/>
      <c r="AF428" s="37"/>
      <c r="AG428" s="37"/>
      <c r="AH428" s="37"/>
      <c r="BA428" s="67"/>
      <c r="BB428" s="67"/>
      <c r="BC428" s="67"/>
      <c r="BD428" s="67"/>
      <c r="BE428" s="67"/>
      <c r="BF428" s="67"/>
      <c r="BG428" s="67"/>
      <c r="BH428" s="67"/>
      <c r="BI428" s="67"/>
      <c r="BJ428" s="67"/>
      <c r="BK428" s="67"/>
      <c r="BL428" s="67"/>
      <c r="BM428" s="67"/>
      <c r="BN428" s="67"/>
      <c r="BO428" s="35"/>
      <c r="BP428" s="67"/>
      <c r="BQ428" s="67"/>
      <c r="BR428" s="67"/>
      <c r="BS428" s="67"/>
      <c r="CW428" s="909"/>
      <c r="CX428" s="989"/>
      <c r="CY428" s="922"/>
      <c r="CZ428" s="905"/>
      <c r="DA428" s="1000"/>
      <c r="DB428" s="35"/>
      <c r="DC428" s="33"/>
      <c r="DD428" s="33"/>
      <c r="DE428" s="33"/>
      <c r="DF428" s="33"/>
      <c r="DG428" s="33"/>
      <c r="DH428" s="33"/>
      <c r="DI428" s="33"/>
      <c r="DJ428" s="33"/>
      <c r="DK428" s="33"/>
      <c r="DL428" s="33"/>
      <c r="DM428" s="33"/>
      <c r="DN428" s="33"/>
      <c r="DO428" s="33"/>
      <c r="DP428" s="33"/>
      <c r="DQ428" s="33"/>
      <c r="DR428" s="33"/>
    </row>
    <row r="429" spans="1:122" s="34" customFormat="1" x14ac:dyDescent="0.2">
      <c r="A429" s="886"/>
      <c r="B429" s="32"/>
      <c r="P429" s="35"/>
      <c r="Q429" s="35"/>
      <c r="R429" s="55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BA429" s="67"/>
      <c r="BB429" s="67"/>
      <c r="BC429" s="67"/>
      <c r="BD429" s="67"/>
      <c r="BE429" s="67"/>
      <c r="BF429" s="67"/>
      <c r="BG429" s="67"/>
      <c r="BH429" s="67"/>
      <c r="BI429" s="67"/>
      <c r="BJ429" s="67"/>
      <c r="BK429" s="67"/>
      <c r="BL429" s="67"/>
      <c r="BM429" s="67"/>
      <c r="BN429" s="67"/>
      <c r="BO429" s="35"/>
      <c r="BP429" s="67"/>
      <c r="BQ429" s="67"/>
      <c r="BR429" s="67"/>
      <c r="BS429" s="67"/>
      <c r="CW429" s="909"/>
      <c r="CX429" s="989"/>
      <c r="CY429" s="922"/>
      <c r="CZ429" s="905"/>
      <c r="DA429" s="1000"/>
      <c r="DB429" s="35"/>
      <c r="DC429" s="33"/>
      <c r="DD429" s="33"/>
      <c r="DE429" s="33"/>
      <c r="DF429" s="33"/>
      <c r="DG429" s="33"/>
      <c r="DH429" s="33"/>
      <c r="DI429" s="33"/>
      <c r="DJ429" s="33"/>
      <c r="DK429" s="33"/>
      <c r="DL429" s="33"/>
      <c r="DM429" s="33"/>
      <c r="DN429" s="33"/>
      <c r="DO429" s="33"/>
      <c r="DP429" s="33"/>
      <c r="DQ429" s="33"/>
      <c r="DR429" s="33"/>
    </row>
    <row r="430" spans="1:122" s="34" customFormat="1" x14ac:dyDescent="0.2">
      <c r="A430" s="886"/>
      <c r="B430" s="32"/>
      <c r="P430" s="35"/>
      <c r="Q430" s="35"/>
      <c r="R430" s="55"/>
      <c r="S430" s="113"/>
      <c r="V430" s="37"/>
      <c r="W430" s="37"/>
      <c r="X430" s="37"/>
      <c r="Y430" s="37"/>
      <c r="Z430" s="37"/>
      <c r="AA430" s="37"/>
      <c r="AB430" s="37"/>
      <c r="AC430" s="37"/>
      <c r="AD430" s="37"/>
      <c r="AE430" s="37"/>
      <c r="AF430" s="37"/>
      <c r="AG430" s="37"/>
      <c r="AH430" s="37"/>
      <c r="BA430" s="67"/>
      <c r="BB430" s="67"/>
      <c r="BC430" s="67"/>
      <c r="BD430" s="67"/>
      <c r="BE430" s="67"/>
      <c r="BF430" s="67"/>
      <c r="BG430" s="67"/>
      <c r="BH430" s="67"/>
      <c r="BI430" s="67"/>
      <c r="BJ430" s="67"/>
      <c r="BK430" s="67"/>
      <c r="BL430" s="67"/>
      <c r="BM430" s="67"/>
      <c r="BN430" s="67"/>
      <c r="BO430" s="35"/>
      <c r="BP430" s="67"/>
      <c r="BQ430" s="67"/>
      <c r="BR430" s="67"/>
      <c r="BS430" s="67"/>
      <c r="CW430" s="909"/>
      <c r="CX430" s="989"/>
      <c r="CY430" s="922"/>
      <c r="CZ430" s="905"/>
      <c r="DA430" s="1000"/>
      <c r="DB430" s="35"/>
      <c r="DC430" s="33"/>
      <c r="DD430" s="33"/>
      <c r="DE430" s="33"/>
      <c r="DF430" s="33"/>
      <c r="DG430" s="33"/>
      <c r="DH430" s="33"/>
      <c r="DI430" s="33"/>
      <c r="DJ430" s="33"/>
      <c r="DK430" s="33"/>
      <c r="DL430" s="33"/>
      <c r="DM430" s="33"/>
      <c r="DN430" s="33"/>
      <c r="DO430" s="33"/>
      <c r="DP430" s="33"/>
      <c r="DQ430" s="33"/>
      <c r="DR430" s="33"/>
    </row>
    <row r="431" spans="1:122" s="34" customFormat="1" x14ac:dyDescent="0.2">
      <c r="A431" s="886"/>
      <c r="B431" s="32"/>
      <c r="P431" s="35"/>
      <c r="Q431" s="35"/>
      <c r="R431" s="55"/>
      <c r="S431" s="113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BA431" s="67"/>
      <c r="BB431" s="67"/>
      <c r="BC431" s="67"/>
      <c r="BD431" s="67"/>
      <c r="BE431" s="67"/>
      <c r="BF431" s="67"/>
      <c r="BG431" s="67"/>
      <c r="BH431" s="67"/>
      <c r="BI431" s="67"/>
      <c r="BJ431" s="67"/>
      <c r="BK431" s="67"/>
      <c r="BL431" s="67"/>
      <c r="BM431" s="67"/>
      <c r="BN431" s="67"/>
      <c r="BO431" s="35"/>
      <c r="BP431" s="67"/>
      <c r="BQ431" s="67"/>
      <c r="BR431" s="67"/>
      <c r="BS431" s="67"/>
      <c r="CW431" s="909"/>
      <c r="CX431" s="989"/>
      <c r="CY431" s="922"/>
      <c r="CZ431" s="905"/>
      <c r="DA431" s="1000"/>
      <c r="DB431" s="35"/>
      <c r="DC431" s="33"/>
      <c r="DD431" s="33"/>
      <c r="DE431" s="33"/>
      <c r="DF431" s="33"/>
      <c r="DG431" s="33"/>
      <c r="DH431" s="33"/>
      <c r="DI431" s="33"/>
      <c r="DJ431" s="33"/>
      <c r="DK431" s="33"/>
      <c r="DL431" s="33"/>
      <c r="DM431" s="33"/>
      <c r="DN431" s="33"/>
      <c r="DO431" s="33"/>
      <c r="DP431" s="33"/>
      <c r="DQ431" s="33"/>
      <c r="DR431" s="33"/>
    </row>
    <row r="432" spans="1:122" s="34" customFormat="1" x14ac:dyDescent="0.2">
      <c r="A432" s="886"/>
      <c r="B432" s="32"/>
      <c r="P432" s="35"/>
      <c r="Q432" s="35"/>
      <c r="R432" s="55"/>
      <c r="S432" s="113"/>
      <c r="V432" s="37"/>
      <c r="W432" s="37"/>
      <c r="X432" s="37"/>
      <c r="Y432" s="37"/>
      <c r="Z432" s="37"/>
      <c r="AA432" s="37"/>
      <c r="AB432" s="37"/>
      <c r="AC432" s="37"/>
      <c r="AD432" s="37"/>
      <c r="AE432" s="37"/>
      <c r="AF432" s="37"/>
      <c r="AG432" s="37"/>
      <c r="AH432" s="37"/>
      <c r="BA432" s="67"/>
      <c r="BB432" s="67"/>
      <c r="BC432" s="67"/>
      <c r="BD432" s="67"/>
      <c r="BE432" s="67"/>
      <c r="BF432" s="67"/>
      <c r="BG432" s="67"/>
      <c r="BH432" s="67"/>
      <c r="BI432" s="67"/>
      <c r="BJ432" s="67"/>
      <c r="BK432" s="67"/>
      <c r="BL432" s="67"/>
      <c r="BM432" s="67"/>
      <c r="BN432" s="67"/>
      <c r="BO432" s="35"/>
      <c r="BP432" s="67"/>
      <c r="BQ432" s="67"/>
      <c r="BR432" s="67"/>
      <c r="BS432" s="67"/>
      <c r="CW432" s="909"/>
      <c r="CX432" s="989"/>
      <c r="CY432" s="922"/>
      <c r="CZ432" s="905"/>
      <c r="DA432" s="1000"/>
      <c r="DB432" s="35"/>
      <c r="DC432" s="33"/>
      <c r="DD432" s="33"/>
      <c r="DE432" s="33"/>
      <c r="DF432" s="33"/>
      <c r="DG432" s="33"/>
      <c r="DH432" s="33"/>
      <c r="DI432" s="33"/>
      <c r="DJ432" s="33"/>
      <c r="DK432" s="33"/>
      <c r="DL432" s="33"/>
      <c r="DM432" s="33"/>
      <c r="DN432" s="33"/>
      <c r="DO432" s="33"/>
      <c r="DP432" s="33"/>
      <c r="DQ432" s="33"/>
      <c r="DR432" s="33"/>
    </row>
    <row r="433" spans="1:122" s="34" customFormat="1" x14ac:dyDescent="0.2">
      <c r="A433" s="886"/>
      <c r="B433" s="32"/>
      <c r="P433" s="35"/>
      <c r="Q433" s="35"/>
      <c r="R433" s="55"/>
      <c r="S433" s="113"/>
      <c r="V433" s="37"/>
      <c r="W433" s="37"/>
      <c r="X433" s="37"/>
      <c r="Y433" s="37"/>
      <c r="Z433" s="37"/>
      <c r="AA433" s="37"/>
      <c r="AB433" s="37"/>
      <c r="AC433" s="37"/>
      <c r="AD433" s="37"/>
      <c r="AE433" s="37"/>
      <c r="AF433" s="37"/>
      <c r="AG433" s="37"/>
      <c r="AH433" s="37"/>
      <c r="BA433" s="67"/>
      <c r="BB433" s="67"/>
      <c r="BC433" s="67"/>
      <c r="BD433" s="67"/>
      <c r="BE433" s="67"/>
      <c r="BF433" s="67"/>
      <c r="BG433" s="67"/>
      <c r="BH433" s="67"/>
      <c r="BI433" s="67"/>
      <c r="BJ433" s="67"/>
      <c r="BK433" s="67"/>
      <c r="BL433" s="67"/>
      <c r="BM433" s="67"/>
      <c r="BN433" s="67"/>
      <c r="BO433" s="35"/>
      <c r="BP433" s="67"/>
      <c r="BQ433" s="67"/>
      <c r="BR433" s="67"/>
      <c r="BS433" s="67"/>
      <c r="CW433" s="909"/>
      <c r="CX433" s="989"/>
      <c r="CY433" s="922"/>
      <c r="CZ433" s="905"/>
      <c r="DA433" s="1000"/>
      <c r="DB433" s="35"/>
      <c r="DC433" s="33"/>
      <c r="DD433" s="33"/>
      <c r="DE433" s="33"/>
      <c r="DF433" s="33"/>
      <c r="DG433" s="33"/>
      <c r="DH433" s="33"/>
      <c r="DI433" s="33"/>
      <c r="DJ433" s="33"/>
      <c r="DK433" s="33"/>
      <c r="DL433" s="33"/>
      <c r="DM433" s="33"/>
      <c r="DN433" s="33"/>
      <c r="DO433" s="33"/>
      <c r="DP433" s="33"/>
      <c r="DQ433" s="33"/>
      <c r="DR433" s="33"/>
    </row>
    <row r="459" spans="104:104" x14ac:dyDescent="0.2">
      <c r="CZ459" s="208"/>
    </row>
    <row r="460" spans="104:104" x14ac:dyDescent="0.2">
      <c r="CZ460" s="208"/>
    </row>
    <row r="461" spans="104:104" x14ac:dyDescent="0.2">
      <c r="CZ461" s="208"/>
    </row>
    <row r="462" spans="104:104" x14ac:dyDescent="0.2">
      <c r="CZ462" s="208"/>
    </row>
    <row r="463" spans="104:104" x14ac:dyDescent="0.2">
      <c r="CZ463" s="208"/>
    </row>
    <row r="464" spans="104:104" x14ac:dyDescent="0.2">
      <c r="CZ464" s="208"/>
    </row>
    <row r="465" spans="104:104" x14ac:dyDescent="0.2">
      <c r="CZ465" s="208"/>
    </row>
    <row r="466" spans="104:104" x14ac:dyDescent="0.2">
      <c r="CZ466" s="208"/>
    </row>
    <row r="467" spans="104:104" x14ac:dyDescent="0.2">
      <c r="CZ467" s="208"/>
    </row>
  </sheetData>
  <sheetProtection algorithmName="SHA-512" hashValue="wnR6v+hhpacHoFbT9qV0f+6NodFq7+kpnVI5rtMiYyxllUPrsh2kXdM5nqvVtasWFkSQbIBdIB1CuqoqggQkbw==" saltValue="SmkgAu70AeQeGnvtFwKMDA==" spinCount="100000" sheet="1" objects="1" scenarios="1"/>
  <mergeCells count="1">
    <mergeCell ref="A2:A6"/>
  </mergeCells>
  <conditionalFormatting sqref="V82:AG87 V93:AG98 V104:AG109 V115:AG120 V126:AG131 V6:AG12 V19:AG24 V30:AG36 V42:AG48 V54:AG60">
    <cfRule type="notContainsBlanks" dxfId="433" priority="268" stopIfTrue="1">
      <formula>LEN(TRIM(V6))&gt;0</formula>
    </cfRule>
  </conditionalFormatting>
  <conditionalFormatting sqref="DC82:DC87 DC93:DC98 DC107:DC112 DC117:DC132 DC139:DC144">
    <cfRule type="notContainsBlanks" dxfId="432" priority="235" stopIfTrue="1">
      <formula>LEN(TRIM(DC82))&gt;0</formula>
    </cfRule>
  </conditionalFormatting>
  <conditionalFormatting sqref="DD82:DD87 DD93:DD98 DD107:DD112 DD117:DD132 DD139:DD144">
    <cfRule type="notContainsBlanks" dxfId="431" priority="234" stopIfTrue="1">
      <formula>LEN(TRIM(DD82))&gt;0</formula>
    </cfRule>
  </conditionalFormatting>
  <conditionalFormatting sqref="U82:U87">
    <cfRule type="notContainsBlanks" dxfId="430" priority="233" stopIfTrue="1">
      <formula>LEN(TRIM(U82))&gt;0</formula>
    </cfRule>
  </conditionalFormatting>
  <conditionalFormatting sqref="E91:H98">
    <cfRule type="cellIs" dxfId="429" priority="199" stopIfTrue="1" operator="greaterThan">
      <formula>0</formula>
    </cfRule>
  </conditionalFormatting>
  <conditionalFormatting sqref="E83:H88">
    <cfRule type="cellIs" dxfId="428" priority="201" stopIfTrue="1" operator="greaterThan">
      <formula>0</formula>
    </cfRule>
  </conditionalFormatting>
  <conditionalFormatting sqref="CX65">
    <cfRule type="cellIs" dxfId="427" priority="187" stopIfTrue="1" operator="greaterThan">
      <formula>0</formula>
    </cfRule>
  </conditionalFormatting>
  <conditionalFormatting sqref="CX26">
    <cfRule type="cellIs" dxfId="426" priority="193" stopIfTrue="1" operator="greaterThan">
      <formula>0</formula>
    </cfRule>
  </conditionalFormatting>
  <conditionalFormatting sqref="CX12">
    <cfRule type="cellIs" dxfId="425" priority="195" stopIfTrue="1" operator="greaterThan">
      <formula>0</formula>
    </cfRule>
  </conditionalFormatting>
  <conditionalFormatting sqref="CX53">
    <cfRule type="cellIs" dxfId="424" priority="189" stopIfTrue="1" operator="greaterThan">
      <formula>0</formula>
    </cfRule>
  </conditionalFormatting>
  <conditionalFormatting sqref="CX38">
    <cfRule type="cellIs" dxfId="423" priority="191" stopIfTrue="1" operator="greaterThan">
      <formula>0</formula>
    </cfRule>
  </conditionalFormatting>
  <conditionalFormatting sqref="CX58">
    <cfRule type="cellIs" dxfId="422" priority="188" stopIfTrue="1" operator="greaterThan">
      <formula>0</formula>
    </cfRule>
  </conditionalFormatting>
  <conditionalFormatting sqref="CX45">
    <cfRule type="cellIs" dxfId="421" priority="190" stopIfTrue="1" operator="greaterThan">
      <formula>0</formula>
    </cfRule>
  </conditionalFormatting>
  <conditionalFormatting sqref="CX32">
    <cfRule type="cellIs" dxfId="420" priority="192" stopIfTrue="1" operator="greaterThan">
      <formula>0</formula>
    </cfRule>
  </conditionalFormatting>
  <conditionalFormatting sqref="CX22">
    <cfRule type="cellIs" dxfId="419" priority="194" stopIfTrue="1" operator="greaterThan">
      <formula>0</formula>
    </cfRule>
  </conditionalFormatting>
  <conditionalFormatting sqref="CU82:CU87 CU93:CU98 CU107:CU112 CU117:CU132 CU139:CU144">
    <cfRule type="notContainsBlanks" dxfId="418" priority="186" stopIfTrue="1">
      <formula>LEN(TRIM(CU82))&gt;0</formula>
    </cfRule>
  </conditionalFormatting>
  <conditionalFormatting sqref="CV82:CV87 CV93:CV98 CV107:CV112 CV117:CV132 CV139:CV144">
    <cfRule type="notContainsBlanks" dxfId="417" priority="185" stopIfTrue="1">
      <formula>LEN(TRIM(CV82))&gt;0</formula>
    </cfRule>
  </conditionalFormatting>
  <conditionalFormatting sqref="S136">
    <cfRule type="notContainsBlanks" dxfId="416" priority="175" stopIfTrue="1">
      <formula>LEN(TRIM(S136))&gt;0</formula>
    </cfRule>
  </conditionalFormatting>
  <conditionalFormatting sqref="S135">
    <cfRule type="notContainsBlanks" dxfId="415" priority="174" stopIfTrue="1">
      <formula>LEN(TRIM(S135))&gt;0</formula>
    </cfRule>
  </conditionalFormatting>
  <conditionalFormatting sqref="D15:O22">
    <cfRule type="cellIs" dxfId="414" priority="170" stopIfTrue="1" operator="greaterThan">
      <formula>0</formula>
    </cfRule>
  </conditionalFormatting>
  <conditionalFormatting sqref="D7:O12">
    <cfRule type="cellIs" dxfId="413" priority="169" stopIfTrue="1" operator="greaterThan">
      <formula>0</formula>
    </cfRule>
  </conditionalFormatting>
  <conditionalFormatting sqref="D25:O26">
    <cfRule type="cellIs" dxfId="412" priority="168" stopIfTrue="1" operator="greaterThan">
      <formula>0</formula>
    </cfRule>
  </conditionalFormatting>
  <conditionalFormatting sqref="D29:O32">
    <cfRule type="cellIs" dxfId="411" priority="167" stopIfTrue="1" operator="greaterThan">
      <formula>0</formula>
    </cfRule>
  </conditionalFormatting>
  <conditionalFormatting sqref="D35:O38">
    <cfRule type="cellIs" dxfId="410" priority="166" stopIfTrue="1" operator="greaterThan">
      <formula>0</formula>
    </cfRule>
  </conditionalFormatting>
  <conditionalFormatting sqref="D48:O53">
    <cfRule type="cellIs" dxfId="409" priority="165" stopIfTrue="1" operator="greaterThan">
      <formula>0</formula>
    </cfRule>
  </conditionalFormatting>
  <conditionalFormatting sqref="D56:O58">
    <cfRule type="cellIs" dxfId="408" priority="164" stopIfTrue="1" operator="greaterThan">
      <formula>0</formula>
    </cfRule>
  </conditionalFormatting>
  <conditionalFormatting sqref="D62:O65">
    <cfRule type="cellIs" dxfId="407" priority="163" stopIfTrue="1" operator="greaterThan">
      <formula>0</formula>
    </cfRule>
  </conditionalFormatting>
  <conditionalFormatting sqref="V18:AG18">
    <cfRule type="notContainsBlanks" dxfId="406" priority="88" stopIfTrue="1">
      <formula>LEN(TRIM(V18))&gt;0</formula>
    </cfRule>
  </conditionalFormatting>
  <conditionalFormatting sqref="D41:O45">
    <cfRule type="cellIs" dxfId="405" priority="87" stopIfTrue="1" operator="greaterThan">
      <formula>0</formula>
    </cfRule>
  </conditionalFormatting>
  <conditionalFormatting sqref="E101:H102">
    <cfRule type="cellIs" dxfId="404" priority="86" stopIfTrue="1" operator="greaterThan">
      <formula>0</formula>
    </cfRule>
  </conditionalFormatting>
  <conditionalFormatting sqref="E105:H108">
    <cfRule type="cellIs" dxfId="403" priority="85" stopIfTrue="1" operator="greaterThan">
      <formula>0</formula>
    </cfRule>
  </conditionalFormatting>
  <conditionalFormatting sqref="E111:H114">
    <cfRule type="cellIs" dxfId="402" priority="84" stopIfTrue="1" operator="greaterThan">
      <formula>0</formula>
    </cfRule>
  </conditionalFormatting>
  <conditionalFormatting sqref="E117:H121">
    <cfRule type="cellIs" dxfId="401" priority="83" stopIfTrue="1" operator="greaterThan">
      <formula>0</formula>
    </cfRule>
  </conditionalFormatting>
  <conditionalFormatting sqref="E124:H129">
    <cfRule type="cellIs" dxfId="400" priority="82" stopIfTrue="1" operator="greaterThan">
      <formula>0</formula>
    </cfRule>
  </conditionalFormatting>
  <conditionalFormatting sqref="E132:H134">
    <cfRule type="cellIs" dxfId="399" priority="81" stopIfTrue="1" operator="greaterThan">
      <formula>0</formula>
    </cfRule>
  </conditionalFormatting>
  <conditionalFormatting sqref="E138:H141">
    <cfRule type="cellIs" dxfId="398" priority="80" stopIfTrue="1" operator="greaterThan">
      <formula>0</formula>
    </cfRule>
  </conditionalFormatting>
  <conditionalFormatting sqref="A12">
    <cfRule type="cellIs" dxfId="397" priority="73" stopIfTrue="1" operator="greaterThan">
      <formula>0</formula>
    </cfRule>
  </conditionalFormatting>
  <conditionalFormatting sqref="A22">
    <cfRule type="cellIs" dxfId="396" priority="72" stopIfTrue="1" operator="greaterThan">
      <formula>0</formula>
    </cfRule>
  </conditionalFormatting>
  <conditionalFormatting sqref="A26">
    <cfRule type="cellIs" dxfId="395" priority="71" stopIfTrue="1" operator="greaterThan">
      <formula>0</formula>
    </cfRule>
  </conditionalFormatting>
  <conditionalFormatting sqref="A32">
    <cfRule type="cellIs" dxfId="394" priority="70" stopIfTrue="1" operator="greaterThan">
      <formula>0</formula>
    </cfRule>
  </conditionalFormatting>
  <conditionalFormatting sqref="A38">
    <cfRule type="cellIs" dxfId="393" priority="69" stopIfTrue="1" operator="greaterThan">
      <formula>0</formula>
    </cfRule>
  </conditionalFormatting>
  <conditionalFormatting sqref="A45">
    <cfRule type="cellIs" dxfId="392" priority="68" stopIfTrue="1" operator="greaterThan">
      <formula>0</formula>
    </cfRule>
  </conditionalFormatting>
  <conditionalFormatting sqref="A53">
    <cfRule type="cellIs" dxfId="391" priority="67" stopIfTrue="1" operator="greaterThan">
      <formula>0</formula>
    </cfRule>
  </conditionalFormatting>
  <conditionalFormatting sqref="A58">
    <cfRule type="cellIs" dxfId="390" priority="66" stopIfTrue="1" operator="greaterThan">
      <formula>0</formula>
    </cfRule>
  </conditionalFormatting>
  <conditionalFormatting sqref="A65">
    <cfRule type="cellIs" dxfId="389" priority="65" stopIfTrue="1" operator="greaterThan">
      <formula>0</formula>
    </cfRule>
  </conditionalFormatting>
  <conditionalFormatting sqref="BC7:BN12">
    <cfRule type="cellIs" dxfId="388" priority="64" stopIfTrue="1" operator="greaterThan">
      <formula>0</formula>
    </cfRule>
  </conditionalFormatting>
  <conditionalFormatting sqref="BC15:BN22">
    <cfRule type="cellIs" dxfId="387" priority="63" stopIfTrue="1" operator="greaterThan">
      <formula>0</formula>
    </cfRule>
  </conditionalFormatting>
  <conditionalFormatting sqref="BC25:BN26">
    <cfRule type="cellIs" dxfId="386" priority="62" stopIfTrue="1" operator="greaterThan">
      <formula>0</formula>
    </cfRule>
  </conditionalFormatting>
  <conditionalFormatting sqref="BC29:BN32">
    <cfRule type="cellIs" dxfId="385" priority="61" stopIfTrue="1" operator="greaterThan">
      <formula>0</formula>
    </cfRule>
  </conditionalFormatting>
  <conditionalFormatting sqref="BC41:BN45">
    <cfRule type="cellIs" dxfId="384" priority="60" stopIfTrue="1" operator="greaterThan">
      <formula>0</formula>
    </cfRule>
  </conditionalFormatting>
  <conditionalFormatting sqref="BC35:BN38">
    <cfRule type="cellIs" dxfId="383" priority="59" stopIfTrue="1" operator="greaterThan">
      <formula>0</formula>
    </cfRule>
  </conditionalFormatting>
  <conditionalFormatting sqref="BC56:BN58">
    <cfRule type="cellIs" dxfId="382" priority="58" stopIfTrue="1" operator="greaterThan">
      <formula>0</formula>
    </cfRule>
  </conditionalFormatting>
  <conditionalFormatting sqref="BC48:BN53">
    <cfRule type="cellIs" dxfId="381" priority="57" stopIfTrue="1" operator="greaterThan">
      <formula>0</formula>
    </cfRule>
  </conditionalFormatting>
  <conditionalFormatting sqref="BC61:BN65">
    <cfRule type="cellIs" dxfId="380" priority="56" stopIfTrue="1" operator="greaterThan">
      <formula>0</formula>
    </cfRule>
  </conditionalFormatting>
  <conditionalFormatting sqref="BD83:BG88">
    <cfRule type="cellIs" dxfId="379" priority="55" stopIfTrue="1" operator="greaterThan">
      <formula>0</formula>
    </cfRule>
  </conditionalFormatting>
  <conditionalFormatting sqref="BD91:BG98">
    <cfRule type="cellIs" dxfId="378" priority="54" stopIfTrue="1" operator="greaterThan">
      <formula>0</formula>
    </cfRule>
  </conditionalFormatting>
  <conditionalFormatting sqref="BD101:BG102">
    <cfRule type="cellIs" dxfId="377" priority="53" stopIfTrue="1" operator="greaterThan">
      <formula>0</formula>
    </cfRule>
  </conditionalFormatting>
  <conditionalFormatting sqref="BD105:BG108">
    <cfRule type="cellIs" dxfId="376" priority="52" stopIfTrue="1" operator="greaterThan">
      <formula>0</formula>
    </cfRule>
  </conditionalFormatting>
  <conditionalFormatting sqref="BD117:BG121">
    <cfRule type="cellIs" dxfId="375" priority="51" stopIfTrue="1" operator="greaterThan">
      <formula>0</formula>
    </cfRule>
  </conditionalFormatting>
  <conditionalFormatting sqref="BD111:BG114">
    <cfRule type="cellIs" dxfId="374" priority="50" stopIfTrue="1" operator="greaterThan">
      <formula>0</formula>
    </cfRule>
  </conditionalFormatting>
  <conditionalFormatting sqref="BD132:BG134">
    <cfRule type="cellIs" dxfId="373" priority="49" stopIfTrue="1" operator="greaterThan">
      <formula>0</formula>
    </cfRule>
  </conditionalFormatting>
  <conditionalFormatting sqref="BD124:BG129">
    <cfRule type="cellIs" dxfId="372" priority="48" stopIfTrue="1" operator="greaterThan">
      <formula>0</formula>
    </cfRule>
  </conditionalFormatting>
  <conditionalFormatting sqref="BD137:BG141">
    <cfRule type="cellIs" dxfId="371" priority="47" stopIfTrue="1" operator="greaterThan">
      <formula>0</formula>
    </cfRule>
  </conditionalFormatting>
  <conditionalFormatting sqref="BT7:CE12">
    <cfRule type="cellIs" dxfId="370" priority="46" stopIfTrue="1" operator="greaterThan">
      <formula>0</formula>
    </cfRule>
  </conditionalFormatting>
  <conditionalFormatting sqref="BT15:CE22">
    <cfRule type="cellIs" dxfId="369" priority="45" stopIfTrue="1" operator="greaterThan">
      <formula>0</formula>
    </cfRule>
  </conditionalFormatting>
  <conditionalFormatting sqref="BT25:CE26">
    <cfRule type="cellIs" dxfId="368" priority="44" stopIfTrue="1" operator="greaterThan">
      <formula>0</formula>
    </cfRule>
  </conditionalFormatting>
  <conditionalFormatting sqref="BT29:CE32">
    <cfRule type="cellIs" dxfId="367" priority="43" stopIfTrue="1" operator="greaterThan">
      <formula>0</formula>
    </cfRule>
  </conditionalFormatting>
  <conditionalFormatting sqref="BT35:CE38">
    <cfRule type="cellIs" dxfId="366" priority="42" stopIfTrue="1" operator="greaterThan">
      <formula>0</formula>
    </cfRule>
  </conditionalFormatting>
  <conditionalFormatting sqref="BT41:CE45">
    <cfRule type="cellIs" dxfId="365" priority="41" stopIfTrue="1" operator="greaterThan">
      <formula>0</formula>
    </cfRule>
  </conditionalFormatting>
  <conditionalFormatting sqref="BT61:CE65">
    <cfRule type="cellIs" dxfId="364" priority="40" stopIfTrue="1" operator="greaterThan">
      <formula>0</formula>
    </cfRule>
  </conditionalFormatting>
  <conditionalFormatting sqref="BT56:CE58">
    <cfRule type="cellIs" dxfId="363" priority="39" stopIfTrue="1" operator="greaterThan">
      <formula>0</formula>
    </cfRule>
  </conditionalFormatting>
  <conditionalFormatting sqref="BT48:CE53">
    <cfRule type="cellIs" dxfId="362" priority="38" stopIfTrue="1" operator="greaterThan">
      <formula>0</formula>
    </cfRule>
  </conditionalFormatting>
  <conditionalFormatting sqref="BU83:BX88">
    <cfRule type="cellIs" dxfId="361" priority="37" stopIfTrue="1" operator="greaterThan">
      <formula>0</formula>
    </cfRule>
  </conditionalFormatting>
  <conditionalFormatting sqref="BU91:BX98">
    <cfRule type="cellIs" dxfId="360" priority="36" stopIfTrue="1" operator="greaterThan">
      <formula>0</formula>
    </cfRule>
  </conditionalFormatting>
  <conditionalFormatting sqref="BU101:BX102">
    <cfRule type="cellIs" dxfId="359" priority="35" stopIfTrue="1" operator="greaterThan">
      <formula>0</formula>
    </cfRule>
  </conditionalFormatting>
  <conditionalFormatting sqref="BU105:BX108">
    <cfRule type="cellIs" dxfId="358" priority="34" stopIfTrue="1" operator="greaterThan">
      <formula>0</formula>
    </cfRule>
  </conditionalFormatting>
  <conditionalFormatting sqref="BU111:BX114">
    <cfRule type="cellIs" dxfId="357" priority="33" stopIfTrue="1" operator="greaterThan">
      <formula>0</formula>
    </cfRule>
  </conditionalFormatting>
  <conditionalFormatting sqref="BU117:BX121">
    <cfRule type="cellIs" dxfId="356" priority="32" stopIfTrue="1" operator="greaterThan">
      <formula>0</formula>
    </cfRule>
  </conditionalFormatting>
  <conditionalFormatting sqref="BU137:BX141">
    <cfRule type="cellIs" dxfId="355" priority="31" stopIfTrue="1" operator="greaterThan">
      <formula>0</formula>
    </cfRule>
  </conditionalFormatting>
  <conditionalFormatting sqref="BU132:BX134">
    <cfRule type="cellIs" dxfId="354" priority="30" stopIfTrue="1" operator="greaterThan">
      <formula>0</formula>
    </cfRule>
  </conditionalFormatting>
  <conditionalFormatting sqref="BU124:BX129">
    <cfRule type="cellIs" dxfId="353" priority="29" stopIfTrue="1" operator="greaterThan">
      <formula>0</formula>
    </cfRule>
  </conditionalFormatting>
  <conditionalFormatting sqref="S137:S141">
    <cfRule type="notContainsBlanks" dxfId="352" priority="20" stopIfTrue="1">
      <formula>LEN(TRIM(S137))&gt;0</formula>
    </cfRule>
  </conditionalFormatting>
  <conditionalFormatting sqref="S111:S115">
    <cfRule type="notContainsBlanks" dxfId="351" priority="19" stopIfTrue="1">
      <formula>LEN(TRIM(S111))&gt;0</formula>
    </cfRule>
  </conditionalFormatting>
  <conditionalFormatting sqref="S124:S129">
    <cfRule type="notContainsBlanks" dxfId="350" priority="18" stopIfTrue="1">
      <formula>LEN(TRIM(S124))&gt;0</formula>
    </cfRule>
  </conditionalFormatting>
  <conditionalFormatting sqref="S91:S98">
    <cfRule type="notContainsBlanks" dxfId="349" priority="17" stopIfTrue="1">
      <formula>LEN(TRIM(S91))&gt;0</formula>
    </cfRule>
  </conditionalFormatting>
  <conditionalFormatting sqref="S83:S88">
    <cfRule type="notContainsBlanks" dxfId="348" priority="16" stopIfTrue="1">
      <formula>LEN(TRIM(S83))&gt;0</formula>
    </cfRule>
  </conditionalFormatting>
  <conditionalFormatting sqref="S105:S108">
    <cfRule type="notContainsBlanks" dxfId="347" priority="15" stopIfTrue="1">
      <formula>LEN(TRIM(S105))&gt;0</formula>
    </cfRule>
  </conditionalFormatting>
  <conditionalFormatting sqref="S118:S121">
    <cfRule type="notContainsBlanks" dxfId="346" priority="14" stopIfTrue="1">
      <formula>LEN(TRIM(S118))&gt;0</formula>
    </cfRule>
  </conditionalFormatting>
  <conditionalFormatting sqref="S132:S134">
    <cfRule type="notContainsBlanks" dxfId="345" priority="13" stopIfTrue="1">
      <formula>LEN(TRIM(S132))&gt;0</formula>
    </cfRule>
  </conditionalFormatting>
  <conditionalFormatting sqref="S101:S102">
    <cfRule type="notContainsBlanks" dxfId="344" priority="12" stopIfTrue="1">
      <formula>LEN(TRIM(S101))&gt;0</formula>
    </cfRule>
  </conditionalFormatting>
  <conditionalFormatting sqref="S60">
    <cfRule type="notContainsBlanks" dxfId="343" priority="11" stopIfTrue="1">
      <formula>LEN(TRIM(S60))&gt;0</formula>
    </cfRule>
  </conditionalFormatting>
  <conditionalFormatting sqref="S59">
    <cfRule type="notContainsBlanks" dxfId="342" priority="10" stopIfTrue="1">
      <formula>LEN(TRIM(S59))&gt;0</formula>
    </cfRule>
  </conditionalFormatting>
  <conditionalFormatting sqref="S61:S65">
    <cfRule type="notContainsBlanks" dxfId="341" priority="9" stopIfTrue="1">
      <formula>LEN(TRIM(S61))&gt;0</formula>
    </cfRule>
  </conditionalFormatting>
  <conditionalFormatting sqref="S35:S39">
    <cfRule type="notContainsBlanks" dxfId="340" priority="8" stopIfTrue="1">
      <formula>LEN(TRIM(S35))&gt;0</formula>
    </cfRule>
  </conditionalFormatting>
  <conditionalFormatting sqref="S48:S53">
    <cfRule type="notContainsBlanks" dxfId="339" priority="7" stopIfTrue="1">
      <formula>LEN(TRIM(S48))&gt;0</formula>
    </cfRule>
  </conditionalFormatting>
  <conditionalFormatting sqref="S15:S22">
    <cfRule type="notContainsBlanks" dxfId="338" priority="6" stopIfTrue="1">
      <formula>LEN(TRIM(S15))&gt;0</formula>
    </cfRule>
  </conditionalFormatting>
  <conditionalFormatting sqref="S7:S12">
    <cfRule type="notContainsBlanks" dxfId="337" priority="5" stopIfTrue="1">
      <formula>LEN(TRIM(S7))&gt;0</formula>
    </cfRule>
  </conditionalFormatting>
  <conditionalFormatting sqref="S29:S32">
    <cfRule type="notContainsBlanks" dxfId="336" priority="4" stopIfTrue="1">
      <formula>LEN(TRIM(S29))&gt;0</formula>
    </cfRule>
  </conditionalFormatting>
  <conditionalFormatting sqref="S42:S45">
    <cfRule type="notContainsBlanks" dxfId="335" priority="3" stopIfTrue="1">
      <formula>LEN(TRIM(S42))&gt;0</formula>
    </cfRule>
  </conditionalFormatting>
  <conditionalFormatting sqref="S56:S58">
    <cfRule type="notContainsBlanks" dxfId="334" priority="2" stopIfTrue="1">
      <formula>LEN(TRIM(S56))&gt;0</formula>
    </cfRule>
  </conditionalFormatting>
  <conditionalFormatting sqref="S25:S26">
    <cfRule type="notContainsBlanks" dxfId="333" priority="1" stopIfTrue="1">
      <formula>LEN(TRIM(S25))&gt;0</formula>
    </cfRule>
  </conditionalFormatting>
  <dataValidations count="1">
    <dataValidation type="list" allowBlank="1" showInputMessage="1" showErrorMessage="1" sqref="A22 CX65 CX58 CX53 CX45 CX38 CX32 CX26 CX22 CX12 A65 A58 A26 A53 A45 A38 A32 A12">
      <formula1>$Q$2:$Q$4</formula1>
    </dataValidation>
  </dataValidations>
  <printOptions horizontalCentered="1"/>
  <pageMargins left="0.23622047244094491" right="0.23622047244094491" top="0.51181102362204722" bottom="0.51181102362204722" header="0" footer="0.11811023622047245"/>
  <pageSetup paperSize="9" scale="43" fitToHeight="2" orientation="landscape" r:id="rId1"/>
  <headerFooter alignWithMargins="0">
    <oddFooter>&amp;L&amp;"Verdana,Standard"&amp;9&amp;A&amp;C&amp;"Verdana,Standard"&amp;9&amp;F&amp;R&amp;"Verdana,Standard"&amp;9© 2017 www.Kindermanns.de
Jürgen Erlewein</oddFooter>
  </headerFooter>
  <rowBreaks count="1" manualBreakCount="1">
    <brk id="78" min="1" max="15" man="1"/>
  </rowBreaks>
  <ignoredErrors>
    <ignoredError sqref="B88 B98 B102 B108 B114 B121 B129 B134 B141 A31 A18 CX18 CX31 P230 BO230 D298" formula="1"/>
    <ignoredError sqref="CX22 CX26 CX32 CX38 CX45 CX53" unlockedFormula="1"/>
  </ignoredError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>
    <pageSetUpPr fitToPage="1"/>
  </sheetPr>
  <dimension ref="A1:FK307"/>
  <sheetViews>
    <sheetView showGridLines="0" topLeftCell="A2" zoomScale="66" zoomScaleNormal="66" workbookViewId="0">
      <selection activeCell="O16" sqref="O16"/>
    </sheetView>
  </sheetViews>
  <sheetFormatPr baseColWidth="10" defaultColWidth="11.42578125" defaultRowHeight="14.25" x14ac:dyDescent="0.2"/>
  <cols>
    <col min="1" max="1" width="1.5703125" style="219" customWidth="1"/>
    <col min="2" max="2" width="4.42578125" style="219" customWidth="1"/>
    <col min="3" max="3" width="79.85546875" style="222" customWidth="1"/>
    <col min="4" max="15" width="14.7109375" style="222" customWidth="1"/>
    <col min="16" max="16" width="14.7109375" style="286" customWidth="1"/>
    <col min="17" max="18" width="4.7109375" style="219" customWidth="1"/>
    <col min="19" max="19" width="60.7109375" style="232" customWidth="1"/>
    <col min="20" max="35" width="11.42578125" style="219" customWidth="1"/>
    <col min="36" max="36" width="8.140625" style="219" customWidth="1"/>
    <col min="37" max="78" width="11.42578125" style="219" hidden="1" customWidth="1"/>
    <col min="79" max="99" width="11.42578125" style="222" hidden="1" customWidth="1"/>
    <col min="100" max="100" width="154.5703125" style="223" hidden="1" customWidth="1"/>
    <col min="101" max="101" width="77.42578125" style="222" hidden="1" customWidth="1"/>
    <col min="102" max="115" width="11.42578125" style="222" hidden="1" customWidth="1"/>
    <col min="116" max="131" width="11.42578125" style="891" hidden="1" customWidth="1"/>
    <col min="132" max="166" width="11.42578125" style="222" hidden="1" customWidth="1"/>
    <col min="167" max="167" width="0.42578125" style="222" hidden="1" customWidth="1"/>
    <col min="168" max="16384" width="11.42578125" style="222"/>
  </cols>
  <sheetData>
    <row r="1" spans="1:131" ht="66" customHeight="1" x14ac:dyDescent="0.2"/>
    <row r="2" spans="1:131" s="219" customFormat="1" ht="21.95" customHeight="1" x14ac:dyDescent="0.2">
      <c r="A2" s="218"/>
      <c r="C2" s="220" t="str">
        <f>'Deckblatt Gruender|Data Founder'!D8</f>
        <v>Deutsch</v>
      </c>
      <c r="P2" s="221"/>
      <c r="CV2" s="223" t="s">
        <v>261</v>
      </c>
      <c r="CW2" s="222" t="s">
        <v>299</v>
      </c>
      <c r="CX2" s="222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 ca="1">"Jahr "&amp;'1 Pers.Ausgaben|Pers Expenses'!C4</f>
        <v>Jahr 2017</v>
      </c>
      <c r="DL2" s="220"/>
      <c r="DM2" s="220"/>
      <c r="DN2" s="220"/>
      <c r="DO2" s="220"/>
      <c r="DP2" s="220"/>
      <c r="DQ2" s="220"/>
      <c r="DR2" s="220"/>
      <c r="DS2" s="220"/>
      <c r="DT2" s="220"/>
      <c r="DU2" s="220"/>
      <c r="DV2" s="220"/>
      <c r="DW2" s="220"/>
      <c r="DX2" s="220"/>
      <c r="DY2" s="220"/>
      <c r="DZ2" s="220"/>
      <c r="EA2" s="220"/>
    </row>
    <row r="3" spans="1:131" s="55" customFormat="1" ht="24.75" x14ac:dyDescent="0.2">
      <c r="C3" s="644" t="str">
        <f ca="1">IF($C$2="English",CW3,CV3)</f>
        <v>5a Ermittlung des Gewinnes oder Verlustes für die Monate des Startjahres 2017 in EURO</v>
      </c>
      <c r="T3" s="224" t="s">
        <v>229</v>
      </c>
      <c r="CV3" s="60" t="str">
        <f ca="1">"5a Ermittlung des Gewinnes oder Verlustes für die Monate des Startjahres " &amp; '1 Pers.Ausgaben|Pers Expenses'!$C$4&amp;" in EURO"</f>
        <v>5a Ermittlung des Gewinnes oder Verlustes für die Monate des Startjahres 2017 in EURO</v>
      </c>
      <c r="CW3" s="222" t="str">
        <f ca="1">"5a Determination of profit or loss for the months of the founding year " &amp; '1 Pers.Ausgaben|Pers Expenses'!$C$4&amp;" in EURO"</f>
        <v>5a Determination of profit or loss for the months of the founding year 2017 in EURO</v>
      </c>
      <c r="CX3" s="58"/>
      <c r="CY3" s="39" t="s">
        <v>73</v>
      </c>
      <c r="CZ3" s="39" t="s">
        <v>74</v>
      </c>
      <c r="DA3" s="39" t="s">
        <v>306</v>
      </c>
      <c r="DB3" s="39" t="s">
        <v>76</v>
      </c>
      <c r="DC3" s="39" t="s">
        <v>303</v>
      </c>
      <c r="DD3" s="39" t="s">
        <v>304</v>
      </c>
      <c r="DE3" s="39" t="s">
        <v>305</v>
      </c>
      <c r="DF3" s="39" t="s">
        <v>79</v>
      </c>
      <c r="DG3" s="39" t="s">
        <v>307</v>
      </c>
      <c r="DH3" s="39" t="s">
        <v>308</v>
      </c>
      <c r="DI3" s="39" t="s">
        <v>82</v>
      </c>
      <c r="DJ3" s="39" t="s">
        <v>309</v>
      </c>
      <c r="DK3" s="39" t="str">
        <f ca="1">"Year "&amp;'1 Pers.Ausgaben|Pers Expenses'!C4</f>
        <v>Year 2017</v>
      </c>
      <c r="DL3" s="96"/>
      <c r="DM3" s="96"/>
      <c r="DN3" s="96"/>
      <c r="DO3" s="96"/>
      <c r="DP3" s="96"/>
      <c r="DQ3" s="96"/>
      <c r="DR3" s="96"/>
      <c r="DS3" s="96"/>
      <c r="DT3" s="96"/>
      <c r="DU3" s="96"/>
      <c r="DV3" s="96"/>
      <c r="DW3" s="96"/>
      <c r="DX3" s="96"/>
      <c r="DY3" s="96"/>
      <c r="DZ3" s="96"/>
      <c r="EA3" s="96"/>
    </row>
    <row r="4" spans="1:131" s="219" customFormat="1" x14ac:dyDescent="0.2">
      <c r="A4" s="225"/>
      <c r="B4" s="225"/>
      <c r="C4" s="421">
        <f>'Deckblatt Gruender|Data Founder'!$M$1</f>
        <v>0</v>
      </c>
      <c r="P4" s="221"/>
      <c r="T4" s="36" t="s">
        <v>310</v>
      </c>
      <c r="CV4" s="223"/>
      <c r="CX4" s="222"/>
      <c r="CY4" s="222"/>
      <c r="CZ4" s="222"/>
      <c r="DL4" s="220"/>
      <c r="DM4" s="220"/>
      <c r="DN4" s="220"/>
      <c r="DO4" s="220"/>
      <c r="DP4" s="220"/>
      <c r="DQ4" s="220"/>
      <c r="DR4" s="220"/>
      <c r="DS4" s="220"/>
      <c r="DT4" s="220"/>
      <c r="DU4" s="220"/>
      <c r="DV4" s="220"/>
      <c r="DW4" s="220"/>
      <c r="DX4" s="220"/>
      <c r="DY4" s="220"/>
      <c r="DZ4" s="220"/>
      <c r="EA4" s="220"/>
    </row>
    <row r="5" spans="1:131" s="219" customFormat="1" ht="15" thickBot="1" x14ac:dyDescent="0.25">
      <c r="A5" s="225"/>
      <c r="B5" s="225"/>
      <c r="P5" s="221"/>
      <c r="T5" s="46"/>
      <c r="CV5" s="223"/>
      <c r="CW5" s="222"/>
      <c r="CX5" s="222"/>
      <c r="CY5" s="222"/>
      <c r="CZ5" s="222"/>
      <c r="DL5" s="220"/>
      <c r="DM5" s="220"/>
      <c r="DN5" s="220"/>
      <c r="DO5" s="220"/>
      <c r="DP5" s="220"/>
      <c r="DQ5" s="220"/>
      <c r="DR5" s="220"/>
      <c r="DS5" s="220"/>
      <c r="DT5" s="220"/>
      <c r="DU5" s="220"/>
      <c r="DV5" s="220"/>
      <c r="DW5" s="220"/>
      <c r="DX5" s="220"/>
      <c r="DY5" s="220"/>
      <c r="DZ5" s="220"/>
      <c r="EA5" s="220"/>
    </row>
    <row r="6" spans="1:131" ht="15" thickBot="1" x14ac:dyDescent="0.25">
      <c r="C6" s="226"/>
      <c r="D6" s="227" t="str">
        <f>IF($C$2="English",CY3,CY2)</f>
        <v>Jan.</v>
      </c>
      <c r="E6" s="227" t="str">
        <f t="shared" ref="E6:P6" si="0">IF($C$2="English",CZ3,CZ2)</f>
        <v>Febr.</v>
      </c>
      <c r="F6" s="227" t="str">
        <f t="shared" si="0"/>
        <v>März</v>
      </c>
      <c r="G6" s="227" t="str">
        <f t="shared" si="0"/>
        <v>April</v>
      </c>
      <c r="H6" s="227" t="str">
        <f t="shared" si="0"/>
        <v>Mai</v>
      </c>
      <c r="I6" s="227" t="str">
        <f t="shared" si="0"/>
        <v>Juni</v>
      </c>
      <c r="J6" s="227" t="str">
        <f t="shared" si="0"/>
        <v>Juli</v>
      </c>
      <c r="K6" s="227" t="str">
        <f t="shared" si="0"/>
        <v>Aug.</v>
      </c>
      <c r="L6" s="227" t="str">
        <f t="shared" si="0"/>
        <v>Sept.</v>
      </c>
      <c r="M6" s="227" t="str">
        <f t="shared" si="0"/>
        <v>Okt.</v>
      </c>
      <c r="N6" s="227" t="str">
        <f t="shared" si="0"/>
        <v>Nov.</v>
      </c>
      <c r="O6" s="227" t="str">
        <f t="shared" si="0"/>
        <v>Dez.</v>
      </c>
      <c r="P6" s="228" t="str">
        <f t="shared" ca="1" si="0"/>
        <v>Jahr 2017</v>
      </c>
      <c r="S6" s="54" t="str">
        <f>IF(C2="English",T4,T3)</f>
        <v>Aufgaben und/oder Kommentar</v>
      </c>
      <c r="CV6" s="893"/>
    </row>
    <row r="7" spans="1:131" x14ac:dyDescent="0.2">
      <c r="A7" s="229"/>
      <c r="B7" s="229"/>
      <c r="C7" s="230"/>
      <c r="D7" s="1184"/>
      <c r="E7" s="1184"/>
      <c r="F7" s="1184"/>
      <c r="G7" s="1184"/>
      <c r="H7" s="1184"/>
      <c r="I7" s="1184"/>
      <c r="J7" s="1184"/>
      <c r="K7" s="1184"/>
      <c r="L7" s="1184"/>
      <c r="M7" s="1184"/>
      <c r="N7" s="1184"/>
      <c r="O7" s="1184"/>
      <c r="P7" s="1185"/>
      <c r="CV7" s="233"/>
      <c r="CW7" s="233"/>
    </row>
    <row r="8" spans="1:131" x14ac:dyDescent="0.2">
      <c r="C8" s="234" t="str">
        <f>IF($C$2="English",CW8,CV8)</f>
        <v>Umsätze aus Tab. 2a (ohne MwSt)</v>
      </c>
      <c r="D8" s="1184">
        <f>IF(OR($C$4=0,$C$4=3,$C$4=1),'2 Umsatz|Sales'!E34,'2 Umsatz|Sales'!E34-'2 Umsatz|Sales'!E32-'2 Umsatz|Sales'!E33)</f>
        <v>0</v>
      </c>
      <c r="E8" s="1184">
        <f>IF(OR($C$4=0,$C$4=3,$C$4=1),'2 Umsatz|Sales'!F34,'2 Umsatz|Sales'!F34-'2 Umsatz|Sales'!F32-'2 Umsatz|Sales'!F33)</f>
        <v>0</v>
      </c>
      <c r="F8" s="1184">
        <f>IF(OR($C$4=0,$C$4=3,$C$4=1),'2 Umsatz|Sales'!G34,'2 Umsatz|Sales'!G34-'2 Umsatz|Sales'!G32-'2 Umsatz|Sales'!G33)</f>
        <v>0</v>
      </c>
      <c r="G8" s="1184">
        <f>IF(OR($C$4=0,$C$4=3,$C$4=1),'2 Umsatz|Sales'!H34,'2 Umsatz|Sales'!H34-'2 Umsatz|Sales'!H32-'2 Umsatz|Sales'!H33)</f>
        <v>0</v>
      </c>
      <c r="H8" s="1184">
        <f>IF(OR($C$4=0,$C$4=3,$C$4=1),'2 Umsatz|Sales'!I34,'2 Umsatz|Sales'!I34-'2 Umsatz|Sales'!I32-'2 Umsatz|Sales'!I33)</f>
        <v>0</v>
      </c>
      <c r="I8" s="1184">
        <f>IF(OR($C$4=0,$C$4=3,$C$4=1),'2 Umsatz|Sales'!J34,'2 Umsatz|Sales'!J34-'2 Umsatz|Sales'!J32-'2 Umsatz|Sales'!J33)</f>
        <v>0</v>
      </c>
      <c r="J8" s="1184">
        <f>IF(OR($C$4=0,$C$4=3,$C$4=1),'2 Umsatz|Sales'!K34,'2 Umsatz|Sales'!K34-'2 Umsatz|Sales'!K32-'2 Umsatz|Sales'!K33)</f>
        <v>0</v>
      </c>
      <c r="K8" s="1184">
        <f>IF(OR($C$4=0,$C$4=3,$C$4=1),'2 Umsatz|Sales'!L34,'2 Umsatz|Sales'!L34-'2 Umsatz|Sales'!L32-'2 Umsatz|Sales'!L33)</f>
        <v>0</v>
      </c>
      <c r="L8" s="1184">
        <f>IF(OR($C$4=0,$C$4=3,$C$4=1),'2 Umsatz|Sales'!M34,'2 Umsatz|Sales'!M34-'2 Umsatz|Sales'!M32-'2 Umsatz|Sales'!M33)</f>
        <v>0</v>
      </c>
      <c r="M8" s="1184">
        <f>IF(OR($C$4=0,$C$4=3,$C$4=1),'2 Umsatz|Sales'!N34,'2 Umsatz|Sales'!N34-'2 Umsatz|Sales'!N32-'2 Umsatz|Sales'!N33)</f>
        <v>0</v>
      </c>
      <c r="N8" s="1184">
        <f>IF(OR($C$4=0,$C$4=3,$C$4=1),'2 Umsatz|Sales'!O34,'2 Umsatz|Sales'!O34-'2 Umsatz|Sales'!O32-'2 Umsatz|Sales'!O33)</f>
        <v>0</v>
      </c>
      <c r="O8" s="1184">
        <f>IF(OR($C$4=0,$C$4=3,$C$4=1),'2 Umsatz|Sales'!P34,'2 Umsatz|Sales'!P34-'2 Umsatz|Sales'!P32-'2 Umsatz|Sales'!P33)</f>
        <v>0</v>
      </c>
      <c r="P8" s="1185">
        <f>SUM(D8:O8)</f>
        <v>0</v>
      </c>
      <c r="CV8" s="233" t="str">
        <f>IF($C$4&lt;&gt;1,"Umsätze aus Tab. 2a (ohne MwSt)","Umsätze aus Tab. 2a (mit MwSt)")</f>
        <v>Umsätze aus Tab. 2a (ohne MwSt)</v>
      </c>
      <c r="CW8" s="233" t="str">
        <f>IF($C$4&lt;&gt;1,"Total sales from tab. 2a (w/o VAT)","Total sales from tab. 2a (incl. VAT)")</f>
        <v>Total sales from tab. 2a (w/o VAT)</v>
      </c>
    </row>
    <row r="9" spans="1:131" x14ac:dyDescent="0.2">
      <c r="C9" s="235"/>
      <c r="D9" s="1184"/>
      <c r="E9" s="1184"/>
      <c r="F9" s="1184"/>
      <c r="G9" s="1184"/>
      <c r="H9" s="1184"/>
      <c r="I9" s="1184"/>
      <c r="J9" s="1184"/>
      <c r="K9" s="1184"/>
      <c r="L9" s="1184"/>
      <c r="M9" s="1184"/>
      <c r="N9" s="1184"/>
      <c r="O9" s="1184"/>
      <c r="P9" s="1185"/>
      <c r="CV9" s="233"/>
    </row>
    <row r="10" spans="1:131" x14ac:dyDescent="0.2">
      <c r="C10" s="236" t="str">
        <f>IF($C$2="English",CW10,CV10)</f>
        <v>abzügl. Summe Betriebskosten II aus Tab. 4a (ohne MwSt)</v>
      </c>
      <c r="D10" s="1186">
        <f>IF(OR($C$4=0,$C$4=3,$C$4=1),'4 Betriebskosten|Operation Ex'!D69,'4 Betriebskosten|Operation Ex'!D69-'4 Betriebskosten|Operation Ex'!D75)</f>
        <v>0</v>
      </c>
      <c r="E10" s="1186">
        <f>IF(OR($C$4=0,$C$4=3,$C$4=1),'4 Betriebskosten|Operation Ex'!E69,'4 Betriebskosten|Operation Ex'!E69-'4 Betriebskosten|Operation Ex'!E75)</f>
        <v>0</v>
      </c>
      <c r="F10" s="1186">
        <f>IF(OR($C$4=0,$C$4=3,$C$4=1),'4 Betriebskosten|Operation Ex'!F69,'4 Betriebskosten|Operation Ex'!F69-'4 Betriebskosten|Operation Ex'!F75)</f>
        <v>0</v>
      </c>
      <c r="G10" s="1186">
        <f>IF(OR($C$4=0,$C$4=3,$C$4=1),'4 Betriebskosten|Operation Ex'!G69,'4 Betriebskosten|Operation Ex'!G69-'4 Betriebskosten|Operation Ex'!G75)</f>
        <v>0</v>
      </c>
      <c r="H10" s="1186">
        <f>IF(OR($C$4=0,$C$4=3,$C$4=1),'4 Betriebskosten|Operation Ex'!H69,'4 Betriebskosten|Operation Ex'!H69-'4 Betriebskosten|Operation Ex'!H75)</f>
        <v>0</v>
      </c>
      <c r="I10" s="1186">
        <f>IF(OR($C$4=0,$C$4=3,$C$4=1),'4 Betriebskosten|Operation Ex'!I69,'4 Betriebskosten|Operation Ex'!I69-'4 Betriebskosten|Operation Ex'!I75)</f>
        <v>0</v>
      </c>
      <c r="J10" s="1186">
        <f>IF(OR($C$4=0,$C$4=3,$C$4=1),'4 Betriebskosten|Operation Ex'!J69,'4 Betriebskosten|Operation Ex'!J69-'4 Betriebskosten|Operation Ex'!J75)</f>
        <v>0</v>
      </c>
      <c r="K10" s="1186">
        <f>IF(OR($C$4=0,$C$4=3,$C$4=1),'4 Betriebskosten|Operation Ex'!K69,'4 Betriebskosten|Operation Ex'!K69-'4 Betriebskosten|Operation Ex'!K75)</f>
        <v>0</v>
      </c>
      <c r="L10" s="1186">
        <f>IF(OR($C$4=0,$C$4=3,$C$4=1),'4 Betriebskosten|Operation Ex'!L69,'4 Betriebskosten|Operation Ex'!L69-'4 Betriebskosten|Operation Ex'!L75)</f>
        <v>0</v>
      </c>
      <c r="M10" s="1186">
        <f>IF(OR($C$4=0,$C$4=3,$C$4=1),'4 Betriebskosten|Operation Ex'!M69,'4 Betriebskosten|Operation Ex'!M69-'4 Betriebskosten|Operation Ex'!M75)</f>
        <v>0</v>
      </c>
      <c r="N10" s="1186">
        <f>IF(OR($C$4=0,$C$4=3,$C$4=1),'4 Betriebskosten|Operation Ex'!N69,'4 Betriebskosten|Operation Ex'!N69-'4 Betriebskosten|Operation Ex'!N75)</f>
        <v>0</v>
      </c>
      <c r="O10" s="1186">
        <f>IF(OR($C$4=0,$C$4=3,$C$4=1),'4 Betriebskosten|Operation Ex'!O69,'4 Betriebskosten|Operation Ex'!O69-'4 Betriebskosten|Operation Ex'!O75)</f>
        <v>0</v>
      </c>
      <c r="P10" s="1185">
        <f>SUM(D10:O10)</f>
        <v>0</v>
      </c>
      <c r="CV10" s="233" t="str">
        <f>IF($C$4&lt;&gt;1,"abzügl. Summe Betriebskosten II aus Tab. 4a (ohne MwSt)","abzügl. Summe Betriebskosten II aus Tab. 4a (mit MwSt)")</f>
        <v>abzügl. Summe Betriebskosten II aus Tab. 4a (ohne MwSt)</v>
      </c>
      <c r="CW10" s="222" t="str">
        <f>IF($C$4&lt;&gt;1,"l(-) sum operating costs II from tab.4a (w/o VAT)","(-) sum operating costs II from tab.4a (incl. VAT)")</f>
        <v>l(-) sum operating costs II from tab.4a (w/o VAT)</v>
      </c>
    </row>
    <row r="11" spans="1:131" ht="15" thickBot="1" x14ac:dyDescent="0.25">
      <c r="C11" s="235"/>
      <c r="D11" s="1184"/>
      <c r="E11" s="1184"/>
      <c r="F11" s="1184"/>
      <c r="G11" s="1184"/>
      <c r="H11" s="1184"/>
      <c r="I11" s="1184"/>
      <c r="J11" s="1184"/>
      <c r="K11" s="1184"/>
      <c r="L11" s="1184"/>
      <c r="M11" s="1184"/>
      <c r="N11" s="1184"/>
      <c r="O11" s="1184"/>
      <c r="P11" s="1185"/>
    </row>
    <row r="12" spans="1:131" ht="15.75" thickTop="1" thickBot="1" x14ac:dyDescent="0.25">
      <c r="C12" s="237" t="str">
        <f>IF($C$2="English",CW12,CV12)</f>
        <v>Vorläufiges Ergebnis / Gewinn vor St. oder Verlust</v>
      </c>
      <c r="D12" s="1187">
        <f>D8-D10</f>
        <v>0</v>
      </c>
      <c r="E12" s="1187">
        <f t="shared" ref="E12:O12" si="1">E8-E10</f>
        <v>0</v>
      </c>
      <c r="F12" s="1187">
        <f t="shared" si="1"/>
        <v>0</v>
      </c>
      <c r="G12" s="1187">
        <f t="shared" si="1"/>
        <v>0</v>
      </c>
      <c r="H12" s="1187">
        <f t="shared" si="1"/>
        <v>0</v>
      </c>
      <c r="I12" s="1187">
        <f t="shared" si="1"/>
        <v>0</v>
      </c>
      <c r="J12" s="1187">
        <f t="shared" si="1"/>
        <v>0</v>
      </c>
      <c r="K12" s="1187">
        <f t="shared" si="1"/>
        <v>0</v>
      </c>
      <c r="L12" s="1187">
        <f t="shared" si="1"/>
        <v>0</v>
      </c>
      <c r="M12" s="1187">
        <f t="shared" si="1"/>
        <v>0</v>
      </c>
      <c r="N12" s="1187">
        <f t="shared" si="1"/>
        <v>0</v>
      </c>
      <c r="O12" s="1187">
        <f t="shared" si="1"/>
        <v>0</v>
      </c>
      <c r="P12" s="1188">
        <f>IF(P8="","",P8-P10)</f>
        <v>0</v>
      </c>
      <c r="CV12" s="238" t="s">
        <v>170</v>
      </c>
      <c r="CW12" s="717" t="s">
        <v>339</v>
      </c>
    </row>
    <row r="13" spans="1:131" ht="15" thickBot="1" x14ac:dyDescent="0.25">
      <c r="C13" s="239" t="str">
        <f>IF($C$2="English",CW13,CV13)</f>
        <v>Akkumuliert: Vorläufiges Ergebnis / Gewinn vor St. oder Verlust</v>
      </c>
      <c r="D13" s="1189">
        <f>D12</f>
        <v>0</v>
      </c>
      <c r="E13" s="1189">
        <f>E12+D13</f>
        <v>0</v>
      </c>
      <c r="F13" s="1189">
        <f t="shared" ref="F13:O13" si="2">F12+E13</f>
        <v>0</v>
      </c>
      <c r="G13" s="1189">
        <f t="shared" si="2"/>
        <v>0</v>
      </c>
      <c r="H13" s="1189">
        <f t="shared" si="2"/>
        <v>0</v>
      </c>
      <c r="I13" s="1189">
        <f t="shared" si="2"/>
        <v>0</v>
      </c>
      <c r="J13" s="1189">
        <f t="shared" si="2"/>
        <v>0</v>
      </c>
      <c r="K13" s="1189">
        <f t="shared" si="2"/>
        <v>0</v>
      </c>
      <c r="L13" s="1189">
        <f t="shared" si="2"/>
        <v>0</v>
      </c>
      <c r="M13" s="1189">
        <f t="shared" si="2"/>
        <v>0</v>
      </c>
      <c r="N13" s="1189">
        <f t="shared" si="2"/>
        <v>0</v>
      </c>
      <c r="O13" s="1189">
        <f t="shared" si="2"/>
        <v>0</v>
      </c>
      <c r="P13" s="1196"/>
      <c r="CV13" s="238" t="s">
        <v>169</v>
      </c>
      <c r="CW13" s="717" t="s">
        <v>341</v>
      </c>
    </row>
    <row r="14" spans="1:131" s="240" customFormat="1" x14ac:dyDescent="0.2">
      <c r="C14" s="953"/>
      <c r="D14" s="241" t="str">
        <f t="shared" ref="D14:I14" si="3">IF(D12&gt;0,D12,"")</f>
        <v/>
      </c>
      <c r="E14" s="241" t="str">
        <f t="shared" si="3"/>
        <v/>
      </c>
      <c r="F14" s="241" t="str">
        <f t="shared" si="3"/>
        <v/>
      </c>
      <c r="G14" s="241" t="str">
        <f t="shared" si="3"/>
        <v/>
      </c>
      <c r="H14" s="241" t="str">
        <f t="shared" si="3"/>
        <v/>
      </c>
      <c r="I14" s="241" t="str">
        <f t="shared" si="3"/>
        <v/>
      </c>
      <c r="J14" s="241" t="str">
        <f t="shared" ref="J14:O14" si="4">IF(J12&gt;0,J12,"")</f>
        <v/>
      </c>
      <c r="K14" s="241" t="str">
        <f t="shared" si="4"/>
        <v/>
      </c>
      <c r="L14" s="241" t="str">
        <f t="shared" si="4"/>
        <v/>
      </c>
      <c r="M14" s="241" t="str">
        <f t="shared" si="4"/>
        <v/>
      </c>
      <c r="N14" s="241" t="str">
        <f t="shared" si="4"/>
        <v/>
      </c>
      <c r="O14" s="241" t="str">
        <f t="shared" si="4"/>
        <v/>
      </c>
      <c r="P14" s="242"/>
      <c r="S14" s="243"/>
      <c r="CV14" s="894"/>
      <c r="CW14" s="895"/>
      <c r="CX14" s="895"/>
      <c r="CY14" s="895"/>
      <c r="CZ14" s="895"/>
      <c r="DA14" s="953"/>
      <c r="DB14" s="953"/>
      <c r="DC14" s="953"/>
      <c r="DD14" s="953"/>
      <c r="DE14" s="953"/>
      <c r="DF14" s="953"/>
      <c r="DG14" s="953"/>
      <c r="DH14" s="953"/>
      <c r="DI14" s="953"/>
      <c r="DJ14" s="953"/>
      <c r="DK14" s="953"/>
    </row>
    <row r="15" spans="1:131" s="240" customFormat="1" x14ac:dyDescent="0.2">
      <c r="C15" s="240" t="str">
        <f>IF(C2="English",CW16,CV16)</f>
        <v>Monatswerte</v>
      </c>
      <c r="D15" s="241">
        <f t="shared" ref="D15:O15" si="5">IF(D12&lt;=0,D12,"")</f>
        <v>0</v>
      </c>
      <c r="E15" s="241">
        <f t="shared" si="5"/>
        <v>0</v>
      </c>
      <c r="F15" s="241">
        <f t="shared" si="5"/>
        <v>0</v>
      </c>
      <c r="G15" s="241">
        <f t="shared" si="5"/>
        <v>0</v>
      </c>
      <c r="H15" s="241">
        <f t="shared" si="5"/>
        <v>0</v>
      </c>
      <c r="I15" s="241">
        <f t="shared" si="5"/>
        <v>0</v>
      </c>
      <c r="J15" s="241">
        <f t="shared" si="5"/>
        <v>0</v>
      </c>
      <c r="K15" s="241">
        <f t="shared" si="5"/>
        <v>0</v>
      </c>
      <c r="L15" s="241">
        <f t="shared" si="5"/>
        <v>0</v>
      </c>
      <c r="M15" s="241">
        <f t="shared" si="5"/>
        <v>0</v>
      </c>
      <c r="N15" s="241">
        <f t="shared" si="5"/>
        <v>0</v>
      </c>
      <c r="O15" s="241">
        <f t="shared" si="5"/>
        <v>0</v>
      </c>
      <c r="P15" s="242"/>
      <c r="S15" s="243"/>
      <c r="CV15" s="894" t="s">
        <v>417</v>
      </c>
      <c r="CW15" s="895" t="s">
        <v>664</v>
      </c>
      <c r="CX15" s="244"/>
      <c r="CY15" s="244"/>
      <c r="CZ15" s="244"/>
    </row>
    <row r="16" spans="1:131" s="953" customFormat="1" ht="22.5" x14ac:dyDescent="0.3">
      <c r="C16" s="240" t="str">
        <f>IF(C2="English",CW17,CV17)</f>
        <v>akkumuliert</v>
      </c>
      <c r="G16" s="1081" t="str">
        <f>IF(C2="English",CW15,CV15)</f>
        <v>Gewinn/Verlust vor Steuer</v>
      </c>
      <c r="S16" s="1079"/>
      <c r="CV16" s="953" t="s">
        <v>545</v>
      </c>
      <c r="CW16" s="953" t="s">
        <v>582</v>
      </c>
      <c r="CX16" s="895"/>
      <c r="CY16" s="895"/>
      <c r="CZ16" s="895"/>
    </row>
    <row r="17" spans="1:135" s="953" customFormat="1" x14ac:dyDescent="0.2">
      <c r="C17" s="953" t="s">
        <v>173</v>
      </c>
      <c r="D17" s="1077"/>
      <c r="E17" s="1077"/>
      <c r="F17" s="1077"/>
      <c r="J17" s="1077"/>
      <c r="K17" s="1077"/>
      <c r="L17" s="1077"/>
      <c r="M17" s="1077"/>
      <c r="N17" s="1077"/>
      <c r="O17" s="1077"/>
      <c r="P17" s="1078"/>
      <c r="S17" s="1079"/>
      <c r="CV17" s="894" t="s">
        <v>544</v>
      </c>
      <c r="CW17" s="895" t="s">
        <v>583</v>
      </c>
      <c r="CX17" s="895"/>
      <c r="CY17" s="895"/>
      <c r="CZ17" s="895"/>
    </row>
    <row r="18" spans="1:135" s="240" customFormat="1" x14ac:dyDescent="0.2">
      <c r="C18" s="953"/>
      <c r="D18" s="241"/>
      <c r="E18" s="241"/>
      <c r="F18" s="241"/>
      <c r="G18" s="241"/>
      <c r="H18" s="241"/>
      <c r="I18" s="241"/>
      <c r="J18" s="241"/>
      <c r="K18" s="241"/>
      <c r="L18" s="241"/>
      <c r="M18" s="241"/>
      <c r="N18" s="241"/>
      <c r="O18" s="241"/>
      <c r="P18" s="242"/>
      <c r="S18" s="243"/>
      <c r="CV18" s="894"/>
      <c r="CW18" s="895"/>
      <c r="CX18" s="895"/>
      <c r="CY18" s="895"/>
      <c r="CZ18" s="895"/>
      <c r="DA18" s="953"/>
      <c r="DB18" s="953"/>
      <c r="DC18" s="953"/>
      <c r="DD18" s="953"/>
      <c r="DE18" s="953"/>
      <c r="DF18" s="953"/>
      <c r="DG18" s="953"/>
      <c r="DH18" s="953"/>
      <c r="DI18" s="953"/>
      <c r="DJ18" s="953"/>
      <c r="DK18" s="953"/>
    </row>
    <row r="19" spans="1:135" s="240" customFormat="1" x14ac:dyDescent="0.2">
      <c r="D19" s="241"/>
      <c r="E19" s="241"/>
      <c r="F19" s="241"/>
      <c r="G19" s="241"/>
      <c r="H19" s="241"/>
      <c r="I19" s="241"/>
      <c r="J19" s="241"/>
      <c r="K19" s="241"/>
      <c r="L19" s="241"/>
      <c r="M19" s="241"/>
      <c r="N19" s="241"/>
      <c r="O19" s="241"/>
      <c r="P19" s="242"/>
      <c r="S19" s="243"/>
      <c r="CV19" s="894"/>
      <c r="CW19" s="895"/>
      <c r="CX19" s="895"/>
      <c r="CY19" s="895"/>
      <c r="CZ19" s="895"/>
      <c r="DA19" s="953"/>
      <c r="DB19" s="953"/>
      <c r="DC19" s="953"/>
      <c r="DD19" s="953"/>
      <c r="DE19" s="953"/>
      <c r="DF19" s="953"/>
      <c r="DG19" s="953"/>
      <c r="DH19" s="953"/>
      <c r="DI19" s="953"/>
      <c r="DJ19" s="953"/>
      <c r="DK19" s="953"/>
    </row>
    <row r="20" spans="1:135" s="240" customFormat="1" x14ac:dyDescent="0.2">
      <c r="D20" s="241"/>
      <c r="E20" s="241"/>
      <c r="F20" s="241"/>
      <c r="G20" s="241"/>
      <c r="H20" s="241"/>
      <c r="I20" s="241"/>
      <c r="J20" s="241"/>
      <c r="K20" s="241"/>
      <c r="L20" s="241"/>
      <c r="M20" s="241"/>
      <c r="N20" s="241"/>
      <c r="O20" s="241"/>
      <c r="P20" s="242"/>
      <c r="S20" s="243"/>
      <c r="CV20" s="894"/>
      <c r="CW20" s="895"/>
      <c r="CX20" s="895"/>
      <c r="CY20" s="895"/>
      <c r="CZ20" s="895"/>
      <c r="DA20" s="953"/>
      <c r="DB20" s="953"/>
      <c r="DC20" s="953"/>
      <c r="DD20" s="953"/>
      <c r="DE20" s="953"/>
      <c r="DF20" s="953"/>
      <c r="DG20" s="953"/>
      <c r="DH20" s="953"/>
      <c r="DI20" s="953"/>
      <c r="DJ20" s="953"/>
      <c r="DK20" s="953"/>
    </row>
    <row r="21" spans="1:135" s="240" customFormat="1" x14ac:dyDescent="0.2">
      <c r="D21" s="241"/>
      <c r="E21" s="241"/>
      <c r="F21" s="241"/>
      <c r="G21" s="241"/>
      <c r="H21" s="241"/>
      <c r="I21" s="241"/>
      <c r="J21" s="241"/>
      <c r="K21" s="241"/>
      <c r="L21" s="241"/>
      <c r="M21" s="241"/>
      <c r="N21" s="241"/>
      <c r="O21" s="241"/>
      <c r="P21" s="242"/>
      <c r="S21" s="243"/>
      <c r="CV21" s="894"/>
      <c r="CW21" s="895"/>
      <c r="CX21" s="895"/>
      <c r="CY21" s="895"/>
      <c r="CZ21" s="895"/>
      <c r="DA21" s="953"/>
      <c r="DB21" s="953"/>
      <c r="DC21" s="953"/>
      <c r="DD21" s="953"/>
      <c r="DE21" s="953"/>
      <c r="DF21" s="953"/>
      <c r="DG21" s="953"/>
      <c r="DH21" s="953"/>
      <c r="DI21" s="953"/>
      <c r="DJ21" s="953"/>
      <c r="DK21" s="953"/>
    </row>
    <row r="22" spans="1:135" s="240" customFormat="1" x14ac:dyDescent="0.2">
      <c r="D22" s="241"/>
      <c r="E22" s="241"/>
      <c r="F22" s="241"/>
      <c r="G22" s="241"/>
      <c r="H22" s="241"/>
      <c r="I22" s="241"/>
      <c r="J22" s="241"/>
      <c r="K22" s="241"/>
      <c r="L22" s="241"/>
      <c r="M22" s="241"/>
      <c r="N22" s="241"/>
      <c r="O22" s="241"/>
      <c r="P22" s="242"/>
      <c r="S22" s="243"/>
      <c r="CV22" s="894"/>
      <c r="CW22" s="895"/>
      <c r="CX22" s="895"/>
      <c r="CY22" s="895"/>
      <c r="CZ22" s="895"/>
      <c r="DA22" s="953"/>
      <c r="DB22" s="953"/>
      <c r="DC22" s="953"/>
      <c r="DD22" s="953"/>
      <c r="DE22" s="953"/>
      <c r="DF22" s="953"/>
      <c r="DG22" s="953"/>
      <c r="DH22" s="953"/>
      <c r="DI22" s="953"/>
      <c r="DJ22" s="953"/>
      <c r="DK22" s="953"/>
    </row>
    <row r="23" spans="1:135" s="240" customFormat="1" x14ac:dyDescent="0.2">
      <c r="D23" s="241"/>
      <c r="E23" s="241"/>
      <c r="F23" s="241"/>
      <c r="G23" s="241"/>
      <c r="H23" s="241"/>
      <c r="I23" s="241"/>
      <c r="J23" s="241"/>
      <c r="K23" s="241"/>
      <c r="L23" s="241"/>
      <c r="M23" s="241"/>
      <c r="N23" s="241"/>
      <c r="O23" s="241"/>
      <c r="P23" s="242"/>
      <c r="S23" s="243"/>
      <c r="CV23" s="894"/>
      <c r="CW23" s="895"/>
      <c r="CX23" s="895"/>
      <c r="CY23" s="895"/>
      <c r="CZ23" s="895"/>
      <c r="DA23" s="953"/>
      <c r="DB23" s="953"/>
      <c r="DC23" s="953"/>
      <c r="DD23" s="953"/>
      <c r="DE23" s="953"/>
      <c r="DF23" s="953"/>
      <c r="DG23" s="953"/>
      <c r="DH23" s="953"/>
      <c r="DI23" s="953"/>
      <c r="DJ23" s="953"/>
      <c r="DK23" s="953"/>
    </row>
    <row r="24" spans="1:135" s="240" customFormat="1" x14ac:dyDescent="0.2">
      <c r="D24" s="241"/>
      <c r="E24" s="241"/>
      <c r="F24" s="241"/>
      <c r="G24" s="241"/>
      <c r="H24" s="241"/>
      <c r="I24" s="241"/>
      <c r="J24" s="241"/>
      <c r="K24" s="241"/>
      <c r="L24" s="241"/>
      <c r="M24" s="241"/>
      <c r="N24" s="241"/>
      <c r="O24" s="241"/>
      <c r="P24" s="242"/>
      <c r="S24" s="243"/>
      <c r="CV24" s="894"/>
      <c r="CW24" s="895"/>
      <c r="CX24" s="895"/>
      <c r="CY24" s="895"/>
      <c r="CZ24" s="895"/>
      <c r="DA24" s="953"/>
      <c r="DB24" s="953"/>
      <c r="DC24" s="953"/>
      <c r="DD24" s="953"/>
      <c r="DE24" s="953"/>
      <c r="DF24" s="953"/>
      <c r="DG24" s="953"/>
      <c r="DH24" s="953"/>
      <c r="DI24" s="953"/>
      <c r="DJ24" s="953"/>
      <c r="DK24" s="953"/>
    </row>
    <row r="25" spans="1:135" s="240" customFormat="1" x14ac:dyDescent="0.2">
      <c r="D25" s="241"/>
      <c r="E25" s="241"/>
      <c r="F25" s="241"/>
      <c r="G25" s="241"/>
      <c r="H25" s="241"/>
      <c r="I25" s="241"/>
      <c r="J25" s="241"/>
      <c r="K25" s="241"/>
      <c r="L25" s="241"/>
      <c r="M25" s="241"/>
      <c r="N25" s="241"/>
      <c r="O25" s="241"/>
      <c r="P25" s="242"/>
      <c r="S25" s="243"/>
      <c r="CV25" s="894"/>
      <c r="CW25" s="895"/>
      <c r="CX25" s="895"/>
      <c r="CY25" s="895"/>
      <c r="CZ25" s="895"/>
      <c r="DA25" s="953"/>
      <c r="DB25" s="953"/>
      <c r="DC25" s="953"/>
      <c r="DD25" s="953"/>
      <c r="DE25" s="953"/>
      <c r="DF25" s="953"/>
      <c r="DG25" s="953"/>
      <c r="DH25" s="953"/>
      <c r="DI25" s="953"/>
      <c r="DJ25" s="953"/>
      <c r="DK25" s="953"/>
    </row>
    <row r="26" spans="1:135" s="240" customFormat="1" x14ac:dyDescent="0.2">
      <c r="D26" s="241"/>
      <c r="E26" s="241"/>
      <c r="F26" s="241"/>
      <c r="G26" s="241"/>
      <c r="H26" s="241"/>
      <c r="I26" s="241"/>
      <c r="J26" s="241"/>
      <c r="K26" s="241"/>
      <c r="L26" s="241"/>
      <c r="M26" s="241"/>
      <c r="N26" s="241"/>
      <c r="O26" s="241"/>
      <c r="P26" s="242"/>
      <c r="S26" s="243"/>
      <c r="CV26" s="894"/>
      <c r="CW26" s="895"/>
      <c r="CX26" s="895"/>
      <c r="CY26" s="895"/>
      <c r="CZ26" s="895"/>
      <c r="DA26" s="953"/>
      <c r="DB26" s="953"/>
      <c r="DC26" s="953"/>
      <c r="DD26" s="953"/>
      <c r="DE26" s="953"/>
      <c r="DF26" s="953"/>
      <c r="DG26" s="953"/>
      <c r="DH26" s="953"/>
      <c r="DI26" s="953"/>
      <c r="DJ26" s="953"/>
      <c r="DK26" s="953"/>
    </row>
    <row r="27" spans="1:135" s="240" customFormat="1" x14ac:dyDescent="0.2">
      <c r="D27" s="241"/>
      <c r="E27" s="241"/>
      <c r="F27" s="241"/>
      <c r="G27" s="241"/>
      <c r="H27" s="241"/>
      <c r="I27" s="241"/>
      <c r="J27" s="241"/>
      <c r="K27" s="241"/>
      <c r="L27" s="241"/>
      <c r="M27" s="241"/>
      <c r="N27" s="241"/>
      <c r="O27" s="241"/>
      <c r="P27" s="242"/>
      <c r="S27" s="243"/>
      <c r="CV27" s="894"/>
      <c r="CW27" s="895"/>
      <c r="CX27" s="895"/>
      <c r="CY27" s="895"/>
      <c r="CZ27" s="895"/>
      <c r="DA27" s="953"/>
      <c r="DB27" s="953"/>
      <c r="DC27" s="953"/>
      <c r="DD27" s="953"/>
      <c r="DE27" s="953"/>
      <c r="DF27" s="953"/>
      <c r="DG27" s="953"/>
      <c r="DH27" s="953"/>
      <c r="DI27" s="953"/>
      <c r="DJ27" s="953"/>
      <c r="DK27" s="953"/>
    </row>
    <row r="28" spans="1:135" s="240" customFormat="1" x14ac:dyDescent="0.2">
      <c r="D28" s="241"/>
      <c r="E28" s="241"/>
      <c r="F28" s="241"/>
      <c r="G28" s="241"/>
      <c r="H28" s="241"/>
      <c r="I28" s="241"/>
      <c r="J28" s="241"/>
      <c r="K28" s="241"/>
      <c r="L28" s="241"/>
      <c r="M28" s="241"/>
      <c r="N28" s="241"/>
      <c r="O28" s="241"/>
      <c r="P28" s="242"/>
      <c r="S28" s="243"/>
      <c r="CV28" s="894"/>
      <c r="CW28" s="895"/>
      <c r="CX28" s="895"/>
      <c r="CY28" s="895"/>
      <c r="CZ28" s="895"/>
      <c r="DA28" s="953"/>
      <c r="DB28" s="953"/>
      <c r="DC28" s="953"/>
      <c r="DD28" s="953"/>
      <c r="DE28" s="953"/>
      <c r="DF28" s="953"/>
      <c r="DG28" s="953"/>
      <c r="DH28" s="953"/>
      <c r="DI28" s="953"/>
      <c r="DJ28" s="953"/>
      <c r="DK28" s="953"/>
    </row>
    <row r="29" spans="1:135" s="219" customFormat="1" x14ac:dyDescent="0.2">
      <c r="E29" s="245"/>
      <c r="F29" s="246"/>
      <c r="O29" s="247"/>
      <c r="P29" s="248"/>
      <c r="S29" s="232"/>
      <c r="CV29" s="223"/>
      <c r="CW29" s="222"/>
      <c r="CX29" s="222"/>
      <c r="CY29" s="222"/>
      <c r="CZ29" s="222"/>
      <c r="DL29" s="220"/>
      <c r="DM29" s="220"/>
      <c r="DN29" s="220"/>
      <c r="DO29" s="220"/>
      <c r="DP29" s="220"/>
      <c r="DQ29" s="220"/>
      <c r="DR29" s="220"/>
      <c r="DS29" s="220"/>
      <c r="DT29" s="220"/>
      <c r="DU29" s="220"/>
      <c r="DV29" s="220"/>
      <c r="DW29" s="220"/>
      <c r="DX29" s="220"/>
      <c r="DY29" s="220"/>
      <c r="DZ29" s="220"/>
      <c r="EA29" s="220"/>
    </row>
    <row r="30" spans="1:135" s="55" customFormat="1" ht="24.75" x14ac:dyDescent="0.2">
      <c r="C30" s="644" t="str">
        <f ca="1">IF($C$2="English",CW30,CV30)</f>
        <v>5b Ermittlung des Gewinnes oder Verlustes für die Jahre 2017 - 2021 in EURO</v>
      </c>
      <c r="M30" s="249" t="str">
        <f>IF($C$2="English",CW15,CV15)</f>
        <v>Gewinn/Verlust vor Steuer</v>
      </c>
      <c r="S30" s="122"/>
      <c r="CV30" s="60" t="str">
        <f ca="1">"5b Ermittlung des Gewinnes oder Verlustes für die Jahre "&amp;'1 Pers.Ausgaben|Pers Expenses'!$C$4&amp;" - "&amp;'1 Pers.Ausgaben|Pers Expenses'!$C$4+4&amp;" in EURO"</f>
        <v>5b Ermittlung des Gewinnes oder Verlustes für die Jahre 2017 - 2021 in EURO</v>
      </c>
      <c r="CW30" s="222" t="str">
        <f ca="1">"5b Determination of profit or loss for the years "&amp;'1 Pers.Ausgaben|Pers Expenses'!$C$4&amp;" - "&amp;'1 Pers.Ausgaben|Pers Expenses'!$C$4+4&amp;" in EURO"</f>
        <v>5b Determination of profit or loss for the years 2017 - 2021 in EURO</v>
      </c>
      <c r="CX30" s="58"/>
      <c r="CY30" s="58"/>
      <c r="CZ30" s="58"/>
      <c r="DL30" s="96"/>
      <c r="DM30" s="96"/>
      <c r="DN30" s="96"/>
      <c r="DO30" s="96"/>
      <c r="DP30" s="96"/>
      <c r="DQ30" s="96"/>
      <c r="DR30" s="96"/>
      <c r="DS30" s="96"/>
      <c r="DT30" s="96"/>
      <c r="DU30" s="96"/>
      <c r="DV30" s="96"/>
      <c r="DW30" s="96"/>
      <c r="DX30" s="96"/>
      <c r="DY30" s="96"/>
      <c r="DZ30" s="96"/>
      <c r="EA30" s="96"/>
    </row>
    <row r="31" spans="1:135" s="225" customFormat="1" x14ac:dyDescent="0.2">
      <c r="A31" s="219"/>
      <c r="B31" s="219"/>
      <c r="C31" s="250"/>
      <c r="D31" s="251"/>
      <c r="E31" s="251"/>
      <c r="F31" s="251"/>
      <c r="G31" s="251"/>
      <c r="H31" s="251"/>
      <c r="I31" s="251"/>
      <c r="J31" s="252"/>
      <c r="K31" s="251"/>
      <c r="L31" s="251"/>
      <c r="M31" s="251"/>
      <c r="N31" s="253"/>
      <c r="O31" s="251"/>
      <c r="P31" s="251"/>
      <c r="Q31" s="251"/>
      <c r="R31" s="251"/>
      <c r="S31" s="254"/>
      <c r="T31" s="251"/>
      <c r="U31" s="251"/>
      <c r="V31" s="251"/>
      <c r="W31" s="251"/>
      <c r="X31" s="251"/>
      <c r="Y31" s="255"/>
      <c r="AB31" s="256"/>
      <c r="AC31" s="256"/>
      <c r="AD31" s="257"/>
      <c r="AE31" s="258"/>
      <c r="AF31" s="258"/>
      <c r="CV31" s="233"/>
      <c r="CW31" s="219"/>
      <c r="CX31" s="222"/>
      <c r="CY31" s="222"/>
      <c r="CZ31" s="222"/>
      <c r="DA31" s="219"/>
      <c r="DB31" s="219"/>
      <c r="DC31" s="219"/>
      <c r="DD31" s="219"/>
      <c r="DE31" s="219"/>
      <c r="DF31" s="219"/>
      <c r="DG31" s="219"/>
      <c r="DH31" s="219"/>
      <c r="DI31" s="219"/>
      <c r="DJ31" s="219"/>
      <c r="DK31" s="219"/>
      <c r="DL31" s="220"/>
      <c r="DM31" s="220"/>
      <c r="DN31" s="220"/>
      <c r="DO31" s="220"/>
      <c r="DP31" s="220"/>
      <c r="DQ31" s="220"/>
      <c r="DR31" s="220"/>
      <c r="DS31" s="220"/>
      <c r="DT31" s="220"/>
      <c r="DU31" s="220"/>
      <c r="DV31" s="220"/>
      <c r="DW31" s="220"/>
      <c r="DX31" s="220"/>
      <c r="DY31" s="220"/>
      <c r="DZ31" s="220"/>
      <c r="EA31" s="544"/>
      <c r="EB31" s="219"/>
      <c r="EC31" s="219"/>
      <c r="ED31" s="219"/>
      <c r="EE31" s="219"/>
    </row>
    <row r="32" spans="1:135" s="225" customFormat="1" ht="15" thickBot="1" x14ac:dyDescent="0.25">
      <c r="A32" s="219"/>
      <c r="B32" s="219"/>
      <c r="C32" s="250"/>
      <c r="D32" s="250"/>
      <c r="E32" s="250"/>
      <c r="F32" s="250"/>
      <c r="G32" s="250"/>
      <c r="H32" s="250"/>
      <c r="I32" s="250"/>
      <c r="J32" s="250"/>
      <c r="K32" s="250"/>
      <c r="P32" s="260"/>
      <c r="S32" s="261"/>
      <c r="CV32" s="233"/>
      <c r="CW32" s="222"/>
      <c r="CX32" s="222"/>
      <c r="CY32" s="222"/>
      <c r="CZ32" s="222"/>
      <c r="DA32" s="219"/>
      <c r="DB32" s="219"/>
      <c r="DC32" s="219"/>
      <c r="DD32" s="219"/>
      <c r="DE32" s="219"/>
      <c r="DF32" s="219"/>
      <c r="DG32" s="219"/>
      <c r="DH32" s="219"/>
      <c r="DI32" s="219"/>
      <c r="DJ32" s="219"/>
      <c r="DK32" s="219"/>
      <c r="DL32" s="220"/>
      <c r="DM32" s="220"/>
      <c r="DN32" s="220"/>
      <c r="DO32" s="220"/>
      <c r="DP32" s="220"/>
      <c r="DQ32" s="220"/>
      <c r="DR32" s="220"/>
      <c r="DS32" s="220"/>
      <c r="DT32" s="220"/>
      <c r="DU32" s="220"/>
      <c r="DV32" s="220"/>
      <c r="DW32" s="220"/>
      <c r="DX32" s="220"/>
      <c r="DY32" s="220"/>
      <c r="DZ32" s="220"/>
      <c r="EA32" s="220"/>
    </row>
    <row r="33" spans="1:131" ht="15" thickBot="1" x14ac:dyDescent="0.25">
      <c r="C33" s="226"/>
      <c r="D33" s="262">
        <f ca="1">'1 Pers.Ausgaben|Pers Expenses'!$C$4</f>
        <v>2017</v>
      </c>
      <c r="E33" s="262">
        <f ca="1">D33+1</f>
        <v>2018</v>
      </c>
      <c r="F33" s="262">
        <f ca="1">E33+1</f>
        <v>2019</v>
      </c>
      <c r="G33" s="262">
        <f ca="1">F33+1</f>
        <v>2020</v>
      </c>
      <c r="H33" s="263">
        <f ca="1">G33+1</f>
        <v>2021</v>
      </c>
      <c r="I33" s="264"/>
      <c r="J33" s="219"/>
      <c r="K33" s="219"/>
      <c r="L33" s="219"/>
      <c r="M33" s="219"/>
      <c r="N33" s="219"/>
      <c r="O33" s="219"/>
      <c r="P33" s="219"/>
      <c r="S33" s="254"/>
      <c r="CV33" s="896"/>
    </row>
    <row r="34" spans="1:131" x14ac:dyDescent="0.2">
      <c r="C34" s="230"/>
      <c r="D34" s="1182"/>
      <c r="E34" s="1182"/>
      <c r="F34" s="1182"/>
      <c r="G34" s="1182"/>
      <c r="H34" s="1183"/>
      <c r="I34" s="264"/>
      <c r="J34" s="219"/>
      <c r="K34" s="219"/>
      <c r="L34" s="219"/>
      <c r="M34" s="219"/>
      <c r="N34" s="219"/>
      <c r="O34" s="219"/>
      <c r="P34" s="219"/>
      <c r="S34" s="261"/>
      <c r="CV34" s="233"/>
      <c r="CW34" s="233"/>
    </row>
    <row r="35" spans="1:131" x14ac:dyDescent="0.2">
      <c r="C35" s="234" t="str">
        <f>IF($C$2="English",CW35,CV35)</f>
        <v>Umsätze aus Tab. 2b (ohne MwSt)</v>
      </c>
      <c r="D35" s="1184">
        <f>P8</f>
        <v>0</v>
      </c>
      <c r="E35" s="1184">
        <f>IF(OR($C$4=0,$C$4=3,$C$4=1),'2 Umsatz|Sales'!F68,'2 Umsatz|Sales'!F68-'2 Umsatz|Sales'!F67-'2 Umsatz|Sales'!F66)</f>
        <v>0</v>
      </c>
      <c r="F35" s="1184">
        <f>IF(OR($C$4=0,$C$4=3,$C$4=1),'2 Umsatz|Sales'!G68,'2 Umsatz|Sales'!G68-'2 Umsatz|Sales'!G67-'2 Umsatz|Sales'!G66)</f>
        <v>0</v>
      </c>
      <c r="G35" s="1184">
        <f>IF(OR($C$4=0,$C$4=3,$C$4=1),'2 Umsatz|Sales'!H68,'2 Umsatz|Sales'!H68-'2 Umsatz|Sales'!H67-'2 Umsatz|Sales'!H66)</f>
        <v>0</v>
      </c>
      <c r="H35" s="1184">
        <f>IF(OR($C$4=0,$C$4=3,$C$4=1),'2 Umsatz|Sales'!I68,'2 Umsatz|Sales'!I68-'2 Umsatz|Sales'!I67-'2 Umsatz|Sales'!I66)</f>
        <v>0</v>
      </c>
      <c r="I35" s="264"/>
      <c r="J35" s="219"/>
      <c r="K35" s="219"/>
      <c r="L35" s="219"/>
      <c r="M35" s="219"/>
      <c r="N35" s="219"/>
      <c r="O35" s="219"/>
      <c r="P35" s="219"/>
      <c r="S35" s="254"/>
      <c r="CV35" s="233" t="str">
        <f>IF($C$4&lt;&gt;1,"Umsätze aus Tab. 2b (ohne MwSt)","Umsätze aus Tab. 2b (mit MwSt)")</f>
        <v>Umsätze aus Tab. 2b (ohne MwSt)</v>
      </c>
      <c r="CW35" s="233" t="str">
        <f>IF($C$4&lt;&gt;1,"Total sales from tab. 2b (w/o VAT)","Total Sales from tab. 2b (incl. VAT)")</f>
        <v>Total sales from tab. 2b (w/o VAT)</v>
      </c>
    </row>
    <row r="36" spans="1:131" x14ac:dyDescent="0.2">
      <c r="C36" s="235"/>
      <c r="D36" s="1184"/>
      <c r="E36" s="1184"/>
      <c r="F36" s="1184"/>
      <c r="G36" s="1184"/>
      <c r="H36" s="1185"/>
      <c r="I36" s="264"/>
      <c r="J36" s="219"/>
      <c r="K36" s="219"/>
      <c r="L36" s="219"/>
      <c r="M36" s="219"/>
      <c r="N36" s="219"/>
      <c r="O36" s="219"/>
      <c r="P36" s="219"/>
      <c r="S36" s="261"/>
    </row>
    <row r="37" spans="1:131" x14ac:dyDescent="0.2">
      <c r="C37" s="234" t="str">
        <f>IF($C$2="English",CW37,CV37)</f>
        <v>abzügl. Summe Betriebskosten II aus Tab. 4b  (ohne MwSt)</v>
      </c>
      <c r="D37" s="1186">
        <f>P10</f>
        <v>0</v>
      </c>
      <c r="E37" s="1186">
        <f ca="1">IF(OR($C$4=0,$C$4=3,$C$4=1),'4 Betriebskosten|Operation Ex'!E145,'4 Betriebskosten|Operation Ex'!E145-'4 Betriebskosten|Operation Ex'!E151)</f>
        <v>0</v>
      </c>
      <c r="F37" s="1186">
        <f ca="1">IF(OR($C$4=0,$C$4=3,$C$4=1),'4 Betriebskosten|Operation Ex'!F145,'4 Betriebskosten|Operation Ex'!F145-'4 Betriebskosten|Operation Ex'!F151)</f>
        <v>0</v>
      </c>
      <c r="G37" s="1186">
        <f ca="1">IF(OR($C$4=0,$C$4=3,$C$4=1),'4 Betriebskosten|Operation Ex'!G145,'4 Betriebskosten|Operation Ex'!G145-'4 Betriebskosten|Operation Ex'!G151)</f>
        <v>0</v>
      </c>
      <c r="H37" s="1186">
        <f ca="1">IF(OR($C$4=0,$C$4=3,$C$4=1),'4 Betriebskosten|Operation Ex'!H145,'4 Betriebskosten|Operation Ex'!H145-'4 Betriebskosten|Operation Ex'!H151)</f>
        <v>0</v>
      </c>
      <c r="I37" s="264"/>
      <c r="J37" s="219"/>
      <c r="K37" s="219"/>
      <c r="L37" s="219"/>
      <c r="M37" s="219"/>
      <c r="N37" s="219"/>
      <c r="O37" s="219"/>
      <c r="P37" s="219"/>
      <c r="S37" s="254"/>
      <c r="CV37" s="233" t="str">
        <f>IF($C$4&lt;&gt;1,"abzügl. Summe Betriebskosten II aus Tab. 4b  (ohne MwSt)","abzügl. Summe Betriebskosten II aus Tab. 4b (mit MwSt)")</f>
        <v>abzügl. Summe Betriebskosten II aus Tab. 4b  (ohne MwSt)</v>
      </c>
      <c r="CW37" s="233" t="str">
        <f>IF($C$4&lt;&gt;10,"(-) sum operating cost II from tab.4b (w/o VAT)","(-) sum operating costs II from tab.4b (incl. VAT)")</f>
        <v>(-) sum operating cost II from tab.4b (w/o VAT)</v>
      </c>
    </row>
    <row r="38" spans="1:131" ht="15" thickBot="1" x14ac:dyDescent="0.25">
      <c r="C38" s="235"/>
      <c r="D38" s="1184"/>
      <c r="E38" s="1184"/>
      <c r="F38" s="1184"/>
      <c r="G38" s="1184"/>
      <c r="H38" s="1185"/>
      <c r="I38" s="264"/>
      <c r="J38" s="219"/>
      <c r="K38" s="219"/>
      <c r="L38" s="219"/>
      <c r="M38" s="219"/>
      <c r="N38" s="219"/>
      <c r="O38" s="219"/>
      <c r="P38" s="219"/>
      <c r="S38" s="261"/>
    </row>
    <row r="39" spans="1:131" ht="15.75" thickTop="1" thickBot="1" x14ac:dyDescent="0.25">
      <c r="C39" s="237" t="str">
        <f xml:space="preserve"> C12</f>
        <v>Vorläufiges Ergebnis / Gewinn vor St. oder Verlust</v>
      </c>
      <c r="D39" s="1187">
        <f>D35-D37</f>
        <v>0</v>
      </c>
      <c r="E39" s="1187">
        <f ca="1">E35-E37</f>
        <v>0</v>
      </c>
      <c r="F39" s="1187">
        <f ca="1">F35-F37</f>
        <v>0</v>
      </c>
      <c r="G39" s="1187">
        <f ca="1">G35-G37</f>
        <v>0</v>
      </c>
      <c r="H39" s="1188">
        <f ca="1">H35-H37</f>
        <v>0</v>
      </c>
      <c r="I39" s="264"/>
      <c r="J39" s="219"/>
      <c r="K39" s="219"/>
      <c r="L39" s="219"/>
      <c r="M39" s="219"/>
      <c r="N39" s="219"/>
      <c r="O39" s="219"/>
      <c r="P39" s="219"/>
      <c r="S39" s="254"/>
      <c r="CV39" s="238" t="str">
        <f xml:space="preserve"> CV12</f>
        <v>Vorläufiges Ergebnis / Gewinn vor St. oder Verlust</v>
      </c>
      <c r="CW39" s="717" t="s">
        <v>669</v>
      </c>
    </row>
    <row r="40" spans="1:131" ht="15" thickBot="1" x14ac:dyDescent="0.25">
      <c r="C40" s="239" t="str">
        <f>C13</f>
        <v>Akkumuliert: Vorläufiges Ergebnis / Gewinn vor St. oder Verlust</v>
      </c>
      <c r="D40" s="1189">
        <f>D39</f>
        <v>0</v>
      </c>
      <c r="E40" s="1189">
        <f ca="1">E39+D40</f>
        <v>0</v>
      </c>
      <c r="F40" s="1189">
        <f ca="1">F39+E40</f>
        <v>0</v>
      </c>
      <c r="G40" s="1189">
        <f ca="1">G39+F40</f>
        <v>0</v>
      </c>
      <c r="H40" s="1190">
        <f ca="1">H39+G40</f>
        <v>0</v>
      </c>
      <c r="I40" s="264"/>
      <c r="J40" s="219"/>
      <c r="K40" s="219"/>
      <c r="L40" s="219"/>
      <c r="M40" s="219"/>
      <c r="N40" s="219"/>
      <c r="O40" s="219"/>
      <c r="P40" s="219"/>
      <c r="S40" s="261"/>
      <c r="CV40" s="238" t="s">
        <v>200</v>
      </c>
      <c r="CW40" s="717" t="s">
        <v>341</v>
      </c>
    </row>
    <row r="41" spans="1:131" s="240" customFormat="1" x14ac:dyDescent="0.2">
      <c r="C41" s="1370"/>
      <c r="D41" s="241">
        <f>IF(D39&lt;=0,D39,"")</f>
        <v>0</v>
      </c>
      <c r="E41" s="241">
        <f ca="1">IF(E39&lt;=0,E39,"")</f>
        <v>0</v>
      </c>
      <c r="F41" s="241">
        <f ca="1">IF(F39&lt;=0,F39,"")</f>
        <v>0</v>
      </c>
      <c r="G41" s="241">
        <f ca="1">IF(G39&lt;=0,G39,"")</f>
        <v>0</v>
      </c>
      <c r="H41" s="241">
        <f ca="1">IF(H39&lt;=0,H39,"")</f>
        <v>0</v>
      </c>
      <c r="S41" s="1096"/>
      <c r="CV41" s="1080"/>
      <c r="CW41" s="244"/>
      <c r="CX41" s="244"/>
      <c r="CY41" s="244"/>
      <c r="CZ41" s="244"/>
    </row>
    <row r="42" spans="1:131" s="240" customFormat="1" x14ac:dyDescent="0.2">
      <c r="C42" s="1082" t="str">
        <f>IF($C$2 = "English","accumulated","akkumuliert")</f>
        <v>akkumuliert</v>
      </c>
      <c r="D42" s="241" t="str">
        <f>IF(D39&gt;0,D39,"")</f>
        <v/>
      </c>
      <c r="E42" s="241" t="str">
        <f ca="1">IF(E39&gt;0,E39,"")</f>
        <v/>
      </c>
      <c r="F42" s="241" t="str">
        <f ca="1">IF(F39&gt;0,F39,"")</f>
        <v/>
      </c>
      <c r="G42" s="241" t="str">
        <f ca="1">IF(G39&gt;0,G39,"")</f>
        <v/>
      </c>
      <c r="H42" s="241" t="str">
        <f ca="1">IF(H39&gt;0,H39,"")</f>
        <v/>
      </c>
      <c r="S42" s="243"/>
      <c r="CV42" s="1080"/>
      <c r="CW42" s="244"/>
      <c r="CX42" s="244"/>
      <c r="CY42" s="244"/>
      <c r="CZ42" s="244"/>
    </row>
    <row r="43" spans="1:131" s="240" customFormat="1" ht="22.5" x14ac:dyDescent="0.2">
      <c r="C43" s="1082" t="str">
        <f>IF($C$2 = "English"," + Annual Values  -","Jahreswerte")</f>
        <v>Jahreswerte</v>
      </c>
      <c r="D43" s="241"/>
      <c r="E43" s="241"/>
      <c r="F43" s="241"/>
      <c r="G43" s="241"/>
      <c r="H43" s="1371"/>
      <c r="S43" s="243"/>
      <c r="CV43" s="894" t="str">
        <f ca="1">"Monatliches Ergebnis " &amp; '1 Pers.Ausgaben|Pers Expenses'!$C$4 &amp; ": Gewinn/Verlust vor Steuer"</f>
        <v>Monatliches Ergebnis 2017: Gewinn/Verlust vor Steuer</v>
      </c>
      <c r="CW43" s="895" t="str">
        <f ca="1">"Monthly Result " &amp; '1 Pers.Ausgaben|Pers Expenses'!$C$4 &amp; ": Profit/Loss before taxes "</f>
        <v xml:space="preserve">Monthly Result 2017: Profit/Loss before taxes </v>
      </c>
      <c r="CX43" s="895"/>
      <c r="CY43" s="895"/>
      <c r="CZ43" s="895"/>
      <c r="DA43" s="953"/>
      <c r="DB43" s="953"/>
      <c r="DC43" s="953"/>
      <c r="DD43" s="953"/>
      <c r="DE43" s="953"/>
      <c r="DF43" s="953"/>
      <c r="DG43" s="953"/>
      <c r="DH43" s="953"/>
      <c r="DI43" s="953"/>
      <c r="DJ43" s="953"/>
      <c r="DK43" s="953"/>
    </row>
    <row r="44" spans="1:131" s="219" customFormat="1" ht="24.75" x14ac:dyDescent="0.2">
      <c r="C44" s="644" t="str">
        <f ca="1">IF($C$2="English",CW44,CV44)</f>
        <v>5c Ermittlung der Steuerlast für die Jahre 2017 - 2021 in EURO</v>
      </c>
      <c r="S44" s="232"/>
      <c r="CV44" s="60" t="str">
        <f ca="1">"5c Ermittlung der Steuerlast für die Jahre "&amp;'1 Pers.Ausgaben|Pers Expenses'!$C$4&amp;" - "&amp;'1 Pers.Ausgaben|Pers Expenses'!$C$4+4&amp;" in EURO"</f>
        <v>5c Ermittlung der Steuerlast für die Jahre 2017 - 2021 in EURO</v>
      </c>
      <c r="CW44" s="222" t="str">
        <f ca="1">"5c Determination of tax load for the years "&amp;'1 Pers.Ausgaben|Pers Expenses'!$C$4&amp;" - "&amp;'1 Pers.Ausgaben|Pers Expenses'!$C$4+4&amp;" in EURO"</f>
        <v>5c Determination of tax load for the years 2017 - 2021 in EURO</v>
      </c>
      <c r="CX44" s="222"/>
      <c r="CY44" s="222"/>
      <c r="CZ44" s="222"/>
      <c r="DL44" s="220"/>
      <c r="DM44" s="220"/>
      <c r="DN44" s="220"/>
      <c r="DO44" s="220"/>
      <c r="DP44" s="220"/>
      <c r="DQ44" s="220"/>
      <c r="DR44" s="220"/>
      <c r="DS44" s="220"/>
      <c r="DT44" s="220"/>
      <c r="DU44" s="220"/>
      <c r="DV44" s="220"/>
      <c r="DW44" s="220"/>
      <c r="DX44" s="220"/>
      <c r="DY44" s="220"/>
      <c r="DZ44" s="220"/>
      <c r="EA44" s="220"/>
    </row>
    <row r="45" spans="1:131" s="219" customFormat="1" x14ac:dyDescent="0.2">
      <c r="A45" s="225"/>
      <c r="B45" s="225"/>
      <c r="P45" s="221"/>
      <c r="S45" s="232"/>
      <c r="CV45" s="223"/>
      <c r="CX45" s="222"/>
      <c r="CY45" s="222"/>
      <c r="CZ45" s="222"/>
      <c r="DL45" s="220"/>
      <c r="DM45" s="220"/>
      <c r="DN45" s="220"/>
      <c r="DO45" s="220"/>
      <c r="DP45" s="220"/>
      <c r="DQ45" s="220"/>
      <c r="DR45" s="220"/>
      <c r="DS45" s="220"/>
      <c r="DT45" s="220"/>
      <c r="DU45" s="220"/>
      <c r="DV45" s="220"/>
      <c r="DW45" s="220"/>
      <c r="DX45" s="220"/>
      <c r="DY45" s="220"/>
      <c r="DZ45" s="220"/>
      <c r="EA45" s="220"/>
    </row>
    <row r="46" spans="1:131" s="219" customFormat="1" ht="15" thickBot="1" x14ac:dyDescent="0.25">
      <c r="A46" s="225"/>
      <c r="B46" s="225"/>
      <c r="P46" s="221"/>
      <c r="S46" s="232"/>
      <c r="CV46" s="223"/>
      <c r="CW46" s="222"/>
      <c r="CX46" s="222"/>
      <c r="CY46" s="222"/>
      <c r="CZ46" s="222"/>
      <c r="DL46" s="220"/>
      <c r="DM46" s="220"/>
      <c r="DN46" s="220"/>
      <c r="DO46" s="220"/>
      <c r="DP46" s="220"/>
      <c r="DQ46" s="220"/>
      <c r="DR46" s="220"/>
      <c r="DS46" s="220"/>
      <c r="DT46" s="220"/>
      <c r="DU46" s="220"/>
      <c r="DV46" s="220"/>
      <c r="DW46" s="220"/>
      <c r="DX46" s="220"/>
      <c r="DY46" s="220"/>
      <c r="DZ46" s="220"/>
      <c r="EA46" s="220"/>
    </row>
    <row r="47" spans="1:131" ht="15" thickBot="1" x14ac:dyDescent="0.25">
      <c r="C47" s="266"/>
      <c r="D47" s="267">
        <f ca="1">'1 Pers.Ausgaben|Pers Expenses'!$C$4</f>
        <v>2017</v>
      </c>
      <c r="E47" s="267">
        <f ca="1">D47+1</f>
        <v>2018</v>
      </c>
      <c r="F47" s="267">
        <f ca="1">E47+1</f>
        <v>2019</v>
      </c>
      <c r="G47" s="267">
        <f ca="1">F47+1</f>
        <v>2020</v>
      </c>
      <c r="H47" s="268">
        <f ca="1">G47+1</f>
        <v>2021</v>
      </c>
      <c r="I47" s="264"/>
      <c r="J47" s="219"/>
      <c r="K47" s="219"/>
      <c r="L47" s="219"/>
      <c r="M47" s="219"/>
      <c r="N47" s="219"/>
      <c r="O47" s="219"/>
      <c r="P47" s="219"/>
      <c r="CV47" s="896"/>
    </row>
    <row r="48" spans="1:131" ht="15" thickBot="1" x14ac:dyDescent="0.25">
      <c r="C48" s="269" t="str">
        <f>IF($C$2="English",CW48,CV48)</f>
        <v>Vorläufiges Ergebnis / Gewinn vor Steuern (Übernahme aus Tab 5b)</v>
      </c>
      <c r="D48" s="1191">
        <f>D39</f>
        <v>0</v>
      </c>
      <c r="E48" s="1191">
        <f ca="1">E39</f>
        <v>0</v>
      </c>
      <c r="F48" s="1191">
        <f ca="1">F39</f>
        <v>0</v>
      </c>
      <c r="G48" s="1191">
        <f ca="1">G39</f>
        <v>0</v>
      </c>
      <c r="H48" s="1192">
        <f ca="1">H39</f>
        <v>0</v>
      </c>
      <c r="I48" s="264"/>
      <c r="J48" s="219"/>
      <c r="K48" s="219"/>
      <c r="L48" s="219"/>
      <c r="M48" s="219"/>
      <c r="N48" s="219"/>
      <c r="O48" s="219"/>
      <c r="P48" s="219"/>
      <c r="CV48" s="238" t="s">
        <v>163</v>
      </c>
      <c r="CW48" s="717" t="s">
        <v>668</v>
      </c>
    </row>
    <row r="49" spans="1:131" ht="15" thickTop="1" x14ac:dyDescent="0.2">
      <c r="C49" s="270"/>
      <c r="D49" s="1184"/>
      <c r="E49" s="1184"/>
      <c r="F49" s="1184"/>
      <c r="G49" s="1184"/>
      <c r="H49" s="1185"/>
      <c r="I49" s="264"/>
      <c r="J49" s="219"/>
      <c r="K49" s="219"/>
      <c r="L49" s="219"/>
      <c r="M49" s="219"/>
      <c r="N49" s="219"/>
      <c r="O49" s="219"/>
      <c r="P49" s="219"/>
      <c r="CV49" s="238"/>
      <c r="CW49" s="233"/>
    </row>
    <row r="50" spans="1:131" s="272" customFormat="1" x14ac:dyDescent="0.2">
      <c r="A50" s="250"/>
      <c r="B50" s="250"/>
      <c r="C50" s="234" t="str">
        <f>IF($C$2="English",CW50,CV50)</f>
        <v>Ermittelte / geschätzte Gewerbesteuer *)</v>
      </c>
      <c r="D50" s="1193"/>
      <c r="E50" s="1193"/>
      <c r="F50" s="1193"/>
      <c r="G50" s="1193"/>
      <c r="H50" s="1193"/>
      <c r="I50" s="271"/>
      <c r="J50" s="250"/>
      <c r="K50" s="250"/>
      <c r="L50" s="250"/>
      <c r="M50" s="250"/>
      <c r="N50" s="250"/>
      <c r="O50" s="250"/>
      <c r="P50" s="250"/>
      <c r="Q50" s="250"/>
      <c r="R50" s="250"/>
      <c r="S50" s="1546"/>
      <c r="T50" s="250"/>
      <c r="U50" s="250"/>
      <c r="V50" s="250"/>
      <c r="W50" s="250"/>
      <c r="X50" s="250"/>
      <c r="Y50" s="250"/>
      <c r="Z50" s="250"/>
      <c r="AA50" s="250"/>
      <c r="AB50" s="250"/>
      <c r="AC50" s="250"/>
      <c r="AD50" s="250"/>
      <c r="AE50" s="250"/>
      <c r="AF50" s="250"/>
      <c r="AG50" s="250"/>
      <c r="AH50" s="250"/>
      <c r="AI50" s="250"/>
      <c r="AJ50" s="250"/>
      <c r="AK50" s="250"/>
      <c r="AL50" s="250"/>
      <c r="AM50" s="250"/>
      <c r="AN50" s="250"/>
      <c r="AO50" s="250"/>
      <c r="AP50" s="250"/>
      <c r="AQ50" s="250"/>
      <c r="AR50" s="250"/>
      <c r="AS50" s="250"/>
      <c r="AT50" s="250"/>
      <c r="AU50" s="250"/>
      <c r="AV50" s="250"/>
      <c r="AW50" s="250"/>
      <c r="AX50" s="250"/>
      <c r="AY50" s="250"/>
      <c r="AZ50" s="250"/>
      <c r="BA50" s="250"/>
      <c r="BB50" s="250"/>
      <c r="BC50" s="250"/>
      <c r="BD50" s="250"/>
      <c r="BE50" s="250"/>
      <c r="BF50" s="250"/>
      <c r="BG50" s="250"/>
      <c r="BH50" s="250"/>
      <c r="BI50" s="250"/>
      <c r="BJ50" s="250"/>
      <c r="BK50" s="250"/>
      <c r="BL50" s="250"/>
      <c r="BM50" s="250"/>
      <c r="BN50" s="250"/>
      <c r="BO50" s="250"/>
      <c r="BP50" s="250"/>
      <c r="BQ50" s="250"/>
      <c r="BR50" s="250"/>
      <c r="BS50" s="250"/>
      <c r="BT50" s="250"/>
      <c r="BU50" s="250"/>
      <c r="BV50" s="250"/>
      <c r="BW50" s="250"/>
      <c r="BX50" s="250"/>
      <c r="BY50" s="250"/>
      <c r="BZ50" s="250"/>
      <c r="CV50" s="233" t="str">
        <f>IF('Deckblatt Gruender|Data Founder'!$D$13='Deckblatt Gruender|Data Founder'!$C$1,"Gewerbesteuer entfällt bei " &amp; 'Deckblatt Gruender|Data Founder'!$C$1,"Ermittelte / geschätzte Gewerbesteuer *)")</f>
        <v>Ermittelte / geschätzte Gewerbesteuer *)</v>
      </c>
      <c r="CW50" s="233" t="str">
        <f>IF('Deckblatt Gruender|Data Founder'!$D$13='Deckblatt Gruender|Data Founder'!$C$1,"Business tax do not apply to " &amp; 'Deckblatt Gruender|Data Founder'!$C$1,"Ascertained / estimated business tax *)")</f>
        <v>Ascertained / estimated business tax *)</v>
      </c>
      <c r="DL50" s="291"/>
      <c r="DM50" s="291"/>
      <c r="DN50" s="291"/>
      <c r="DO50" s="291"/>
      <c r="DP50" s="291"/>
      <c r="DQ50" s="291"/>
      <c r="DR50" s="291"/>
      <c r="DS50" s="291"/>
      <c r="DT50" s="291"/>
      <c r="DU50" s="291"/>
      <c r="DV50" s="291"/>
      <c r="DW50" s="291"/>
      <c r="DX50" s="291"/>
      <c r="DY50" s="291"/>
      <c r="DZ50" s="291"/>
      <c r="EA50" s="291"/>
    </row>
    <row r="51" spans="1:131" s="272" customFormat="1" x14ac:dyDescent="0.2">
      <c r="A51" s="250"/>
      <c r="B51" s="250"/>
      <c r="C51" s="234"/>
      <c r="D51" s="1184"/>
      <c r="E51" s="1184"/>
      <c r="F51" s="1184"/>
      <c r="G51" s="1184"/>
      <c r="H51" s="1185"/>
      <c r="I51" s="271"/>
      <c r="J51" s="250"/>
      <c r="K51" s="250"/>
      <c r="L51" s="250"/>
      <c r="M51" s="250"/>
      <c r="N51" s="250"/>
      <c r="O51" s="250"/>
      <c r="P51" s="250"/>
      <c r="Q51" s="250"/>
      <c r="R51" s="250"/>
      <c r="S51" s="273"/>
      <c r="T51" s="250"/>
      <c r="U51" s="250"/>
      <c r="V51" s="250"/>
      <c r="W51" s="250"/>
      <c r="X51" s="250"/>
      <c r="Y51" s="250"/>
      <c r="Z51" s="250"/>
      <c r="AA51" s="250"/>
      <c r="AB51" s="250"/>
      <c r="AC51" s="250"/>
      <c r="AD51" s="250"/>
      <c r="AE51" s="250"/>
      <c r="AF51" s="250"/>
      <c r="AG51" s="250"/>
      <c r="AH51" s="250"/>
      <c r="AI51" s="250"/>
      <c r="AJ51" s="250"/>
      <c r="AK51" s="250"/>
      <c r="AL51" s="250"/>
      <c r="AM51" s="250"/>
      <c r="AN51" s="250"/>
      <c r="AO51" s="250"/>
      <c r="AP51" s="250"/>
      <c r="AQ51" s="250"/>
      <c r="AR51" s="250"/>
      <c r="AS51" s="250"/>
      <c r="AT51" s="250"/>
      <c r="AU51" s="250"/>
      <c r="AV51" s="250"/>
      <c r="AW51" s="250"/>
      <c r="AX51" s="250"/>
      <c r="AY51" s="250"/>
      <c r="AZ51" s="250"/>
      <c r="BA51" s="250"/>
      <c r="BB51" s="250"/>
      <c r="BC51" s="250"/>
      <c r="BD51" s="250"/>
      <c r="BE51" s="250"/>
      <c r="BF51" s="250"/>
      <c r="BG51" s="250"/>
      <c r="BH51" s="250"/>
      <c r="BI51" s="250"/>
      <c r="BJ51" s="250"/>
      <c r="BK51" s="250"/>
      <c r="BL51" s="250"/>
      <c r="BM51" s="250"/>
      <c r="BN51" s="250"/>
      <c r="BO51" s="250"/>
      <c r="BP51" s="250"/>
      <c r="BQ51" s="250"/>
      <c r="BR51" s="250"/>
      <c r="BS51" s="250"/>
      <c r="BT51" s="250"/>
      <c r="BU51" s="250"/>
      <c r="BV51" s="250"/>
      <c r="BW51" s="250"/>
      <c r="BX51" s="250"/>
      <c r="BY51" s="250"/>
      <c r="BZ51" s="250"/>
      <c r="CV51" s="233"/>
      <c r="CW51" s="39"/>
      <c r="DL51" s="291"/>
      <c r="DM51" s="291"/>
      <c r="DN51" s="291"/>
      <c r="DO51" s="291"/>
      <c r="DP51" s="291"/>
      <c r="DQ51" s="291"/>
      <c r="DR51" s="291"/>
      <c r="DS51" s="291"/>
      <c r="DT51" s="291"/>
      <c r="DU51" s="291"/>
      <c r="DV51" s="291"/>
      <c r="DW51" s="291"/>
      <c r="DX51" s="291"/>
      <c r="DY51" s="291"/>
      <c r="DZ51" s="291"/>
      <c r="EA51" s="291"/>
    </row>
    <row r="52" spans="1:131" s="58" customFormat="1" x14ac:dyDescent="0.2">
      <c r="A52" s="55"/>
      <c r="B52" s="55"/>
      <c r="C52" s="234" t="str">
        <f>IF($C$2="English",CW52,CV52)</f>
        <v xml:space="preserve">Einkommensteuern (bei Nicht-Kapitalgesellschaften**) ) </v>
      </c>
      <c r="D52" s="1193"/>
      <c r="E52" s="1193"/>
      <c r="F52" s="1193"/>
      <c r="G52" s="1193"/>
      <c r="H52" s="1193"/>
      <c r="I52" s="274"/>
      <c r="J52" s="55"/>
      <c r="K52" s="55"/>
      <c r="L52" s="55"/>
      <c r="M52" s="55"/>
      <c r="N52" s="55"/>
      <c r="O52" s="55"/>
      <c r="P52" s="55"/>
      <c r="Q52" s="55"/>
      <c r="R52" s="55"/>
      <c r="S52" s="1546"/>
      <c r="T52" s="55"/>
      <c r="U52" s="55"/>
      <c r="V52" s="55"/>
      <c r="W52" s="55"/>
      <c r="X52" s="55"/>
      <c r="Y52" s="55"/>
      <c r="Z52" s="55"/>
      <c r="AA52" s="55"/>
      <c r="AB52" s="55"/>
      <c r="AC52" s="55"/>
      <c r="AD52" s="55"/>
      <c r="AE52" s="55"/>
      <c r="AF52" s="55"/>
      <c r="AG52" s="55"/>
      <c r="AH52" s="55"/>
      <c r="AI52" s="55"/>
      <c r="AJ52" s="55"/>
      <c r="AK52" s="55"/>
      <c r="AL52" s="55"/>
      <c r="AM52" s="55"/>
      <c r="AN52" s="55"/>
      <c r="AO52" s="55"/>
      <c r="AP52" s="55"/>
      <c r="AQ52" s="55"/>
      <c r="AR52" s="55"/>
      <c r="AS52" s="55"/>
      <c r="AT52" s="55"/>
      <c r="AU52" s="55"/>
      <c r="AV52" s="55"/>
      <c r="AW52" s="55"/>
      <c r="AX52" s="55"/>
      <c r="AY52" s="55"/>
      <c r="AZ52" s="55"/>
      <c r="BA52" s="55"/>
      <c r="BB52" s="55"/>
      <c r="BC52" s="55"/>
      <c r="BD52" s="55"/>
      <c r="BE52" s="55"/>
      <c r="BF52" s="55"/>
      <c r="BG52" s="55"/>
      <c r="BH52" s="55"/>
      <c r="BI52" s="55"/>
      <c r="BJ52" s="55"/>
      <c r="BK52" s="55"/>
      <c r="BL52" s="55"/>
      <c r="BM52" s="55"/>
      <c r="BN52" s="55"/>
      <c r="BO52" s="55"/>
      <c r="BP52" s="55"/>
      <c r="BQ52" s="55"/>
      <c r="BR52" s="55"/>
      <c r="BS52" s="55"/>
      <c r="BT52" s="55"/>
      <c r="BU52" s="55"/>
      <c r="BV52" s="55"/>
      <c r="BW52" s="55"/>
      <c r="BX52" s="55"/>
      <c r="BY52" s="55"/>
      <c r="BZ52" s="55"/>
      <c r="CV52" s="39" t="str">
        <f>IF('Deckblatt Gruender|Data Founder'!$C$4='Deckblatt Gruender|Data Founder'!$D$13,"Körperschaftsteuer**)","Einkommensteuern (bei Nicht-Kapitalgesellschaften**) ) ")</f>
        <v xml:space="preserve">Einkommensteuern (bei Nicht-Kapitalgesellschaften**) ) </v>
      </c>
      <c r="CW52" s="39" t="str">
        <f>IF('Deckblatt Gruender|Data Founder'!$C$4='Deckblatt Gruender|Data Founder'!$D$13,"Federal Income Tax**)","Income tax (for non capital companies **) ) ")</f>
        <v xml:space="preserve">Income tax (for non capital companies **) ) </v>
      </c>
      <c r="DL52" s="345"/>
      <c r="DM52" s="345"/>
      <c r="DN52" s="345"/>
      <c r="DO52" s="345"/>
      <c r="DP52" s="345"/>
      <c r="DQ52" s="345"/>
      <c r="DR52" s="345"/>
      <c r="DS52" s="345"/>
      <c r="DT52" s="345"/>
      <c r="DU52" s="345"/>
      <c r="DV52" s="345"/>
      <c r="DW52" s="345"/>
      <c r="DX52" s="345"/>
      <c r="DY52" s="345"/>
      <c r="DZ52" s="345"/>
      <c r="EA52" s="345"/>
    </row>
    <row r="53" spans="1:131" s="58" customFormat="1" ht="15" thickBot="1" x14ac:dyDescent="0.25">
      <c r="A53" s="55"/>
      <c r="B53" s="55"/>
      <c r="C53" s="275"/>
      <c r="D53" s="1194"/>
      <c r="E53" s="1194"/>
      <c r="F53" s="1194"/>
      <c r="G53" s="1194"/>
      <c r="H53" s="1195"/>
      <c r="I53" s="274"/>
      <c r="J53" s="55"/>
      <c r="K53" s="55"/>
      <c r="L53" s="55"/>
      <c r="M53" s="55"/>
      <c r="N53" s="55"/>
      <c r="O53" s="55"/>
      <c r="P53" s="55"/>
      <c r="Q53" s="55"/>
      <c r="R53" s="55"/>
      <c r="S53" s="276" t="s">
        <v>251</v>
      </c>
      <c r="T53" s="55"/>
      <c r="U53" s="55"/>
      <c r="V53" s="55"/>
      <c r="W53" s="55"/>
      <c r="X53" s="55"/>
      <c r="Y53" s="55"/>
      <c r="Z53" s="55"/>
      <c r="AA53" s="55"/>
      <c r="AB53" s="55"/>
      <c r="AC53" s="55"/>
      <c r="AD53" s="55"/>
      <c r="AE53" s="55"/>
      <c r="AF53" s="55"/>
      <c r="AG53" s="55"/>
      <c r="AH53" s="55"/>
      <c r="AI53" s="55"/>
      <c r="AJ53" s="55"/>
      <c r="AK53" s="55"/>
      <c r="AL53" s="55"/>
      <c r="AM53" s="55"/>
      <c r="AN53" s="55"/>
      <c r="AO53" s="55"/>
      <c r="AP53" s="55"/>
      <c r="AQ53" s="55"/>
      <c r="AR53" s="55"/>
      <c r="AS53" s="55"/>
      <c r="AT53" s="55"/>
      <c r="AU53" s="55"/>
      <c r="AV53" s="55"/>
      <c r="AW53" s="55"/>
      <c r="AX53" s="55"/>
      <c r="AY53" s="55"/>
      <c r="AZ53" s="55"/>
      <c r="BA53" s="55"/>
      <c r="BB53" s="55"/>
      <c r="BC53" s="55"/>
      <c r="BD53" s="55"/>
      <c r="BE53" s="55"/>
      <c r="BF53" s="55"/>
      <c r="BG53" s="55"/>
      <c r="BH53" s="55"/>
      <c r="BI53" s="55"/>
      <c r="BJ53" s="55"/>
      <c r="BK53" s="55"/>
      <c r="BL53" s="55"/>
      <c r="BM53" s="55"/>
      <c r="BN53" s="55"/>
      <c r="BO53" s="55"/>
      <c r="BP53" s="55"/>
      <c r="BQ53" s="55"/>
      <c r="BR53" s="55"/>
      <c r="BS53" s="55"/>
      <c r="BT53" s="55"/>
      <c r="BU53" s="55"/>
      <c r="BV53" s="55"/>
      <c r="BW53" s="55"/>
      <c r="BX53" s="55"/>
      <c r="BY53" s="55"/>
      <c r="BZ53" s="55"/>
      <c r="CV53" s="39"/>
      <c r="DL53" s="345"/>
      <c r="DM53" s="345"/>
      <c r="DN53" s="345"/>
      <c r="DO53" s="345"/>
      <c r="DP53" s="345"/>
      <c r="DQ53" s="345"/>
      <c r="DR53" s="345"/>
      <c r="DS53" s="345"/>
      <c r="DT53" s="345"/>
      <c r="DU53" s="345"/>
      <c r="DV53" s="345"/>
      <c r="DW53" s="345"/>
      <c r="DX53" s="345"/>
      <c r="DY53" s="345"/>
      <c r="DZ53" s="345"/>
      <c r="EA53" s="345"/>
    </row>
    <row r="54" spans="1:131" s="58" customFormat="1" ht="15.75" thickTop="1" thickBot="1" x14ac:dyDescent="0.25">
      <c r="A54" s="55"/>
      <c r="B54" s="55"/>
      <c r="C54" s="277" t="str">
        <f>IF($C$2="English",CW54,CV54)</f>
        <v>Ergebnis nach Steuern</v>
      </c>
      <c r="D54" s="1187">
        <f>D48-D50-D52</f>
        <v>0</v>
      </c>
      <c r="E54" s="1187">
        <f ca="1">E48-E50-E52</f>
        <v>0</v>
      </c>
      <c r="F54" s="1187">
        <f ca="1">F48-F50-F52</f>
        <v>0</v>
      </c>
      <c r="G54" s="1187">
        <f ca="1">G48-G50-G52</f>
        <v>0</v>
      </c>
      <c r="H54" s="1188">
        <f ca="1">H48-H50-H52</f>
        <v>0</v>
      </c>
      <c r="I54" s="274"/>
      <c r="J54" s="55"/>
      <c r="K54" s="55"/>
      <c r="L54" s="55"/>
      <c r="M54" s="55"/>
      <c r="N54" s="55"/>
      <c r="O54" s="55"/>
      <c r="P54" s="55"/>
      <c r="Q54" s="55"/>
      <c r="R54" s="55"/>
      <c r="S54" s="122"/>
      <c r="T54" s="55"/>
      <c r="U54" s="55"/>
      <c r="V54" s="55"/>
      <c r="W54" s="55"/>
      <c r="X54" s="55"/>
      <c r="Y54" s="55"/>
      <c r="Z54" s="55"/>
      <c r="AA54" s="55"/>
      <c r="AB54" s="55"/>
      <c r="AC54" s="55"/>
      <c r="AD54" s="55"/>
      <c r="AE54" s="55"/>
      <c r="AF54" s="55"/>
      <c r="AG54" s="55"/>
      <c r="AH54" s="55"/>
      <c r="AI54" s="55"/>
      <c r="AJ54" s="55"/>
      <c r="AK54" s="55"/>
      <c r="AL54" s="55"/>
      <c r="AM54" s="55"/>
      <c r="AN54" s="55"/>
      <c r="AO54" s="55"/>
      <c r="AP54" s="55"/>
      <c r="AQ54" s="55"/>
      <c r="AR54" s="55"/>
      <c r="AS54" s="55"/>
      <c r="AT54" s="55"/>
      <c r="AU54" s="55"/>
      <c r="AV54" s="55"/>
      <c r="AW54" s="55"/>
      <c r="AX54" s="55"/>
      <c r="AY54" s="55"/>
      <c r="AZ54" s="55"/>
      <c r="BA54" s="55"/>
      <c r="BB54" s="55"/>
      <c r="BC54" s="55"/>
      <c r="BD54" s="55"/>
      <c r="BE54" s="55"/>
      <c r="BF54" s="55"/>
      <c r="BG54" s="55"/>
      <c r="BH54" s="55"/>
      <c r="BI54" s="55"/>
      <c r="BJ54" s="55"/>
      <c r="BK54" s="55"/>
      <c r="BL54" s="55"/>
      <c r="BM54" s="55"/>
      <c r="BN54" s="55"/>
      <c r="BO54" s="55"/>
      <c r="BP54" s="55"/>
      <c r="BQ54" s="55"/>
      <c r="BR54" s="55"/>
      <c r="BS54" s="55"/>
      <c r="BT54" s="55"/>
      <c r="BU54" s="55"/>
      <c r="BV54" s="55"/>
      <c r="BW54" s="55"/>
      <c r="BX54" s="55"/>
      <c r="BY54" s="55"/>
      <c r="BZ54" s="55"/>
      <c r="CV54" s="238" t="s">
        <v>162</v>
      </c>
      <c r="CW54" s="58" t="s">
        <v>342</v>
      </c>
      <c r="DL54" s="345"/>
      <c r="DM54" s="345"/>
      <c r="DN54" s="345"/>
      <c r="DO54" s="345"/>
      <c r="DP54" s="345"/>
      <c r="DQ54" s="345"/>
      <c r="DR54" s="345"/>
      <c r="DS54" s="345"/>
      <c r="DT54" s="345"/>
      <c r="DU54" s="345"/>
      <c r="DV54" s="345"/>
      <c r="DW54" s="345"/>
      <c r="DX54" s="345"/>
      <c r="DY54" s="345"/>
      <c r="DZ54" s="345"/>
      <c r="EA54" s="345"/>
    </row>
    <row r="55" spans="1:131" s="55" customFormat="1" x14ac:dyDescent="0.2">
      <c r="C55" s="155"/>
      <c r="D55" s="155"/>
      <c r="E55" s="155"/>
      <c r="F55" s="155"/>
      <c r="G55" s="155"/>
      <c r="H55" s="155"/>
      <c r="I55" s="155"/>
      <c r="S55" s="122"/>
      <c r="CV55" s="39"/>
      <c r="CW55" s="58"/>
      <c r="CX55" s="58"/>
      <c r="CY55" s="58"/>
      <c r="CZ55" s="58"/>
      <c r="DL55" s="96"/>
      <c r="DM55" s="96"/>
      <c r="DN55" s="96"/>
      <c r="DO55" s="96"/>
      <c r="DP55" s="96"/>
      <c r="DQ55" s="96"/>
      <c r="DR55" s="96"/>
      <c r="DS55" s="96"/>
      <c r="DT55" s="96"/>
      <c r="DU55" s="96"/>
      <c r="DV55" s="96"/>
      <c r="DW55" s="96"/>
      <c r="DX55" s="96"/>
      <c r="DY55" s="96"/>
      <c r="DZ55" s="96"/>
      <c r="EA55" s="96"/>
    </row>
    <row r="56" spans="1:131" s="219" customFormat="1" ht="18" x14ac:dyDescent="0.2">
      <c r="A56" s="229"/>
      <c r="B56" s="229"/>
      <c r="C56" s="278" t="str">
        <f>IF($C$2="English",CW56,CV56)</f>
        <v xml:space="preserve">*) Bis zu einem Gewinn von 24.500 € (Freibetrag) ist keine Gewerbesteuer (zur Berechnung s. auch Bedienungsanleitung </v>
      </c>
      <c r="P56" s="221"/>
      <c r="S56" s="232"/>
      <c r="CV56" s="897" t="s">
        <v>567</v>
      </c>
      <c r="CW56" s="222" t="s">
        <v>727</v>
      </c>
      <c r="CX56" s="222"/>
      <c r="CY56" s="222"/>
      <c r="CZ56" s="222"/>
      <c r="DL56" s="220"/>
      <c r="DM56" s="220"/>
      <c r="DN56" s="220"/>
      <c r="DO56" s="220"/>
      <c r="DP56" s="220"/>
      <c r="DQ56" s="220"/>
      <c r="DR56" s="220"/>
      <c r="DS56" s="220"/>
      <c r="DT56" s="220"/>
      <c r="DU56" s="220"/>
      <c r="DV56" s="220"/>
      <c r="DW56" s="220"/>
      <c r="DX56" s="220"/>
      <c r="DY56" s="220"/>
      <c r="DZ56" s="220"/>
      <c r="EA56" s="220"/>
    </row>
    <row r="57" spans="1:131" s="219" customFormat="1" ht="15" x14ac:dyDescent="0.2">
      <c r="A57" s="229"/>
      <c r="B57" s="229"/>
      <c r="C57" s="278" t="str">
        <f>IF($C$2="English",CW57,CV57)</f>
        <v xml:space="preserve">Finanzplanungstabellen; Download unter www.Kindermanns.de) zu zahlen. Die Höhe der Gewerbesteuer ist abhängig vom </v>
      </c>
      <c r="P57" s="221"/>
      <c r="S57" s="232"/>
      <c r="CV57" s="898" t="s">
        <v>418</v>
      </c>
      <c r="CW57" s="222" t="s">
        <v>728</v>
      </c>
      <c r="CX57" s="222"/>
      <c r="CY57" s="222"/>
      <c r="CZ57" s="222"/>
      <c r="DL57" s="220"/>
      <c r="DM57" s="220"/>
      <c r="DN57" s="220"/>
      <c r="DO57" s="220"/>
      <c r="DP57" s="220"/>
      <c r="DQ57" s="220"/>
      <c r="DR57" s="220"/>
      <c r="DS57" s="220"/>
      <c r="DT57" s="220"/>
      <c r="DU57" s="220"/>
      <c r="DV57" s="220"/>
      <c r="DW57" s="220"/>
      <c r="DX57" s="220"/>
      <c r="DY57" s="220"/>
      <c r="DZ57" s="220"/>
      <c r="EA57" s="220"/>
    </row>
    <row r="58" spans="1:131" s="219" customFormat="1" ht="15" x14ac:dyDescent="0.2">
      <c r="A58" s="229"/>
      <c r="B58" s="229"/>
      <c r="C58" s="278" t="str">
        <f>IF($C$2="English",CW58,CV58)</f>
        <v>"Hebesatz" der jeweiligen Gemeinde.</v>
      </c>
      <c r="P58" s="221"/>
      <c r="S58" s="232"/>
      <c r="CV58" s="898" t="s">
        <v>568</v>
      </c>
      <c r="CW58" s="222" t="s">
        <v>173</v>
      </c>
      <c r="CX58" s="222"/>
      <c r="CY58" s="222"/>
      <c r="CZ58" s="222"/>
      <c r="DL58" s="220"/>
      <c r="DM58" s="220"/>
      <c r="DN58" s="220"/>
      <c r="DO58" s="220"/>
      <c r="DP58" s="220"/>
      <c r="DQ58" s="220"/>
      <c r="DR58" s="220"/>
      <c r="DS58" s="220"/>
      <c r="DT58" s="220"/>
      <c r="DU58" s="220"/>
      <c r="DV58" s="220"/>
      <c r="DW58" s="220"/>
      <c r="DX58" s="220"/>
      <c r="DY58" s="220"/>
      <c r="DZ58" s="220"/>
      <c r="EA58" s="220"/>
    </row>
    <row r="59" spans="1:131" s="219" customFormat="1" x14ac:dyDescent="0.2">
      <c r="A59" s="229"/>
      <c r="B59" s="229"/>
      <c r="C59" s="278"/>
      <c r="P59" s="221"/>
      <c r="S59" s="232"/>
      <c r="CV59" s="223"/>
      <c r="CW59" s="222"/>
      <c r="CX59" s="222"/>
      <c r="CY59" s="222"/>
      <c r="CZ59" s="222"/>
      <c r="DL59" s="220"/>
      <c r="DM59" s="220"/>
      <c r="DN59" s="220"/>
      <c r="DO59" s="220"/>
      <c r="DP59" s="220"/>
      <c r="DQ59" s="220"/>
      <c r="DR59" s="220"/>
      <c r="DS59" s="220"/>
      <c r="DT59" s="220"/>
      <c r="DU59" s="220"/>
      <c r="DV59" s="220"/>
      <c r="DW59" s="220"/>
      <c r="DX59" s="220"/>
      <c r="DY59" s="220"/>
      <c r="DZ59" s="220"/>
      <c r="EA59" s="220"/>
    </row>
    <row r="60" spans="1:131" s="219" customFormat="1" x14ac:dyDescent="0.2">
      <c r="C60" s="279" t="s">
        <v>726</v>
      </c>
      <c r="P60" s="221"/>
      <c r="S60" s="232"/>
      <c r="CV60" s="899" t="s">
        <v>172</v>
      </c>
      <c r="CW60" s="899" t="s">
        <v>343</v>
      </c>
      <c r="CX60" s="222"/>
      <c r="CY60" s="222"/>
      <c r="CZ60" s="222"/>
      <c r="DL60" s="220"/>
      <c r="DM60" s="220"/>
      <c r="DN60" s="220"/>
      <c r="DO60" s="220"/>
      <c r="DP60" s="220"/>
      <c r="DQ60" s="220"/>
      <c r="DR60" s="220"/>
      <c r="DS60" s="220"/>
      <c r="DT60" s="220"/>
      <c r="DU60" s="220"/>
      <c r="DV60" s="220"/>
      <c r="DW60" s="220"/>
      <c r="DX60" s="220"/>
      <c r="DY60" s="220"/>
      <c r="DZ60" s="220"/>
      <c r="EA60" s="220"/>
    </row>
    <row r="61" spans="1:131" s="219" customFormat="1" x14ac:dyDescent="0.2">
      <c r="C61" s="279" t="s">
        <v>724</v>
      </c>
      <c r="P61" s="221"/>
      <c r="S61" s="232"/>
      <c r="CV61" s="899" t="s">
        <v>171</v>
      </c>
      <c r="CW61" s="899" t="s">
        <v>344</v>
      </c>
      <c r="CX61" s="222"/>
      <c r="CY61" s="222"/>
      <c r="CZ61" s="222"/>
      <c r="DL61" s="220"/>
      <c r="DM61" s="220"/>
      <c r="DN61" s="220"/>
      <c r="DO61" s="220"/>
      <c r="DP61" s="220"/>
      <c r="DQ61" s="220"/>
      <c r="DR61" s="220"/>
      <c r="DS61" s="220"/>
      <c r="DT61" s="220"/>
      <c r="DU61" s="220"/>
      <c r="DV61" s="220"/>
      <c r="DW61" s="220"/>
      <c r="DX61" s="220"/>
      <c r="DY61" s="220"/>
      <c r="DZ61" s="220"/>
      <c r="EA61" s="220"/>
    </row>
    <row r="62" spans="1:131" s="219" customFormat="1" x14ac:dyDescent="0.2">
      <c r="C62" s="280" t="str">
        <f>IF(C52="Körperschaftsteuer**)","","**) Grobschätzung Einkommensteuer nach Abgabenrechner des Bundesfinanzministerium | Rough estimation of  income tax according to German Federal Ministry of Finance")</f>
        <v>**) Grobschätzung Einkommensteuer nach Abgabenrechner des Bundesfinanzministerium | Rough estimation of  income tax according to German Federal Ministry of Finance</v>
      </c>
      <c r="D62" s="281"/>
      <c r="E62" s="281"/>
      <c r="F62" s="281"/>
      <c r="G62" s="281"/>
      <c r="H62" s="281"/>
      <c r="I62" s="281"/>
      <c r="S62" s="232"/>
      <c r="CV62" s="900" t="str">
        <f>IF(CV52="Körperschaftsteuer**)","**) Abschätzung Körperschaftssteuer","")</f>
        <v/>
      </c>
      <c r="CW62" s="222"/>
      <c r="CX62" s="222"/>
      <c r="CY62" s="222"/>
      <c r="CZ62" s="222"/>
      <c r="DL62" s="220"/>
      <c r="DM62" s="220"/>
      <c r="DN62" s="220"/>
      <c r="DO62" s="220"/>
      <c r="DP62" s="220"/>
      <c r="DQ62" s="220"/>
      <c r="DR62" s="220"/>
      <c r="DS62" s="220"/>
      <c r="DT62" s="220"/>
      <c r="DU62" s="220"/>
      <c r="DV62" s="220"/>
      <c r="DW62" s="220"/>
      <c r="DX62" s="220"/>
      <c r="DY62" s="220"/>
      <c r="DZ62" s="220"/>
      <c r="EA62" s="220"/>
    </row>
    <row r="63" spans="1:131" s="219" customFormat="1" x14ac:dyDescent="0.2">
      <c r="C63" s="280" t="s">
        <v>725</v>
      </c>
      <c r="P63" s="221"/>
      <c r="S63" s="232"/>
      <c r="CV63" s="283" t="str">
        <f>IF(CV52="Körperschaftsteuer**)","der zu zahlende Körperschaft-Steuersatz beträgt z.Z. 15 % des zu versteuernden Einkommens","")</f>
        <v/>
      </c>
      <c r="CW63" s="222"/>
      <c r="CX63" s="222"/>
      <c r="CY63" s="222"/>
      <c r="CZ63" s="222"/>
      <c r="DL63" s="220"/>
      <c r="DM63" s="220"/>
      <c r="DN63" s="220"/>
      <c r="DO63" s="220"/>
      <c r="DP63" s="220"/>
      <c r="DQ63" s="220"/>
      <c r="DR63" s="220"/>
      <c r="DS63" s="220"/>
      <c r="DT63" s="220"/>
      <c r="DU63" s="220"/>
      <c r="DV63" s="220"/>
      <c r="DW63" s="220"/>
      <c r="DX63" s="220"/>
      <c r="DY63" s="220"/>
      <c r="DZ63" s="220"/>
      <c r="EA63" s="220"/>
    </row>
    <row r="64" spans="1:131" s="219" customFormat="1" x14ac:dyDescent="0.2">
      <c r="C64" s="280"/>
      <c r="D64" s="279"/>
      <c r="E64" s="284"/>
      <c r="F64" s="282"/>
      <c r="G64" s="282"/>
      <c r="P64" s="221"/>
      <c r="S64" s="232"/>
      <c r="CV64" s="900" t="str">
        <f>IF(CV52="Körperschaftsteuer**)","","**) Grobschätzung Einkommensteuer nach Abgabenrechner des Bundesfinanzministerium")</f>
        <v>**) Grobschätzung Einkommensteuer nach Abgabenrechner des Bundesfinanzministerium</v>
      </c>
      <c r="CW64" s="222" t="s">
        <v>670</v>
      </c>
      <c r="CX64" s="222"/>
      <c r="CY64" s="222"/>
      <c r="CZ64" s="222"/>
      <c r="DL64" s="220"/>
      <c r="DM64" s="220"/>
      <c r="DN64" s="220"/>
      <c r="DO64" s="220"/>
      <c r="DP64" s="220"/>
      <c r="DQ64" s="220"/>
      <c r="DR64" s="220"/>
      <c r="DS64" s="220"/>
      <c r="DT64" s="220"/>
      <c r="DU64" s="220"/>
      <c r="DV64" s="220"/>
      <c r="DW64" s="220"/>
      <c r="DX64" s="220"/>
      <c r="DY64" s="220"/>
      <c r="DZ64" s="220"/>
      <c r="EA64" s="220"/>
    </row>
    <row r="65" spans="4:131" s="219" customFormat="1" x14ac:dyDescent="0.2">
      <c r="D65" s="285"/>
      <c r="E65" s="284"/>
      <c r="P65" s="221"/>
      <c r="S65" s="232"/>
      <c r="CV65" s="223"/>
      <c r="CW65" s="222"/>
      <c r="CX65" s="222"/>
      <c r="CY65" s="222"/>
      <c r="CZ65" s="222"/>
      <c r="DL65" s="220"/>
      <c r="DM65" s="220"/>
      <c r="DN65" s="220"/>
      <c r="DO65" s="220"/>
      <c r="DP65" s="220"/>
      <c r="DQ65" s="220"/>
      <c r="DR65" s="220"/>
      <c r="DS65" s="220"/>
      <c r="DT65" s="220"/>
      <c r="DU65" s="220"/>
      <c r="DV65" s="220"/>
      <c r="DW65" s="220"/>
      <c r="DX65" s="220"/>
      <c r="DY65" s="220"/>
      <c r="DZ65" s="220"/>
      <c r="EA65" s="220"/>
    </row>
    <row r="66" spans="4:131" s="219" customFormat="1" x14ac:dyDescent="0.2">
      <c r="P66" s="221"/>
      <c r="S66" s="232"/>
      <c r="CV66" s="223"/>
      <c r="CW66" s="222"/>
      <c r="CX66" s="222"/>
      <c r="CY66" s="222"/>
      <c r="CZ66" s="222"/>
      <c r="DL66" s="220"/>
      <c r="DM66" s="220"/>
      <c r="DN66" s="220"/>
      <c r="DO66" s="220"/>
      <c r="DP66" s="220"/>
      <c r="DQ66" s="220"/>
      <c r="DR66" s="220"/>
      <c r="DS66" s="220"/>
      <c r="DT66" s="220"/>
      <c r="DU66" s="220"/>
      <c r="DV66" s="220"/>
      <c r="DW66" s="220"/>
      <c r="DX66" s="220"/>
      <c r="DY66" s="220"/>
      <c r="DZ66" s="220"/>
      <c r="EA66" s="220"/>
    </row>
    <row r="67" spans="4:131" s="219" customFormat="1" x14ac:dyDescent="0.2">
      <c r="P67" s="221"/>
      <c r="S67" s="232"/>
      <c r="CV67" s="223"/>
      <c r="CW67" s="222"/>
      <c r="CX67" s="222"/>
      <c r="CY67" s="222"/>
      <c r="CZ67" s="222"/>
      <c r="DL67" s="220"/>
      <c r="DM67" s="220"/>
      <c r="DN67" s="220"/>
      <c r="DO67" s="220"/>
      <c r="DP67" s="220"/>
      <c r="DQ67" s="220"/>
      <c r="DR67" s="220"/>
      <c r="DS67" s="220"/>
      <c r="DT67" s="220"/>
      <c r="DU67" s="220"/>
      <c r="DV67" s="220"/>
      <c r="DW67" s="220"/>
      <c r="DX67" s="220"/>
      <c r="DY67" s="220"/>
      <c r="DZ67" s="220"/>
      <c r="EA67" s="220"/>
    </row>
    <row r="68" spans="4:131" s="219" customFormat="1" x14ac:dyDescent="0.2">
      <c r="E68" s="221"/>
      <c r="P68" s="221"/>
      <c r="S68" s="232"/>
      <c r="CV68" s="223"/>
      <c r="CW68" s="222"/>
      <c r="CX68" s="222"/>
      <c r="CY68" s="222"/>
      <c r="CZ68" s="222"/>
      <c r="DL68" s="220"/>
      <c r="DM68" s="220"/>
      <c r="DN68" s="220"/>
      <c r="DO68" s="220"/>
      <c r="DP68" s="220"/>
      <c r="DQ68" s="220"/>
      <c r="DR68" s="220"/>
      <c r="DS68" s="220"/>
      <c r="DT68" s="220"/>
      <c r="DU68" s="220"/>
      <c r="DV68" s="220"/>
      <c r="DW68" s="220"/>
      <c r="DX68" s="220"/>
      <c r="DY68" s="220"/>
      <c r="DZ68" s="220"/>
      <c r="EA68" s="220"/>
    </row>
    <row r="69" spans="4:131" s="219" customFormat="1" x14ac:dyDescent="0.2">
      <c r="P69" s="221"/>
      <c r="S69" s="232"/>
      <c r="CV69" s="223"/>
      <c r="CW69" s="222"/>
      <c r="CX69" s="222"/>
      <c r="CY69" s="222"/>
      <c r="CZ69" s="222"/>
      <c r="DL69" s="220"/>
      <c r="DM69" s="220"/>
      <c r="DN69" s="220"/>
      <c r="DO69" s="220"/>
      <c r="DP69" s="220"/>
      <c r="DQ69" s="220"/>
      <c r="DR69" s="220"/>
      <c r="DS69" s="220"/>
      <c r="DT69" s="220"/>
      <c r="DU69" s="220"/>
      <c r="DV69" s="220"/>
      <c r="DW69" s="220"/>
      <c r="DX69" s="220"/>
      <c r="DY69" s="220"/>
      <c r="DZ69" s="220"/>
      <c r="EA69" s="220"/>
    </row>
    <row r="70" spans="4:131" s="219" customFormat="1" x14ac:dyDescent="0.2">
      <c r="P70" s="221"/>
      <c r="S70" s="232"/>
      <c r="CV70" s="223"/>
      <c r="CW70" s="222"/>
      <c r="CX70" s="222"/>
      <c r="CY70" s="222"/>
      <c r="CZ70" s="222"/>
      <c r="DL70" s="220"/>
      <c r="DM70" s="220"/>
      <c r="DN70" s="220"/>
      <c r="DO70" s="220"/>
      <c r="DP70" s="220"/>
      <c r="DQ70" s="220"/>
      <c r="DR70" s="220"/>
      <c r="DS70" s="220"/>
      <c r="DT70" s="220"/>
      <c r="DU70" s="220"/>
      <c r="DV70" s="220"/>
      <c r="DW70" s="220"/>
      <c r="DX70" s="220"/>
      <c r="DY70" s="220"/>
      <c r="DZ70" s="220"/>
      <c r="EA70" s="220"/>
    </row>
    <row r="71" spans="4:131" s="219" customFormat="1" x14ac:dyDescent="0.2">
      <c r="P71" s="221"/>
      <c r="S71" s="232"/>
      <c r="CV71" s="223"/>
      <c r="CW71" s="222"/>
      <c r="CX71" s="222"/>
      <c r="CY71" s="222"/>
      <c r="CZ71" s="222"/>
      <c r="DL71" s="220"/>
      <c r="DM71" s="220"/>
      <c r="DN71" s="220"/>
      <c r="DO71" s="220"/>
      <c r="DP71" s="220"/>
      <c r="DQ71" s="220"/>
      <c r="DR71" s="220"/>
      <c r="DS71" s="220"/>
      <c r="DT71" s="220"/>
      <c r="DU71" s="220"/>
      <c r="DV71" s="220"/>
      <c r="DW71" s="220"/>
      <c r="DX71" s="220"/>
      <c r="DY71" s="220"/>
      <c r="DZ71" s="220"/>
      <c r="EA71" s="220"/>
    </row>
    <row r="72" spans="4:131" s="219" customFormat="1" x14ac:dyDescent="0.2">
      <c r="P72" s="221"/>
      <c r="S72" s="232"/>
      <c r="CV72" s="223"/>
      <c r="CW72" s="222"/>
      <c r="CX72" s="222"/>
      <c r="CY72" s="222"/>
      <c r="CZ72" s="222"/>
      <c r="DL72" s="220"/>
      <c r="DM72" s="220"/>
      <c r="DN72" s="220"/>
      <c r="DO72" s="220"/>
      <c r="DP72" s="220"/>
      <c r="DQ72" s="220"/>
      <c r="DR72" s="220"/>
      <c r="DS72" s="220"/>
      <c r="DT72" s="220"/>
      <c r="DU72" s="220"/>
      <c r="DV72" s="220"/>
      <c r="DW72" s="220"/>
      <c r="DX72" s="220"/>
      <c r="DY72" s="220"/>
      <c r="DZ72" s="220"/>
      <c r="EA72" s="220"/>
    </row>
    <row r="73" spans="4:131" s="219" customFormat="1" x14ac:dyDescent="0.2">
      <c r="P73" s="221"/>
      <c r="S73" s="232"/>
      <c r="CV73" s="223"/>
      <c r="CW73" s="222"/>
      <c r="CX73" s="222"/>
      <c r="CY73" s="222"/>
      <c r="CZ73" s="222"/>
      <c r="DL73" s="220"/>
      <c r="DM73" s="220"/>
      <c r="DN73" s="220"/>
      <c r="DO73" s="220"/>
      <c r="DP73" s="220"/>
      <c r="DQ73" s="220"/>
      <c r="DR73" s="220"/>
      <c r="DS73" s="220"/>
      <c r="DT73" s="220"/>
      <c r="DU73" s="220"/>
      <c r="DV73" s="220"/>
      <c r="DW73" s="220"/>
      <c r="DX73" s="220"/>
      <c r="DY73" s="220"/>
      <c r="DZ73" s="220"/>
      <c r="EA73" s="220"/>
    </row>
    <row r="74" spans="4:131" s="219" customFormat="1" x14ac:dyDescent="0.2">
      <c r="P74" s="221"/>
      <c r="S74" s="232"/>
      <c r="CV74" s="223"/>
      <c r="CW74" s="222"/>
      <c r="CX74" s="222"/>
      <c r="CY74" s="222"/>
      <c r="CZ74" s="222"/>
      <c r="DL74" s="220"/>
      <c r="DM74" s="220"/>
      <c r="DN74" s="220"/>
      <c r="DO74" s="220"/>
      <c r="DP74" s="220"/>
      <c r="DQ74" s="220"/>
      <c r="DR74" s="220"/>
      <c r="DS74" s="220"/>
      <c r="DT74" s="220"/>
      <c r="DU74" s="220"/>
      <c r="DV74" s="220"/>
      <c r="DW74" s="220"/>
      <c r="DX74" s="220"/>
      <c r="DY74" s="220"/>
      <c r="DZ74" s="220"/>
      <c r="EA74" s="220"/>
    </row>
    <row r="75" spans="4:131" s="219" customFormat="1" x14ac:dyDescent="0.2">
      <c r="P75" s="221"/>
      <c r="S75" s="232"/>
      <c r="CV75" s="223"/>
      <c r="CW75" s="222"/>
      <c r="CX75" s="222"/>
      <c r="CY75" s="222"/>
      <c r="CZ75" s="222"/>
      <c r="DL75" s="220"/>
      <c r="DM75" s="220"/>
      <c r="DN75" s="220"/>
      <c r="DO75" s="220"/>
      <c r="DP75" s="220"/>
      <c r="DQ75" s="220"/>
      <c r="DR75" s="220"/>
      <c r="DS75" s="220"/>
      <c r="DT75" s="220"/>
      <c r="DU75" s="220"/>
      <c r="DV75" s="220"/>
      <c r="DW75" s="220"/>
      <c r="DX75" s="220"/>
      <c r="DY75" s="220"/>
      <c r="DZ75" s="220"/>
      <c r="EA75" s="220"/>
    </row>
    <row r="76" spans="4:131" s="219" customFormat="1" x14ac:dyDescent="0.2">
      <c r="P76" s="221"/>
      <c r="S76" s="232"/>
      <c r="CV76" s="223"/>
      <c r="CW76" s="222"/>
      <c r="CX76" s="222"/>
      <c r="CY76" s="222"/>
      <c r="CZ76" s="222"/>
      <c r="DL76" s="220"/>
      <c r="DM76" s="220"/>
      <c r="DN76" s="220"/>
      <c r="DO76" s="220"/>
      <c r="DP76" s="220"/>
      <c r="DQ76" s="220"/>
      <c r="DR76" s="220"/>
      <c r="DS76" s="220"/>
      <c r="DT76" s="220"/>
      <c r="DU76" s="220"/>
      <c r="DV76" s="220"/>
      <c r="DW76" s="220"/>
      <c r="DX76" s="220"/>
      <c r="DY76" s="220"/>
      <c r="DZ76" s="220"/>
      <c r="EA76" s="220"/>
    </row>
    <row r="77" spans="4:131" s="219" customFormat="1" x14ac:dyDescent="0.2">
      <c r="P77" s="221"/>
      <c r="S77" s="232"/>
      <c r="CV77" s="223"/>
      <c r="CW77" s="222"/>
      <c r="CX77" s="222"/>
      <c r="CY77" s="222"/>
      <c r="CZ77" s="222"/>
      <c r="DL77" s="220"/>
      <c r="DM77" s="220"/>
      <c r="DN77" s="220"/>
      <c r="DO77" s="220"/>
      <c r="DP77" s="220"/>
      <c r="DQ77" s="220"/>
      <c r="DR77" s="220"/>
      <c r="DS77" s="220"/>
      <c r="DT77" s="220"/>
      <c r="DU77" s="220"/>
      <c r="DV77" s="220"/>
      <c r="DW77" s="220"/>
      <c r="DX77" s="220"/>
      <c r="DY77" s="220"/>
      <c r="DZ77" s="220"/>
      <c r="EA77" s="220"/>
    </row>
    <row r="78" spans="4:131" s="219" customFormat="1" x14ac:dyDescent="0.2">
      <c r="P78" s="221"/>
      <c r="S78" s="232"/>
      <c r="CV78" s="223"/>
      <c r="CW78" s="222"/>
      <c r="CX78" s="222"/>
      <c r="CY78" s="222"/>
      <c r="CZ78" s="222"/>
      <c r="DL78" s="220"/>
      <c r="DM78" s="220"/>
      <c r="DN78" s="220"/>
      <c r="DO78" s="220"/>
      <c r="DP78" s="220"/>
      <c r="DQ78" s="220"/>
      <c r="DR78" s="220"/>
      <c r="DS78" s="220"/>
      <c r="DT78" s="220"/>
      <c r="DU78" s="220"/>
      <c r="DV78" s="220"/>
      <c r="DW78" s="220"/>
      <c r="DX78" s="220"/>
      <c r="DY78" s="220"/>
      <c r="DZ78" s="220"/>
      <c r="EA78" s="220"/>
    </row>
    <row r="79" spans="4:131" s="219" customFormat="1" x14ac:dyDescent="0.2">
      <c r="P79" s="221"/>
      <c r="S79" s="232"/>
      <c r="CV79" s="223"/>
      <c r="CW79" s="222"/>
      <c r="CX79" s="222"/>
      <c r="CY79" s="222"/>
      <c r="CZ79" s="222"/>
      <c r="DL79" s="220"/>
      <c r="DM79" s="220"/>
      <c r="DN79" s="220"/>
      <c r="DO79" s="220"/>
      <c r="DP79" s="220"/>
      <c r="DQ79" s="220"/>
      <c r="DR79" s="220"/>
      <c r="DS79" s="220"/>
      <c r="DT79" s="220"/>
      <c r="DU79" s="220"/>
      <c r="DV79" s="220"/>
      <c r="DW79" s="220"/>
      <c r="DX79" s="220"/>
      <c r="DY79" s="220"/>
      <c r="DZ79" s="220"/>
      <c r="EA79" s="220"/>
    </row>
    <row r="80" spans="4:131" s="219" customFormat="1" x14ac:dyDescent="0.2">
      <c r="P80" s="221"/>
      <c r="S80" s="232"/>
      <c r="CV80" s="223"/>
      <c r="CW80" s="222"/>
      <c r="CX80" s="222"/>
      <c r="CY80" s="222"/>
      <c r="CZ80" s="222"/>
      <c r="DL80" s="220"/>
      <c r="DM80" s="220"/>
      <c r="DN80" s="220"/>
      <c r="DO80" s="220"/>
      <c r="DP80" s="220"/>
      <c r="DQ80" s="220"/>
      <c r="DR80" s="220"/>
      <c r="DS80" s="220"/>
      <c r="DT80" s="220"/>
      <c r="DU80" s="220"/>
      <c r="DV80" s="220"/>
      <c r="DW80" s="220"/>
      <c r="DX80" s="220"/>
      <c r="DY80" s="220"/>
      <c r="DZ80" s="220"/>
      <c r="EA80" s="220"/>
    </row>
    <row r="81" spans="16:131" s="219" customFormat="1" x14ac:dyDescent="0.2">
      <c r="P81" s="221"/>
      <c r="S81" s="232"/>
      <c r="CV81" s="223"/>
      <c r="CW81" s="222"/>
      <c r="CX81" s="222"/>
      <c r="CY81" s="222"/>
      <c r="CZ81" s="222"/>
      <c r="DL81" s="220"/>
      <c r="DM81" s="220"/>
      <c r="DN81" s="220"/>
      <c r="DO81" s="220"/>
      <c r="DP81" s="220"/>
      <c r="DQ81" s="220"/>
      <c r="DR81" s="220"/>
      <c r="DS81" s="220"/>
      <c r="DT81" s="220"/>
      <c r="DU81" s="220"/>
      <c r="DV81" s="220"/>
      <c r="DW81" s="220"/>
      <c r="DX81" s="220"/>
      <c r="DY81" s="220"/>
      <c r="DZ81" s="220"/>
      <c r="EA81" s="220"/>
    </row>
    <row r="82" spans="16:131" s="219" customFormat="1" x14ac:dyDescent="0.2">
      <c r="P82" s="221"/>
      <c r="S82" s="232"/>
      <c r="CV82" s="223"/>
      <c r="CW82" s="222"/>
      <c r="CX82" s="222"/>
      <c r="CY82" s="222"/>
      <c r="CZ82" s="222"/>
      <c r="DL82" s="220"/>
      <c r="DM82" s="220"/>
      <c r="DN82" s="220"/>
      <c r="DO82" s="220"/>
      <c r="DP82" s="220"/>
      <c r="DQ82" s="220"/>
      <c r="DR82" s="220"/>
      <c r="DS82" s="220"/>
      <c r="DT82" s="220"/>
      <c r="DU82" s="220"/>
      <c r="DV82" s="220"/>
      <c r="DW82" s="220"/>
      <c r="DX82" s="220"/>
      <c r="DY82" s="220"/>
      <c r="DZ82" s="220"/>
      <c r="EA82" s="220"/>
    </row>
    <row r="83" spans="16:131" s="219" customFormat="1" x14ac:dyDescent="0.2">
      <c r="P83" s="221"/>
      <c r="S83" s="232"/>
      <c r="CV83" s="223"/>
      <c r="CW83" s="222"/>
      <c r="CX83" s="222"/>
      <c r="CY83" s="222"/>
      <c r="CZ83" s="222"/>
      <c r="DL83" s="220"/>
      <c r="DM83" s="220"/>
      <c r="DN83" s="220"/>
      <c r="DO83" s="220"/>
      <c r="DP83" s="220"/>
      <c r="DQ83" s="220"/>
      <c r="DR83" s="220"/>
      <c r="DS83" s="220"/>
      <c r="DT83" s="220"/>
      <c r="DU83" s="220"/>
      <c r="DV83" s="220"/>
      <c r="DW83" s="220"/>
      <c r="DX83" s="220"/>
      <c r="DY83" s="220"/>
      <c r="DZ83" s="220"/>
      <c r="EA83" s="220"/>
    </row>
    <row r="84" spans="16:131" s="219" customFormat="1" x14ac:dyDescent="0.2">
      <c r="P84" s="221"/>
      <c r="S84" s="232"/>
      <c r="CV84" s="223"/>
      <c r="CW84" s="222"/>
      <c r="CX84" s="222"/>
      <c r="CY84" s="222"/>
      <c r="CZ84" s="222"/>
      <c r="DL84" s="220"/>
      <c r="DM84" s="220"/>
      <c r="DN84" s="220"/>
      <c r="DO84" s="220"/>
      <c r="DP84" s="220"/>
      <c r="DQ84" s="220"/>
      <c r="DR84" s="220"/>
      <c r="DS84" s="220"/>
      <c r="DT84" s="220"/>
      <c r="DU84" s="220"/>
      <c r="DV84" s="220"/>
      <c r="DW84" s="220"/>
      <c r="DX84" s="220"/>
      <c r="DY84" s="220"/>
      <c r="DZ84" s="220"/>
      <c r="EA84" s="220"/>
    </row>
    <row r="85" spans="16:131" s="219" customFormat="1" x14ac:dyDescent="0.2">
      <c r="P85" s="221"/>
      <c r="S85" s="232"/>
      <c r="CV85" s="223"/>
      <c r="CW85" s="222"/>
      <c r="CX85" s="222"/>
      <c r="CY85" s="222"/>
      <c r="CZ85" s="222"/>
      <c r="DL85" s="220"/>
      <c r="DM85" s="220"/>
      <c r="DN85" s="220"/>
      <c r="DO85" s="220"/>
      <c r="DP85" s="220"/>
      <c r="DQ85" s="220"/>
      <c r="DR85" s="220"/>
      <c r="DS85" s="220"/>
      <c r="DT85" s="220"/>
      <c r="DU85" s="220"/>
      <c r="DV85" s="220"/>
      <c r="DW85" s="220"/>
      <c r="DX85" s="220"/>
      <c r="DY85" s="220"/>
      <c r="DZ85" s="220"/>
      <c r="EA85" s="220"/>
    </row>
    <row r="86" spans="16:131" s="219" customFormat="1" x14ac:dyDescent="0.2">
      <c r="P86" s="221"/>
      <c r="S86" s="232"/>
      <c r="CV86" s="223"/>
      <c r="CW86" s="222"/>
      <c r="CX86" s="222"/>
      <c r="CY86" s="222"/>
      <c r="CZ86" s="222"/>
      <c r="DL86" s="220"/>
      <c r="DM86" s="220"/>
      <c r="DN86" s="220"/>
      <c r="DO86" s="220"/>
      <c r="DP86" s="220"/>
      <c r="DQ86" s="220"/>
      <c r="DR86" s="220"/>
      <c r="DS86" s="220"/>
      <c r="DT86" s="220"/>
      <c r="DU86" s="220"/>
      <c r="DV86" s="220"/>
      <c r="DW86" s="220"/>
      <c r="DX86" s="220"/>
      <c r="DY86" s="220"/>
      <c r="DZ86" s="220"/>
      <c r="EA86" s="220"/>
    </row>
    <row r="87" spans="16:131" s="219" customFormat="1" x14ac:dyDescent="0.2">
      <c r="P87" s="221"/>
      <c r="S87" s="232"/>
      <c r="CV87" s="223"/>
      <c r="CW87" s="222"/>
      <c r="CX87" s="222"/>
      <c r="CY87" s="222"/>
      <c r="CZ87" s="222"/>
      <c r="DL87" s="220"/>
      <c r="DM87" s="220"/>
      <c r="DN87" s="220"/>
      <c r="DO87" s="220"/>
      <c r="DP87" s="220"/>
      <c r="DQ87" s="220"/>
      <c r="DR87" s="220"/>
      <c r="DS87" s="220"/>
      <c r="DT87" s="220"/>
      <c r="DU87" s="220"/>
      <c r="DV87" s="220"/>
      <c r="DW87" s="220"/>
      <c r="DX87" s="220"/>
      <c r="DY87" s="220"/>
      <c r="DZ87" s="220"/>
      <c r="EA87" s="220"/>
    </row>
    <row r="88" spans="16:131" s="219" customFormat="1" x14ac:dyDescent="0.2">
      <c r="P88" s="221"/>
      <c r="S88" s="232"/>
      <c r="CV88" s="223"/>
      <c r="CW88" s="222"/>
      <c r="CX88" s="222"/>
      <c r="CY88" s="222"/>
      <c r="CZ88" s="222"/>
      <c r="DL88" s="220"/>
      <c r="DM88" s="220"/>
      <c r="DN88" s="220"/>
      <c r="DO88" s="220"/>
      <c r="DP88" s="220"/>
      <c r="DQ88" s="220"/>
      <c r="DR88" s="220"/>
      <c r="DS88" s="220"/>
      <c r="DT88" s="220"/>
      <c r="DU88" s="220"/>
      <c r="DV88" s="220"/>
      <c r="DW88" s="220"/>
      <c r="DX88" s="220"/>
      <c r="DY88" s="220"/>
      <c r="DZ88" s="220"/>
      <c r="EA88" s="220"/>
    </row>
    <row r="89" spans="16:131" s="219" customFormat="1" x14ac:dyDescent="0.2">
      <c r="P89" s="221"/>
      <c r="S89" s="232"/>
      <c r="CV89" s="223"/>
      <c r="CW89" s="222"/>
      <c r="CX89" s="222"/>
      <c r="CY89" s="222"/>
      <c r="CZ89" s="222"/>
      <c r="DL89" s="220"/>
      <c r="DM89" s="220"/>
      <c r="DN89" s="220"/>
      <c r="DO89" s="220"/>
      <c r="DP89" s="220"/>
      <c r="DQ89" s="220"/>
      <c r="DR89" s="220"/>
      <c r="DS89" s="220"/>
      <c r="DT89" s="220"/>
      <c r="DU89" s="220"/>
      <c r="DV89" s="220"/>
      <c r="DW89" s="220"/>
      <c r="DX89" s="220"/>
      <c r="DY89" s="220"/>
      <c r="DZ89" s="220"/>
      <c r="EA89" s="220"/>
    </row>
    <row r="90" spans="16:131" s="219" customFormat="1" x14ac:dyDescent="0.2">
      <c r="P90" s="221"/>
      <c r="S90" s="232"/>
      <c r="CV90" s="223"/>
      <c r="CW90" s="222"/>
      <c r="CX90" s="222"/>
      <c r="CY90" s="222"/>
      <c r="CZ90" s="222"/>
      <c r="DL90" s="220"/>
      <c r="DM90" s="220"/>
      <c r="DN90" s="220"/>
      <c r="DO90" s="220"/>
      <c r="DP90" s="220"/>
      <c r="DQ90" s="220"/>
      <c r="DR90" s="220"/>
      <c r="DS90" s="220"/>
      <c r="DT90" s="220"/>
      <c r="DU90" s="220"/>
      <c r="DV90" s="220"/>
      <c r="DW90" s="220"/>
      <c r="DX90" s="220"/>
      <c r="DY90" s="220"/>
      <c r="DZ90" s="220"/>
      <c r="EA90" s="220"/>
    </row>
    <row r="91" spans="16:131" s="219" customFormat="1" x14ac:dyDescent="0.2">
      <c r="P91" s="221"/>
      <c r="S91" s="232"/>
      <c r="CV91" s="223"/>
      <c r="CW91" s="222"/>
      <c r="CX91" s="222"/>
      <c r="CY91" s="222"/>
      <c r="CZ91" s="222"/>
      <c r="DL91" s="220"/>
      <c r="DM91" s="220"/>
      <c r="DN91" s="220"/>
      <c r="DO91" s="220"/>
      <c r="DP91" s="220"/>
      <c r="DQ91" s="220"/>
      <c r="DR91" s="220"/>
      <c r="DS91" s="220"/>
      <c r="DT91" s="220"/>
      <c r="DU91" s="220"/>
      <c r="DV91" s="220"/>
      <c r="DW91" s="220"/>
      <c r="DX91" s="220"/>
      <c r="DY91" s="220"/>
      <c r="DZ91" s="220"/>
      <c r="EA91" s="220"/>
    </row>
    <row r="92" spans="16:131" s="219" customFormat="1" x14ac:dyDescent="0.2">
      <c r="P92" s="221"/>
      <c r="S92" s="232"/>
      <c r="CV92" s="223"/>
      <c r="CW92" s="222"/>
      <c r="CX92" s="222"/>
      <c r="CY92" s="222"/>
      <c r="CZ92" s="222"/>
      <c r="DL92" s="220"/>
      <c r="DM92" s="220"/>
      <c r="DN92" s="220"/>
      <c r="DO92" s="220"/>
      <c r="DP92" s="220"/>
      <c r="DQ92" s="220"/>
      <c r="DR92" s="220"/>
      <c r="DS92" s="220"/>
      <c r="DT92" s="220"/>
      <c r="DU92" s="220"/>
      <c r="DV92" s="220"/>
      <c r="DW92" s="220"/>
      <c r="DX92" s="220"/>
      <c r="DY92" s="220"/>
      <c r="DZ92" s="220"/>
      <c r="EA92" s="220"/>
    </row>
    <row r="93" spans="16:131" s="219" customFormat="1" x14ac:dyDescent="0.2">
      <c r="P93" s="221"/>
      <c r="S93" s="232"/>
      <c r="CV93" s="223"/>
      <c r="CW93" s="222"/>
      <c r="CX93" s="222"/>
      <c r="CY93" s="222"/>
      <c r="CZ93" s="222"/>
      <c r="DL93" s="220"/>
      <c r="DM93" s="220"/>
      <c r="DN93" s="220"/>
      <c r="DO93" s="220"/>
      <c r="DP93" s="220"/>
      <c r="DQ93" s="220"/>
      <c r="DR93" s="220"/>
      <c r="DS93" s="220"/>
      <c r="DT93" s="220"/>
      <c r="DU93" s="220"/>
      <c r="DV93" s="220"/>
      <c r="DW93" s="220"/>
      <c r="DX93" s="220"/>
      <c r="DY93" s="220"/>
      <c r="DZ93" s="220"/>
      <c r="EA93" s="220"/>
    </row>
    <row r="94" spans="16:131" s="219" customFormat="1" x14ac:dyDescent="0.2">
      <c r="P94" s="221"/>
      <c r="S94" s="232"/>
      <c r="CV94" s="223"/>
      <c r="CW94" s="222"/>
      <c r="CX94" s="222"/>
      <c r="CY94" s="222"/>
      <c r="CZ94" s="222"/>
      <c r="DL94" s="220"/>
      <c r="DM94" s="220"/>
      <c r="DN94" s="220"/>
      <c r="DO94" s="220"/>
      <c r="DP94" s="220"/>
      <c r="DQ94" s="220"/>
      <c r="DR94" s="220"/>
      <c r="DS94" s="220"/>
      <c r="DT94" s="220"/>
      <c r="DU94" s="220"/>
      <c r="DV94" s="220"/>
      <c r="DW94" s="220"/>
      <c r="DX94" s="220"/>
      <c r="DY94" s="220"/>
      <c r="DZ94" s="220"/>
      <c r="EA94" s="220"/>
    </row>
    <row r="95" spans="16:131" s="219" customFormat="1" x14ac:dyDescent="0.2">
      <c r="P95" s="221"/>
      <c r="S95" s="232"/>
      <c r="CV95" s="223"/>
      <c r="CW95" s="222"/>
      <c r="CX95" s="222"/>
      <c r="CY95" s="222"/>
      <c r="CZ95" s="222"/>
      <c r="DL95" s="220"/>
      <c r="DM95" s="220"/>
      <c r="DN95" s="220"/>
      <c r="DO95" s="220"/>
      <c r="DP95" s="220"/>
      <c r="DQ95" s="220"/>
      <c r="DR95" s="220"/>
      <c r="DS95" s="220"/>
      <c r="DT95" s="220"/>
      <c r="DU95" s="220"/>
      <c r="DV95" s="220"/>
      <c r="DW95" s="220"/>
      <c r="DX95" s="220"/>
      <c r="DY95" s="220"/>
      <c r="DZ95" s="220"/>
      <c r="EA95" s="220"/>
    </row>
    <row r="96" spans="16:131" s="219" customFormat="1" x14ac:dyDescent="0.2">
      <c r="P96" s="221"/>
      <c r="S96" s="232"/>
      <c r="CV96" s="223"/>
      <c r="CW96" s="222"/>
      <c r="CX96" s="222"/>
      <c r="CY96" s="222"/>
      <c r="CZ96" s="222"/>
      <c r="DL96" s="220"/>
      <c r="DM96" s="220"/>
      <c r="DN96" s="220"/>
      <c r="DO96" s="220"/>
      <c r="DP96" s="220"/>
      <c r="DQ96" s="220"/>
      <c r="DR96" s="220"/>
      <c r="DS96" s="220"/>
      <c r="DT96" s="220"/>
      <c r="DU96" s="220"/>
      <c r="DV96" s="220"/>
      <c r="DW96" s="220"/>
      <c r="DX96" s="220"/>
      <c r="DY96" s="220"/>
      <c r="DZ96" s="220"/>
      <c r="EA96" s="220"/>
    </row>
    <row r="97" spans="16:131" s="219" customFormat="1" x14ac:dyDescent="0.2">
      <c r="P97" s="221"/>
      <c r="S97" s="232"/>
      <c r="CV97" s="223"/>
      <c r="CW97" s="222"/>
      <c r="CX97" s="222"/>
      <c r="CY97" s="222"/>
      <c r="CZ97" s="222"/>
      <c r="DL97" s="220"/>
      <c r="DM97" s="220"/>
      <c r="DN97" s="220"/>
      <c r="DO97" s="220"/>
      <c r="DP97" s="220"/>
      <c r="DQ97" s="220"/>
      <c r="DR97" s="220"/>
      <c r="DS97" s="220"/>
      <c r="DT97" s="220"/>
      <c r="DU97" s="220"/>
      <c r="DV97" s="220"/>
      <c r="DW97" s="220"/>
      <c r="DX97" s="220"/>
      <c r="DY97" s="220"/>
      <c r="DZ97" s="220"/>
      <c r="EA97" s="220"/>
    </row>
    <row r="98" spans="16:131" s="219" customFormat="1" x14ac:dyDescent="0.2">
      <c r="P98" s="221"/>
      <c r="S98" s="232"/>
      <c r="CV98" s="223"/>
      <c r="CW98" s="222"/>
      <c r="CX98" s="222"/>
      <c r="CY98" s="222"/>
      <c r="CZ98" s="222"/>
      <c r="DL98" s="220"/>
      <c r="DM98" s="220"/>
      <c r="DN98" s="220"/>
      <c r="DO98" s="220"/>
      <c r="DP98" s="220"/>
      <c r="DQ98" s="220"/>
      <c r="DR98" s="220"/>
      <c r="DS98" s="220"/>
      <c r="DT98" s="220"/>
      <c r="DU98" s="220"/>
      <c r="DV98" s="220"/>
      <c r="DW98" s="220"/>
      <c r="DX98" s="220"/>
      <c r="DY98" s="220"/>
      <c r="DZ98" s="220"/>
      <c r="EA98" s="220"/>
    </row>
    <row r="99" spans="16:131" s="219" customFormat="1" x14ac:dyDescent="0.2">
      <c r="P99" s="221"/>
      <c r="S99" s="232"/>
      <c r="CV99" s="223"/>
      <c r="CW99" s="222"/>
      <c r="CX99" s="222"/>
      <c r="CY99" s="222"/>
      <c r="CZ99" s="222"/>
      <c r="DL99" s="220"/>
      <c r="DM99" s="220"/>
      <c r="DN99" s="220"/>
      <c r="DO99" s="220"/>
      <c r="DP99" s="220"/>
      <c r="DQ99" s="220"/>
      <c r="DR99" s="220"/>
      <c r="DS99" s="220"/>
      <c r="DT99" s="220"/>
      <c r="DU99" s="220"/>
      <c r="DV99" s="220"/>
      <c r="DW99" s="220"/>
      <c r="DX99" s="220"/>
      <c r="DY99" s="220"/>
      <c r="DZ99" s="220"/>
      <c r="EA99" s="220"/>
    </row>
    <row r="100" spans="16:131" s="219" customFormat="1" x14ac:dyDescent="0.2">
      <c r="P100" s="221"/>
      <c r="S100" s="232"/>
      <c r="CV100" s="223"/>
      <c r="CW100" s="222"/>
      <c r="CX100" s="222"/>
      <c r="CY100" s="222"/>
      <c r="CZ100" s="222"/>
      <c r="DL100" s="220"/>
      <c r="DM100" s="220"/>
      <c r="DN100" s="220"/>
      <c r="DO100" s="220"/>
      <c r="DP100" s="220"/>
      <c r="DQ100" s="220"/>
      <c r="DR100" s="220"/>
      <c r="DS100" s="220"/>
      <c r="DT100" s="220"/>
      <c r="DU100" s="220"/>
      <c r="DV100" s="220"/>
      <c r="DW100" s="220"/>
      <c r="DX100" s="220"/>
      <c r="DY100" s="220"/>
      <c r="DZ100" s="220"/>
      <c r="EA100" s="220"/>
    </row>
    <row r="101" spans="16:131" s="219" customFormat="1" x14ac:dyDescent="0.2">
      <c r="P101" s="221"/>
      <c r="S101" s="232"/>
      <c r="CV101" s="223"/>
      <c r="CW101" s="222"/>
      <c r="CX101" s="222"/>
      <c r="CY101" s="222"/>
      <c r="CZ101" s="222"/>
      <c r="DL101" s="220"/>
      <c r="DM101" s="220"/>
      <c r="DN101" s="220"/>
      <c r="DO101" s="220"/>
      <c r="DP101" s="220"/>
      <c r="DQ101" s="220"/>
      <c r="DR101" s="220"/>
      <c r="DS101" s="220"/>
      <c r="DT101" s="220"/>
      <c r="DU101" s="220"/>
      <c r="DV101" s="220"/>
      <c r="DW101" s="220"/>
      <c r="DX101" s="220"/>
      <c r="DY101" s="220"/>
      <c r="DZ101" s="220"/>
      <c r="EA101" s="220"/>
    </row>
    <row r="102" spans="16:131" s="219" customFormat="1" x14ac:dyDescent="0.2">
      <c r="P102" s="221"/>
      <c r="S102" s="232"/>
      <c r="CV102" s="223"/>
      <c r="CW102" s="222"/>
      <c r="CX102" s="222"/>
      <c r="CY102" s="222"/>
      <c r="CZ102" s="222"/>
      <c r="DL102" s="220"/>
      <c r="DM102" s="220"/>
      <c r="DN102" s="220"/>
      <c r="DO102" s="220"/>
      <c r="DP102" s="220"/>
      <c r="DQ102" s="220"/>
      <c r="DR102" s="220"/>
      <c r="DS102" s="220"/>
      <c r="DT102" s="220"/>
      <c r="DU102" s="220"/>
      <c r="DV102" s="220"/>
      <c r="DW102" s="220"/>
      <c r="DX102" s="220"/>
      <c r="DY102" s="220"/>
      <c r="DZ102" s="220"/>
      <c r="EA102" s="220"/>
    </row>
    <row r="103" spans="16:131" s="219" customFormat="1" x14ac:dyDescent="0.2">
      <c r="P103" s="221"/>
      <c r="S103" s="232"/>
      <c r="CV103" s="223"/>
      <c r="CW103" s="222"/>
      <c r="CX103" s="222"/>
      <c r="CY103" s="222"/>
      <c r="CZ103" s="222"/>
      <c r="DL103" s="220"/>
      <c r="DM103" s="220"/>
      <c r="DN103" s="220"/>
      <c r="DO103" s="220"/>
      <c r="DP103" s="220"/>
      <c r="DQ103" s="220"/>
      <c r="DR103" s="220"/>
      <c r="DS103" s="220"/>
      <c r="DT103" s="220"/>
      <c r="DU103" s="220"/>
      <c r="DV103" s="220"/>
      <c r="DW103" s="220"/>
      <c r="DX103" s="220"/>
      <c r="DY103" s="220"/>
      <c r="DZ103" s="220"/>
      <c r="EA103" s="220"/>
    </row>
    <row r="104" spans="16:131" s="219" customFormat="1" x14ac:dyDescent="0.2">
      <c r="P104" s="221"/>
      <c r="S104" s="232"/>
      <c r="CV104" s="223"/>
      <c r="CW104" s="222"/>
      <c r="CX104" s="222"/>
      <c r="CY104" s="222"/>
      <c r="CZ104" s="222"/>
      <c r="DL104" s="220"/>
      <c r="DM104" s="220"/>
      <c r="DN104" s="220"/>
      <c r="DO104" s="220"/>
      <c r="DP104" s="220"/>
      <c r="DQ104" s="220"/>
      <c r="DR104" s="220"/>
      <c r="DS104" s="220"/>
      <c r="DT104" s="220"/>
      <c r="DU104" s="220"/>
      <c r="DV104" s="220"/>
      <c r="DW104" s="220"/>
      <c r="DX104" s="220"/>
      <c r="DY104" s="220"/>
      <c r="DZ104" s="220"/>
      <c r="EA104" s="220"/>
    </row>
    <row r="105" spans="16:131" s="219" customFormat="1" x14ac:dyDescent="0.2">
      <c r="P105" s="221"/>
      <c r="S105" s="232"/>
      <c r="CV105" s="223"/>
      <c r="CW105" s="222"/>
      <c r="CX105" s="222"/>
      <c r="CY105" s="222"/>
      <c r="CZ105" s="222"/>
      <c r="DL105" s="220"/>
      <c r="DM105" s="220"/>
      <c r="DN105" s="220"/>
      <c r="DO105" s="220"/>
      <c r="DP105" s="220"/>
      <c r="DQ105" s="220"/>
      <c r="DR105" s="220"/>
      <c r="DS105" s="220"/>
      <c r="DT105" s="220"/>
      <c r="DU105" s="220"/>
      <c r="DV105" s="220"/>
      <c r="DW105" s="220"/>
      <c r="DX105" s="220"/>
      <c r="DY105" s="220"/>
      <c r="DZ105" s="220"/>
      <c r="EA105" s="220"/>
    </row>
    <row r="106" spans="16:131" s="219" customFormat="1" x14ac:dyDescent="0.2">
      <c r="P106" s="221"/>
      <c r="S106" s="232"/>
      <c r="CV106" s="223"/>
      <c r="CW106" s="222"/>
      <c r="CX106" s="222"/>
      <c r="CY106" s="222"/>
      <c r="CZ106" s="222"/>
      <c r="DL106" s="220"/>
      <c r="DM106" s="220"/>
      <c r="DN106" s="220"/>
      <c r="DO106" s="220"/>
      <c r="DP106" s="220"/>
      <c r="DQ106" s="220"/>
      <c r="DR106" s="220"/>
      <c r="DS106" s="220"/>
      <c r="DT106" s="220"/>
      <c r="DU106" s="220"/>
      <c r="DV106" s="220"/>
      <c r="DW106" s="220"/>
      <c r="DX106" s="220"/>
      <c r="DY106" s="220"/>
      <c r="DZ106" s="220"/>
      <c r="EA106" s="220"/>
    </row>
    <row r="107" spans="16:131" s="219" customFormat="1" x14ac:dyDescent="0.2">
      <c r="P107" s="221"/>
      <c r="S107" s="232"/>
      <c r="CV107" s="223"/>
      <c r="CW107" s="222"/>
      <c r="CX107" s="222"/>
      <c r="CY107" s="222"/>
      <c r="CZ107" s="222"/>
      <c r="DL107" s="220"/>
      <c r="DM107" s="220"/>
      <c r="DN107" s="220"/>
      <c r="DO107" s="220"/>
      <c r="DP107" s="220"/>
      <c r="DQ107" s="220"/>
      <c r="DR107" s="220"/>
      <c r="DS107" s="220"/>
      <c r="DT107" s="220"/>
      <c r="DU107" s="220"/>
      <c r="DV107" s="220"/>
      <c r="DW107" s="220"/>
      <c r="DX107" s="220"/>
      <c r="DY107" s="220"/>
      <c r="DZ107" s="220"/>
      <c r="EA107" s="220"/>
    </row>
    <row r="108" spans="16:131" s="219" customFormat="1" x14ac:dyDescent="0.2">
      <c r="P108" s="221"/>
      <c r="S108" s="232"/>
      <c r="CV108" s="223"/>
      <c r="CW108" s="222"/>
      <c r="CX108" s="222"/>
      <c r="CY108" s="222"/>
      <c r="CZ108" s="222"/>
      <c r="DL108" s="220"/>
      <c r="DM108" s="220"/>
      <c r="DN108" s="220"/>
      <c r="DO108" s="220"/>
      <c r="DP108" s="220"/>
      <c r="DQ108" s="220"/>
      <c r="DR108" s="220"/>
      <c r="DS108" s="220"/>
      <c r="DT108" s="220"/>
      <c r="DU108" s="220"/>
      <c r="DV108" s="220"/>
      <c r="DW108" s="220"/>
      <c r="DX108" s="220"/>
      <c r="DY108" s="220"/>
      <c r="DZ108" s="220"/>
      <c r="EA108" s="220"/>
    </row>
    <row r="109" spans="16:131" s="219" customFormat="1" x14ac:dyDescent="0.2">
      <c r="P109" s="221"/>
      <c r="S109" s="232"/>
      <c r="CV109" s="223"/>
      <c r="CW109" s="222"/>
      <c r="CX109" s="222"/>
      <c r="CY109" s="222"/>
      <c r="CZ109" s="222"/>
      <c r="DL109" s="220"/>
      <c r="DM109" s="220"/>
      <c r="DN109" s="220"/>
      <c r="DO109" s="220"/>
      <c r="DP109" s="220"/>
      <c r="DQ109" s="220"/>
      <c r="DR109" s="220"/>
      <c r="DS109" s="220"/>
      <c r="DT109" s="220"/>
      <c r="DU109" s="220"/>
      <c r="DV109" s="220"/>
      <c r="DW109" s="220"/>
      <c r="DX109" s="220"/>
      <c r="DY109" s="220"/>
      <c r="DZ109" s="220"/>
      <c r="EA109" s="220"/>
    </row>
    <row r="110" spans="16:131" s="219" customFormat="1" x14ac:dyDescent="0.2">
      <c r="P110" s="221"/>
      <c r="S110" s="232"/>
      <c r="CV110" s="223"/>
      <c r="CW110" s="222"/>
      <c r="CX110" s="222"/>
      <c r="CY110" s="222"/>
      <c r="CZ110" s="222"/>
      <c r="DL110" s="220"/>
      <c r="DM110" s="220"/>
      <c r="DN110" s="220"/>
      <c r="DO110" s="220"/>
      <c r="DP110" s="220"/>
      <c r="DQ110" s="220"/>
      <c r="DR110" s="220"/>
      <c r="DS110" s="220"/>
      <c r="DT110" s="220"/>
      <c r="DU110" s="220"/>
      <c r="DV110" s="220"/>
      <c r="DW110" s="220"/>
      <c r="DX110" s="220"/>
      <c r="DY110" s="220"/>
      <c r="DZ110" s="220"/>
      <c r="EA110" s="220"/>
    </row>
    <row r="111" spans="16:131" s="219" customFormat="1" x14ac:dyDescent="0.2">
      <c r="P111" s="221"/>
      <c r="S111" s="232"/>
      <c r="CV111" s="223"/>
      <c r="CW111" s="222"/>
      <c r="CX111" s="222"/>
      <c r="CY111" s="222"/>
      <c r="CZ111" s="222"/>
      <c r="DL111" s="220"/>
      <c r="DM111" s="220"/>
      <c r="DN111" s="220"/>
      <c r="DO111" s="220"/>
      <c r="DP111" s="220"/>
      <c r="DQ111" s="220"/>
      <c r="DR111" s="220"/>
      <c r="DS111" s="220"/>
      <c r="DT111" s="220"/>
      <c r="DU111" s="220"/>
      <c r="DV111" s="220"/>
      <c r="DW111" s="220"/>
      <c r="DX111" s="220"/>
      <c r="DY111" s="220"/>
      <c r="DZ111" s="220"/>
      <c r="EA111" s="220"/>
    </row>
    <row r="112" spans="16:131" s="219" customFormat="1" x14ac:dyDescent="0.2">
      <c r="P112" s="221"/>
      <c r="S112" s="232"/>
      <c r="CV112" s="223"/>
      <c r="CW112" s="222"/>
      <c r="CX112" s="222"/>
      <c r="CY112" s="222"/>
      <c r="CZ112" s="222"/>
      <c r="DL112" s="220"/>
      <c r="DM112" s="220"/>
      <c r="DN112" s="220"/>
      <c r="DO112" s="220"/>
      <c r="DP112" s="220"/>
      <c r="DQ112" s="220"/>
      <c r="DR112" s="220"/>
      <c r="DS112" s="220"/>
      <c r="DT112" s="220"/>
      <c r="DU112" s="220"/>
      <c r="DV112" s="220"/>
      <c r="DW112" s="220"/>
      <c r="DX112" s="220"/>
      <c r="DY112" s="220"/>
      <c r="DZ112" s="220"/>
      <c r="EA112" s="220"/>
    </row>
    <row r="113" spans="16:131" s="219" customFormat="1" x14ac:dyDescent="0.2">
      <c r="P113" s="221"/>
      <c r="S113" s="232"/>
      <c r="CV113" s="223"/>
      <c r="CW113" s="222"/>
      <c r="CX113" s="222"/>
      <c r="CY113" s="222"/>
      <c r="CZ113" s="222"/>
      <c r="DL113" s="220"/>
      <c r="DM113" s="220"/>
      <c r="DN113" s="220"/>
      <c r="DO113" s="220"/>
      <c r="DP113" s="220"/>
      <c r="DQ113" s="220"/>
      <c r="DR113" s="220"/>
      <c r="DS113" s="220"/>
      <c r="DT113" s="220"/>
      <c r="DU113" s="220"/>
      <c r="DV113" s="220"/>
      <c r="DW113" s="220"/>
      <c r="DX113" s="220"/>
      <c r="DY113" s="220"/>
      <c r="DZ113" s="220"/>
      <c r="EA113" s="220"/>
    </row>
    <row r="114" spans="16:131" s="219" customFormat="1" x14ac:dyDescent="0.2">
      <c r="P114" s="221"/>
      <c r="S114" s="232"/>
      <c r="CV114" s="223"/>
      <c r="CW114" s="222"/>
      <c r="CX114" s="222"/>
      <c r="CY114" s="222"/>
      <c r="CZ114" s="222"/>
      <c r="DL114" s="220"/>
      <c r="DM114" s="220"/>
      <c r="DN114" s="220"/>
      <c r="DO114" s="220"/>
      <c r="DP114" s="220"/>
      <c r="DQ114" s="220"/>
      <c r="DR114" s="220"/>
      <c r="DS114" s="220"/>
      <c r="DT114" s="220"/>
      <c r="DU114" s="220"/>
      <c r="DV114" s="220"/>
      <c r="DW114" s="220"/>
      <c r="DX114" s="220"/>
      <c r="DY114" s="220"/>
      <c r="DZ114" s="220"/>
      <c r="EA114" s="220"/>
    </row>
    <row r="115" spans="16:131" s="219" customFormat="1" x14ac:dyDescent="0.2">
      <c r="P115" s="221"/>
      <c r="S115" s="232"/>
      <c r="CV115" s="223"/>
      <c r="CW115" s="222"/>
      <c r="CX115" s="222"/>
      <c r="CY115" s="222"/>
      <c r="CZ115" s="222"/>
      <c r="DL115" s="220"/>
      <c r="DM115" s="220"/>
      <c r="DN115" s="220"/>
      <c r="DO115" s="220"/>
      <c r="DP115" s="220"/>
      <c r="DQ115" s="220"/>
      <c r="DR115" s="220"/>
      <c r="DS115" s="220"/>
      <c r="DT115" s="220"/>
      <c r="DU115" s="220"/>
      <c r="DV115" s="220"/>
      <c r="DW115" s="220"/>
      <c r="DX115" s="220"/>
      <c r="DY115" s="220"/>
      <c r="DZ115" s="220"/>
      <c r="EA115" s="220"/>
    </row>
    <row r="116" spans="16:131" s="219" customFormat="1" x14ac:dyDescent="0.2">
      <c r="P116" s="221"/>
      <c r="S116" s="232"/>
      <c r="CV116" s="223"/>
      <c r="CW116" s="222"/>
      <c r="CX116" s="222"/>
      <c r="CY116" s="222"/>
      <c r="CZ116" s="222"/>
      <c r="DL116" s="220"/>
      <c r="DM116" s="220"/>
      <c r="DN116" s="220"/>
      <c r="DO116" s="220"/>
      <c r="DP116" s="220"/>
      <c r="DQ116" s="220"/>
      <c r="DR116" s="220"/>
      <c r="DS116" s="220"/>
      <c r="DT116" s="220"/>
      <c r="DU116" s="220"/>
      <c r="DV116" s="220"/>
      <c r="DW116" s="220"/>
      <c r="DX116" s="220"/>
      <c r="DY116" s="220"/>
      <c r="DZ116" s="220"/>
      <c r="EA116" s="220"/>
    </row>
    <row r="117" spans="16:131" s="219" customFormat="1" x14ac:dyDescent="0.2">
      <c r="P117" s="221"/>
      <c r="S117" s="232"/>
      <c r="CV117" s="223"/>
      <c r="CW117" s="222"/>
      <c r="CX117" s="222"/>
      <c r="CY117" s="222"/>
      <c r="CZ117" s="222"/>
      <c r="DL117" s="220"/>
      <c r="DM117" s="220"/>
      <c r="DN117" s="220"/>
      <c r="DO117" s="220"/>
      <c r="DP117" s="220"/>
      <c r="DQ117" s="220"/>
      <c r="DR117" s="220"/>
      <c r="DS117" s="220"/>
      <c r="DT117" s="220"/>
      <c r="DU117" s="220"/>
      <c r="DV117" s="220"/>
      <c r="DW117" s="220"/>
      <c r="DX117" s="220"/>
      <c r="DY117" s="220"/>
      <c r="DZ117" s="220"/>
      <c r="EA117" s="220"/>
    </row>
    <row r="118" spans="16:131" s="219" customFormat="1" x14ac:dyDescent="0.2">
      <c r="P118" s="221"/>
      <c r="S118" s="232"/>
      <c r="CV118" s="223"/>
      <c r="CW118" s="222"/>
      <c r="CX118" s="222"/>
      <c r="CY118" s="222"/>
      <c r="CZ118" s="222"/>
      <c r="DL118" s="220"/>
      <c r="DM118" s="220"/>
      <c r="DN118" s="220"/>
      <c r="DO118" s="220"/>
      <c r="DP118" s="220"/>
      <c r="DQ118" s="220"/>
      <c r="DR118" s="220"/>
      <c r="DS118" s="220"/>
      <c r="DT118" s="220"/>
      <c r="DU118" s="220"/>
      <c r="DV118" s="220"/>
      <c r="DW118" s="220"/>
      <c r="DX118" s="220"/>
      <c r="DY118" s="220"/>
      <c r="DZ118" s="220"/>
      <c r="EA118" s="220"/>
    </row>
    <row r="119" spans="16:131" s="219" customFormat="1" x14ac:dyDescent="0.2">
      <c r="P119" s="221"/>
      <c r="S119" s="232"/>
      <c r="CV119" s="223"/>
      <c r="CW119" s="222"/>
      <c r="CX119" s="222"/>
      <c r="CY119" s="222"/>
      <c r="CZ119" s="222"/>
      <c r="DL119" s="220"/>
      <c r="DM119" s="220"/>
      <c r="DN119" s="220"/>
      <c r="DO119" s="220"/>
      <c r="DP119" s="220"/>
      <c r="DQ119" s="220"/>
      <c r="DR119" s="220"/>
      <c r="DS119" s="220"/>
      <c r="DT119" s="220"/>
      <c r="DU119" s="220"/>
      <c r="DV119" s="220"/>
      <c r="DW119" s="220"/>
      <c r="DX119" s="220"/>
      <c r="DY119" s="220"/>
      <c r="DZ119" s="220"/>
      <c r="EA119" s="220"/>
    </row>
    <row r="120" spans="16:131" s="219" customFormat="1" x14ac:dyDescent="0.2">
      <c r="P120" s="221"/>
      <c r="S120" s="232"/>
      <c r="CV120" s="223"/>
      <c r="CW120" s="222"/>
      <c r="CX120" s="222"/>
      <c r="CY120" s="222"/>
      <c r="CZ120" s="222"/>
      <c r="DL120" s="220"/>
      <c r="DM120" s="220"/>
      <c r="DN120" s="220"/>
      <c r="DO120" s="220"/>
      <c r="DP120" s="220"/>
      <c r="DQ120" s="220"/>
      <c r="DR120" s="220"/>
      <c r="DS120" s="220"/>
      <c r="DT120" s="220"/>
      <c r="DU120" s="220"/>
      <c r="DV120" s="220"/>
      <c r="DW120" s="220"/>
      <c r="DX120" s="220"/>
      <c r="DY120" s="220"/>
      <c r="DZ120" s="220"/>
      <c r="EA120" s="220"/>
    </row>
    <row r="121" spans="16:131" s="219" customFormat="1" x14ac:dyDescent="0.2">
      <c r="P121" s="221"/>
      <c r="S121" s="232"/>
      <c r="CV121" s="223"/>
      <c r="CW121" s="222"/>
      <c r="CX121" s="222"/>
      <c r="CY121" s="222"/>
      <c r="CZ121" s="222"/>
      <c r="DL121" s="220"/>
      <c r="DM121" s="220"/>
      <c r="DN121" s="220"/>
      <c r="DO121" s="220"/>
      <c r="DP121" s="220"/>
      <c r="DQ121" s="220"/>
      <c r="DR121" s="220"/>
      <c r="DS121" s="220"/>
      <c r="DT121" s="220"/>
      <c r="DU121" s="220"/>
      <c r="DV121" s="220"/>
      <c r="DW121" s="220"/>
      <c r="DX121" s="220"/>
      <c r="DY121" s="220"/>
      <c r="DZ121" s="220"/>
      <c r="EA121" s="220"/>
    </row>
    <row r="122" spans="16:131" s="219" customFormat="1" x14ac:dyDescent="0.2">
      <c r="P122" s="221"/>
      <c r="S122" s="232"/>
      <c r="CV122" s="223"/>
      <c r="CW122" s="222"/>
      <c r="CX122" s="222"/>
      <c r="CY122" s="222"/>
      <c r="CZ122" s="222"/>
      <c r="DL122" s="220"/>
      <c r="DM122" s="220"/>
      <c r="DN122" s="220"/>
      <c r="DO122" s="220"/>
      <c r="DP122" s="220"/>
      <c r="DQ122" s="220"/>
      <c r="DR122" s="220"/>
      <c r="DS122" s="220"/>
      <c r="DT122" s="220"/>
      <c r="DU122" s="220"/>
      <c r="DV122" s="220"/>
      <c r="DW122" s="220"/>
      <c r="DX122" s="220"/>
      <c r="DY122" s="220"/>
      <c r="DZ122" s="220"/>
      <c r="EA122" s="220"/>
    </row>
    <row r="123" spans="16:131" s="219" customFormat="1" x14ac:dyDescent="0.2">
      <c r="P123" s="221"/>
      <c r="S123" s="232"/>
      <c r="CV123" s="223"/>
      <c r="CW123" s="222"/>
      <c r="CX123" s="222"/>
      <c r="CY123" s="222"/>
      <c r="CZ123" s="222"/>
      <c r="DL123" s="220"/>
      <c r="DM123" s="220"/>
      <c r="DN123" s="220"/>
      <c r="DO123" s="220"/>
      <c r="DP123" s="220"/>
      <c r="DQ123" s="220"/>
      <c r="DR123" s="220"/>
      <c r="DS123" s="220"/>
      <c r="DT123" s="220"/>
      <c r="DU123" s="220"/>
      <c r="DV123" s="220"/>
      <c r="DW123" s="220"/>
      <c r="DX123" s="220"/>
      <c r="DY123" s="220"/>
      <c r="DZ123" s="220"/>
      <c r="EA123" s="220"/>
    </row>
    <row r="124" spans="16:131" s="219" customFormat="1" x14ac:dyDescent="0.2">
      <c r="P124" s="221"/>
      <c r="S124" s="232"/>
      <c r="CV124" s="223"/>
      <c r="CW124" s="222"/>
      <c r="CX124" s="222"/>
      <c r="CY124" s="222"/>
      <c r="CZ124" s="222"/>
      <c r="DL124" s="220"/>
      <c r="DM124" s="220"/>
      <c r="DN124" s="220"/>
      <c r="DO124" s="220"/>
      <c r="DP124" s="220"/>
      <c r="DQ124" s="220"/>
      <c r="DR124" s="220"/>
      <c r="DS124" s="220"/>
      <c r="DT124" s="220"/>
      <c r="DU124" s="220"/>
      <c r="DV124" s="220"/>
      <c r="DW124" s="220"/>
      <c r="DX124" s="220"/>
      <c r="DY124" s="220"/>
      <c r="DZ124" s="220"/>
      <c r="EA124" s="220"/>
    </row>
    <row r="125" spans="16:131" s="219" customFormat="1" x14ac:dyDescent="0.2">
      <c r="P125" s="221"/>
      <c r="S125" s="232"/>
      <c r="CV125" s="223"/>
      <c r="CW125" s="222"/>
      <c r="CX125" s="222"/>
      <c r="CY125" s="222"/>
      <c r="CZ125" s="222"/>
      <c r="DL125" s="220"/>
      <c r="DM125" s="220"/>
      <c r="DN125" s="220"/>
      <c r="DO125" s="220"/>
      <c r="DP125" s="220"/>
      <c r="DQ125" s="220"/>
      <c r="DR125" s="220"/>
      <c r="DS125" s="220"/>
      <c r="DT125" s="220"/>
      <c r="DU125" s="220"/>
      <c r="DV125" s="220"/>
      <c r="DW125" s="220"/>
      <c r="DX125" s="220"/>
      <c r="DY125" s="220"/>
      <c r="DZ125" s="220"/>
      <c r="EA125" s="220"/>
    </row>
    <row r="126" spans="16:131" s="219" customFormat="1" x14ac:dyDescent="0.2">
      <c r="P126" s="221"/>
      <c r="S126" s="232"/>
      <c r="CV126" s="223"/>
      <c r="CW126" s="222"/>
      <c r="CX126" s="222"/>
      <c r="CY126" s="222"/>
      <c r="CZ126" s="222"/>
      <c r="DL126" s="220"/>
      <c r="DM126" s="220"/>
      <c r="DN126" s="220"/>
      <c r="DO126" s="220"/>
      <c r="DP126" s="220"/>
      <c r="DQ126" s="220"/>
      <c r="DR126" s="220"/>
      <c r="DS126" s="220"/>
      <c r="DT126" s="220"/>
      <c r="DU126" s="220"/>
      <c r="DV126" s="220"/>
      <c r="DW126" s="220"/>
      <c r="DX126" s="220"/>
      <c r="DY126" s="220"/>
      <c r="DZ126" s="220"/>
      <c r="EA126" s="220"/>
    </row>
    <row r="127" spans="16:131" s="219" customFormat="1" x14ac:dyDescent="0.2">
      <c r="P127" s="221"/>
      <c r="S127" s="232"/>
      <c r="CV127" s="223"/>
      <c r="CW127" s="222"/>
      <c r="CX127" s="222"/>
      <c r="CY127" s="222"/>
      <c r="CZ127" s="222"/>
      <c r="DL127" s="220"/>
      <c r="DM127" s="220"/>
      <c r="DN127" s="220"/>
      <c r="DO127" s="220"/>
      <c r="DP127" s="220"/>
      <c r="DQ127" s="220"/>
      <c r="DR127" s="220"/>
      <c r="DS127" s="220"/>
      <c r="DT127" s="220"/>
      <c r="DU127" s="220"/>
      <c r="DV127" s="220"/>
      <c r="DW127" s="220"/>
      <c r="DX127" s="220"/>
      <c r="DY127" s="220"/>
      <c r="DZ127" s="220"/>
      <c r="EA127" s="220"/>
    </row>
    <row r="128" spans="16:131" s="219" customFormat="1" x14ac:dyDescent="0.2">
      <c r="P128" s="221"/>
      <c r="S128" s="232"/>
      <c r="CV128" s="223"/>
      <c r="CW128" s="222"/>
      <c r="CX128" s="222"/>
      <c r="CY128" s="222"/>
      <c r="CZ128" s="222"/>
      <c r="DL128" s="220"/>
      <c r="DM128" s="220"/>
      <c r="DN128" s="220"/>
      <c r="DO128" s="220"/>
      <c r="DP128" s="220"/>
      <c r="DQ128" s="220"/>
      <c r="DR128" s="220"/>
      <c r="DS128" s="220"/>
      <c r="DT128" s="220"/>
      <c r="DU128" s="220"/>
      <c r="DV128" s="220"/>
      <c r="DW128" s="220"/>
      <c r="DX128" s="220"/>
      <c r="DY128" s="220"/>
      <c r="DZ128" s="220"/>
      <c r="EA128" s="220"/>
    </row>
    <row r="129" spans="16:131" s="219" customFormat="1" x14ac:dyDescent="0.2">
      <c r="P129" s="221"/>
      <c r="S129" s="232"/>
      <c r="CV129" s="223"/>
      <c r="CW129" s="222"/>
      <c r="CX129" s="222"/>
      <c r="CY129" s="222"/>
      <c r="CZ129" s="222"/>
      <c r="DL129" s="220"/>
      <c r="DM129" s="220"/>
      <c r="DN129" s="220"/>
      <c r="DO129" s="220"/>
      <c r="DP129" s="220"/>
      <c r="DQ129" s="220"/>
      <c r="DR129" s="220"/>
      <c r="DS129" s="220"/>
      <c r="DT129" s="220"/>
      <c r="DU129" s="220"/>
      <c r="DV129" s="220"/>
      <c r="DW129" s="220"/>
      <c r="DX129" s="220"/>
      <c r="DY129" s="220"/>
      <c r="DZ129" s="220"/>
      <c r="EA129" s="220"/>
    </row>
    <row r="130" spans="16:131" s="219" customFormat="1" x14ac:dyDescent="0.2">
      <c r="P130" s="221"/>
      <c r="S130" s="232"/>
      <c r="CV130" s="223"/>
      <c r="CW130" s="222"/>
      <c r="CX130" s="222"/>
      <c r="CY130" s="222"/>
      <c r="CZ130" s="222"/>
      <c r="DL130" s="220"/>
      <c r="DM130" s="220"/>
      <c r="DN130" s="220"/>
      <c r="DO130" s="220"/>
      <c r="DP130" s="220"/>
      <c r="DQ130" s="220"/>
      <c r="DR130" s="220"/>
      <c r="DS130" s="220"/>
      <c r="DT130" s="220"/>
      <c r="DU130" s="220"/>
      <c r="DV130" s="220"/>
      <c r="DW130" s="220"/>
      <c r="DX130" s="220"/>
      <c r="DY130" s="220"/>
      <c r="DZ130" s="220"/>
      <c r="EA130" s="220"/>
    </row>
    <row r="131" spans="16:131" s="219" customFormat="1" x14ac:dyDescent="0.2">
      <c r="P131" s="221"/>
      <c r="S131" s="232"/>
      <c r="CV131" s="223"/>
      <c r="CW131" s="222"/>
      <c r="CX131" s="222"/>
      <c r="CY131" s="222"/>
      <c r="CZ131" s="222"/>
      <c r="DL131" s="220"/>
      <c r="DM131" s="220"/>
      <c r="DN131" s="220"/>
      <c r="DO131" s="220"/>
      <c r="DP131" s="220"/>
      <c r="DQ131" s="220"/>
      <c r="DR131" s="220"/>
      <c r="DS131" s="220"/>
      <c r="DT131" s="220"/>
      <c r="DU131" s="220"/>
      <c r="DV131" s="220"/>
      <c r="DW131" s="220"/>
      <c r="DX131" s="220"/>
      <c r="DY131" s="220"/>
      <c r="DZ131" s="220"/>
      <c r="EA131" s="220"/>
    </row>
    <row r="132" spans="16:131" s="219" customFormat="1" x14ac:dyDescent="0.2">
      <c r="P132" s="221"/>
      <c r="S132" s="232"/>
      <c r="CV132" s="223"/>
      <c r="CW132" s="222"/>
      <c r="CX132" s="222"/>
      <c r="CY132" s="222"/>
      <c r="CZ132" s="222"/>
      <c r="DL132" s="220"/>
      <c r="DM132" s="220"/>
      <c r="DN132" s="220"/>
      <c r="DO132" s="220"/>
      <c r="DP132" s="220"/>
      <c r="DQ132" s="220"/>
      <c r="DR132" s="220"/>
      <c r="DS132" s="220"/>
      <c r="DT132" s="220"/>
      <c r="DU132" s="220"/>
      <c r="DV132" s="220"/>
      <c r="DW132" s="220"/>
      <c r="DX132" s="220"/>
      <c r="DY132" s="220"/>
      <c r="DZ132" s="220"/>
      <c r="EA132" s="220"/>
    </row>
    <row r="133" spans="16:131" s="219" customFormat="1" x14ac:dyDescent="0.2">
      <c r="P133" s="221"/>
      <c r="S133" s="232"/>
      <c r="CV133" s="223"/>
      <c r="CW133" s="222"/>
      <c r="CX133" s="222"/>
      <c r="CY133" s="222"/>
      <c r="CZ133" s="222"/>
      <c r="DL133" s="220"/>
      <c r="DM133" s="220"/>
      <c r="DN133" s="220"/>
      <c r="DO133" s="220"/>
      <c r="DP133" s="220"/>
      <c r="DQ133" s="220"/>
      <c r="DR133" s="220"/>
      <c r="DS133" s="220"/>
      <c r="DT133" s="220"/>
      <c r="DU133" s="220"/>
      <c r="DV133" s="220"/>
      <c r="DW133" s="220"/>
      <c r="DX133" s="220"/>
      <c r="DY133" s="220"/>
      <c r="DZ133" s="220"/>
      <c r="EA133" s="220"/>
    </row>
    <row r="134" spans="16:131" s="219" customFormat="1" x14ac:dyDescent="0.2">
      <c r="P134" s="221"/>
      <c r="S134" s="232"/>
      <c r="CV134" s="223"/>
      <c r="CW134" s="222"/>
      <c r="CX134" s="222"/>
      <c r="CY134" s="222"/>
      <c r="CZ134" s="222"/>
      <c r="DL134" s="220"/>
      <c r="DM134" s="220"/>
      <c r="DN134" s="220"/>
      <c r="DO134" s="220"/>
      <c r="DP134" s="220"/>
      <c r="DQ134" s="220"/>
      <c r="DR134" s="220"/>
      <c r="DS134" s="220"/>
      <c r="DT134" s="220"/>
      <c r="DU134" s="220"/>
      <c r="DV134" s="220"/>
      <c r="DW134" s="220"/>
      <c r="DX134" s="220"/>
      <c r="DY134" s="220"/>
      <c r="DZ134" s="220"/>
      <c r="EA134" s="220"/>
    </row>
    <row r="135" spans="16:131" s="219" customFormat="1" x14ac:dyDescent="0.2">
      <c r="P135" s="221"/>
      <c r="S135" s="232"/>
      <c r="CV135" s="223"/>
      <c r="CW135" s="222"/>
      <c r="CX135" s="222"/>
      <c r="CY135" s="222"/>
      <c r="CZ135" s="222"/>
      <c r="DL135" s="220"/>
      <c r="DM135" s="220"/>
      <c r="DN135" s="220"/>
      <c r="DO135" s="220"/>
      <c r="DP135" s="220"/>
      <c r="DQ135" s="220"/>
      <c r="DR135" s="220"/>
      <c r="DS135" s="220"/>
      <c r="DT135" s="220"/>
      <c r="DU135" s="220"/>
      <c r="DV135" s="220"/>
      <c r="DW135" s="220"/>
      <c r="DX135" s="220"/>
      <c r="DY135" s="220"/>
      <c r="DZ135" s="220"/>
      <c r="EA135" s="220"/>
    </row>
    <row r="136" spans="16:131" s="219" customFormat="1" x14ac:dyDescent="0.2">
      <c r="P136" s="221"/>
      <c r="S136" s="232"/>
      <c r="CV136" s="223"/>
      <c r="CW136" s="222"/>
      <c r="CX136" s="222"/>
      <c r="CY136" s="222"/>
      <c r="CZ136" s="222"/>
      <c r="DL136" s="220"/>
      <c r="DM136" s="220"/>
      <c r="DN136" s="220"/>
      <c r="DO136" s="220"/>
      <c r="DP136" s="220"/>
      <c r="DQ136" s="220"/>
      <c r="DR136" s="220"/>
      <c r="DS136" s="220"/>
      <c r="DT136" s="220"/>
      <c r="DU136" s="220"/>
      <c r="DV136" s="220"/>
      <c r="DW136" s="220"/>
      <c r="DX136" s="220"/>
      <c r="DY136" s="220"/>
      <c r="DZ136" s="220"/>
      <c r="EA136" s="220"/>
    </row>
    <row r="137" spans="16:131" s="219" customFormat="1" x14ac:dyDescent="0.2">
      <c r="P137" s="221"/>
      <c r="S137" s="232"/>
      <c r="CV137" s="223"/>
      <c r="CW137" s="222"/>
      <c r="CX137" s="222"/>
      <c r="CY137" s="222"/>
      <c r="CZ137" s="222"/>
      <c r="DL137" s="220"/>
      <c r="DM137" s="220"/>
      <c r="DN137" s="220"/>
      <c r="DO137" s="220"/>
      <c r="DP137" s="220"/>
      <c r="DQ137" s="220"/>
      <c r="DR137" s="220"/>
      <c r="DS137" s="220"/>
      <c r="DT137" s="220"/>
      <c r="DU137" s="220"/>
      <c r="DV137" s="220"/>
      <c r="DW137" s="220"/>
      <c r="DX137" s="220"/>
      <c r="DY137" s="220"/>
      <c r="DZ137" s="220"/>
      <c r="EA137" s="220"/>
    </row>
    <row r="138" spans="16:131" s="219" customFormat="1" x14ac:dyDescent="0.2">
      <c r="P138" s="221"/>
      <c r="S138" s="232"/>
      <c r="CV138" s="223"/>
      <c r="CW138" s="222"/>
      <c r="CX138" s="222"/>
      <c r="CY138" s="222"/>
      <c r="CZ138" s="222"/>
      <c r="DL138" s="220"/>
      <c r="DM138" s="220"/>
      <c r="DN138" s="220"/>
      <c r="DO138" s="220"/>
      <c r="DP138" s="220"/>
      <c r="DQ138" s="220"/>
      <c r="DR138" s="220"/>
      <c r="DS138" s="220"/>
      <c r="DT138" s="220"/>
      <c r="DU138" s="220"/>
      <c r="DV138" s="220"/>
      <c r="DW138" s="220"/>
      <c r="DX138" s="220"/>
      <c r="DY138" s="220"/>
      <c r="DZ138" s="220"/>
      <c r="EA138" s="220"/>
    </row>
    <row r="139" spans="16:131" s="219" customFormat="1" x14ac:dyDescent="0.2">
      <c r="P139" s="221"/>
      <c r="S139" s="232"/>
      <c r="CV139" s="223"/>
      <c r="CW139" s="222"/>
      <c r="CX139" s="222"/>
      <c r="CY139" s="222"/>
      <c r="CZ139" s="222"/>
      <c r="DL139" s="220"/>
      <c r="DM139" s="220"/>
      <c r="DN139" s="220"/>
      <c r="DO139" s="220"/>
      <c r="DP139" s="220"/>
      <c r="DQ139" s="220"/>
      <c r="DR139" s="220"/>
      <c r="DS139" s="220"/>
      <c r="DT139" s="220"/>
      <c r="DU139" s="220"/>
      <c r="DV139" s="220"/>
      <c r="DW139" s="220"/>
      <c r="DX139" s="220"/>
      <c r="DY139" s="220"/>
      <c r="DZ139" s="220"/>
      <c r="EA139" s="220"/>
    </row>
    <row r="140" spans="16:131" s="219" customFormat="1" x14ac:dyDescent="0.2">
      <c r="P140" s="221"/>
      <c r="S140" s="232"/>
      <c r="CV140" s="223"/>
      <c r="CW140" s="222"/>
      <c r="CX140" s="222"/>
      <c r="CY140" s="222"/>
      <c r="CZ140" s="222"/>
      <c r="DL140" s="220"/>
      <c r="DM140" s="220"/>
      <c r="DN140" s="220"/>
      <c r="DO140" s="220"/>
      <c r="DP140" s="220"/>
      <c r="DQ140" s="220"/>
      <c r="DR140" s="220"/>
      <c r="DS140" s="220"/>
      <c r="DT140" s="220"/>
      <c r="DU140" s="220"/>
      <c r="DV140" s="220"/>
      <c r="DW140" s="220"/>
      <c r="DX140" s="220"/>
      <c r="DY140" s="220"/>
      <c r="DZ140" s="220"/>
      <c r="EA140" s="220"/>
    </row>
    <row r="141" spans="16:131" s="219" customFormat="1" x14ac:dyDescent="0.2">
      <c r="P141" s="221"/>
      <c r="S141" s="232"/>
      <c r="CV141" s="223"/>
      <c r="CW141" s="222"/>
      <c r="CX141" s="222"/>
      <c r="CY141" s="222"/>
      <c r="CZ141" s="222"/>
      <c r="DL141" s="220"/>
      <c r="DM141" s="220"/>
      <c r="DN141" s="220"/>
      <c r="DO141" s="220"/>
      <c r="DP141" s="220"/>
      <c r="DQ141" s="220"/>
      <c r="DR141" s="220"/>
      <c r="DS141" s="220"/>
      <c r="DT141" s="220"/>
      <c r="DU141" s="220"/>
      <c r="DV141" s="220"/>
      <c r="DW141" s="220"/>
      <c r="DX141" s="220"/>
      <c r="DY141" s="220"/>
      <c r="DZ141" s="220"/>
      <c r="EA141" s="220"/>
    </row>
    <row r="142" spans="16:131" s="219" customFormat="1" x14ac:dyDescent="0.2">
      <c r="P142" s="221"/>
      <c r="S142" s="232"/>
      <c r="CV142" s="223"/>
      <c r="CW142" s="222"/>
      <c r="CX142" s="222"/>
      <c r="CY142" s="222"/>
      <c r="CZ142" s="222"/>
      <c r="DL142" s="220"/>
      <c r="DM142" s="220"/>
      <c r="DN142" s="220"/>
      <c r="DO142" s="220"/>
      <c r="DP142" s="220"/>
      <c r="DQ142" s="220"/>
      <c r="DR142" s="220"/>
      <c r="DS142" s="220"/>
      <c r="DT142" s="220"/>
      <c r="DU142" s="220"/>
      <c r="DV142" s="220"/>
      <c r="DW142" s="220"/>
      <c r="DX142" s="220"/>
      <c r="DY142" s="220"/>
      <c r="DZ142" s="220"/>
      <c r="EA142" s="220"/>
    </row>
    <row r="143" spans="16:131" s="219" customFormat="1" x14ac:dyDescent="0.2">
      <c r="P143" s="221"/>
      <c r="S143" s="232"/>
      <c r="CV143" s="223"/>
      <c r="CW143" s="222"/>
      <c r="CX143" s="222"/>
      <c r="CY143" s="222"/>
      <c r="CZ143" s="222"/>
      <c r="DL143" s="220"/>
      <c r="DM143" s="220"/>
      <c r="DN143" s="220"/>
      <c r="DO143" s="220"/>
      <c r="DP143" s="220"/>
      <c r="DQ143" s="220"/>
      <c r="DR143" s="220"/>
      <c r="DS143" s="220"/>
      <c r="DT143" s="220"/>
      <c r="DU143" s="220"/>
      <c r="DV143" s="220"/>
      <c r="DW143" s="220"/>
      <c r="DX143" s="220"/>
      <c r="DY143" s="220"/>
      <c r="DZ143" s="220"/>
      <c r="EA143" s="220"/>
    </row>
    <row r="144" spans="16:131" s="219" customFormat="1" x14ac:dyDescent="0.2">
      <c r="P144" s="221"/>
      <c r="S144" s="232"/>
      <c r="CV144" s="223"/>
      <c r="CW144" s="222"/>
      <c r="CX144" s="222"/>
      <c r="CY144" s="222"/>
      <c r="CZ144" s="222"/>
      <c r="DL144" s="220"/>
      <c r="DM144" s="220"/>
      <c r="DN144" s="220"/>
      <c r="DO144" s="220"/>
      <c r="DP144" s="220"/>
      <c r="DQ144" s="220"/>
      <c r="DR144" s="220"/>
      <c r="DS144" s="220"/>
      <c r="DT144" s="220"/>
      <c r="DU144" s="220"/>
      <c r="DV144" s="220"/>
      <c r="DW144" s="220"/>
      <c r="DX144" s="220"/>
      <c r="DY144" s="220"/>
      <c r="DZ144" s="220"/>
      <c r="EA144" s="220"/>
    </row>
    <row r="145" spans="16:131" s="219" customFormat="1" x14ac:dyDescent="0.2">
      <c r="P145" s="221"/>
      <c r="S145" s="232"/>
      <c r="CV145" s="223"/>
      <c r="CW145" s="222"/>
      <c r="CX145" s="222"/>
      <c r="CY145" s="222"/>
      <c r="CZ145" s="222"/>
      <c r="DL145" s="220"/>
      <c r="DM145" s="220"/>
      <c r="DN145" s="220"/>
      <c r="DO145" s="220"/>
      <c r="DP145" s="220"/>
      <c r="DQ145" s="220"/>
      <c r="DR145" s="220"/>
      <c r="DS145" s="220"/>
      <c r="DT145" s="220"/>
      <c r="DU145" s="220"/>
      <c r="DV145" s="220"/>
      <c r="DW145" s="220"/>
      <c r="DX145" s="220"/>
      <c r="DY145" s="220"/>
      <c r="DZ145" s="220"/>
      <c r="EA145" s="220"/>
    </row>
    <row r="146" spans="16:131" s="219" customFormat="1" x14ac:dyDescent="0.2">
      <c r="P146" s="221"/>
      <c r="S146" s="232"/>
      <c r="CV146" s="223"/>
      <c r="CW146" s="222"/>
      <c r="CX146" s="222"/>
      <c r="CY146" s="222"/>
      <c r="CZ146" s="222"/>
      <c r="DL146" s="220"/>
      <c r="DM146" s="220"/>
      <c r="DN146" s="220"/>
      <c r="DO146" s="220"/>
      <c r="DP146" s="220"/>
      <c r="DQ146" s="220"/>
      <c r="DR146" s="220"/>
      <c r="DS146" s="220"/>
      <c r="DT146" s="220"/>
      <c r="DU146" s="220"/>
      <c r="DV146" s="220"/>
      <c r="DW146" s="220"/>
      <c r="DX146" s="220"/>
      <c r="DY146" s="220"/>
      <c r="DZ146" s="220"/>
      <c r="EA146" s="220"/>
    </row>
    <row r="147" spans="16:131" s="219" customFormat="1" x14ac:dyDescent="0.2">
      <c r="P147" s="221"/>
      <c r="S147" s="232"/>
      <c r="CV147" s="223"/>
      <c r="CW147" s="222"/>
      <c r="CX147" s="222"/>
      <c r="CY147" s="222"/>
      <c r="CZ147" s="222"/>
      <c r="DL147" s="220"/>
      <c r="DM147" s="220"/>
      <c r="DN147" s="220"/>
      <c r="DO147" s="220"/>
      <c r="DP147" s="220"/>
      <c r="DQ147" s="220"/>
      <c r="DR147" s="220"/>
      <c r="DS147" s="220"/>
      <c r="DT147" s="220"/>
      <c r="DU147" s="220"/>
      <c r="DV147" s="220"/>
      <c r="DW147" s="220"/>
      <c r="DX147" s="220"/>
      <c r="DY147" s="220"/>
      <c r="DZ147" s="220"/>
      <c r="EA147" s="220"/>
    </row>
    <row r="148" spans="16:131" s="219" customFormat="1" x14ac:dyDescent="0.2">
      <c r="P148" s="221"/>
      <c r="S148" s="232"/>
      <c r="CV148" s="223"/>
      <c r="CW148" s="222"/>
      <c r="CX148" s="222"/>
      <c r="CY148" s="222"/>
      <c r="CZ148" s="222"/>
      <c r="DL148" s="220"/>
      <c r="DM148" s="220"/>
      <c r="DN148" s="220"/>
      <c r="DO148" s="220"/>
      <c r="DP148" s="220"/>
      <c r="DQ148" s="220"/>
      <c r="DR148" s="220"/>
      <c r="DS148" s="220"/>
      <c r="DT148" s="220"/>
      <c r="DU148" s="220"/>
      <c r="DV148" s="220"/>
      <c r="DW148" s="220"/>
      <c r="DX148" s="220"/>
      <c r="DY148" s="220"/>
      <c r="DZ148" s="220"/>
      <c r="EA148" s="220"/>
    </row>
    <row r="149" spans="16:131" s="219" customFormat="1" x14ac:dyDescent="0.2">
      <c r="P149" s="221"/>
      <c r="S149" s="232"/>
      <c r="CV149" s="223"/>
      <c r="CW149" s="222"/>
      <c r="CX149" s="222"/>
      <c r="CY149" s="222"/>
      <c r="CZ149" s="222"/>
      <c r="DL149" s="220"/>
      <c r="DM149" s="220"/>
      <c r="DN149" s="220"/>
      <c r="DO149" s="220"/>
      <c r="DP149" s="220"/>
      <c r="DQ149" s="220"/>
      <c r="DR149" s="220"/>
      <c r="DS149" s="220"/>
      <c r="DT149" s="220"/>
      <c r="DU149" s="220"/>
      <c r="DV149" s="220"/>
      <c r="DW149" s="220"/>
      <c r="DX149" s="220"/>
      <c r="DY149" s="220"/>
      <c r="DZ149" s="220"/>
      <c r="EA149" s="220"/>
    </row>
    <row r="150" spans="16:131" s="219" customFormat="1" x14ac:dyDescent="0.2">
      <c r="P150" s="221"/>
      <c r="S150" s="232"/>
      <c r="CV150" s="223"/>
      <c r="CW150" s="222"/>
      <c r="CX150" s="222"/>
      <c r="CY150" s="222"/>
      <c r="CZ150" s="222"/>
      <c r="DL150" s="220"/>
      <c r="DM150" s="220"/>
      <c r="DN150" s="220"/>
      <c r="DO150" s="220"/>
      <c r="DP150" s="220"/>
      <c r="DQ150" s="220"/>
      <c r="DR150" s="220"/>
      <c r="DS150" s="220"/>
      <c r="DT150" s="220"/>
      <c r="DU150" s="220"/>
      <c r="DV150" s="220"/>
      <c r="DW150" s="220"/>
      <c r="DX150" s="220"/>
      <c r="DY150" s="220"/>
      <c r="DZ150" s="220"/>
      <c r="EA150" s="220"/>
    </row>
    <row r="151" spans="16:131" s="219" customFormat="1" x14ac:dyDescent="0.2">
      <c r="P151" s="221"/>
      <c r="S151" s="232"/>
      <c r="CV151" s="223"/>
      <c r="CW151" s="222"/>
      <c r="CX151" s="222"/>
      <c r="CY151" s="222"/>
      <c r="CZ151" s="222"/>
      <c r="DL151" s="220"/>
      <c r="DM151" s="220"/>
      <c r="DN151" s="220"/>
      <c r="DO151" s="220"/>
      <c r="DP151" s="220"/>
      <c r="DQ151" s="220"/>
      <c r="DR151" s="220"/>
      <c r="DS151" s="220"/>
      <c r="DT151" s="220"/>
      <c r="DU151" s="220"/>
      <c r="DV151" s="220"/>
      <c r="DW151" s="220"/>
      <c r="DX151" s="220"/>
      <c r="DY151" s="220"/>
      <c r="DZ151" s="220"/>
      <c r="EA151" s="220"/>
    </row>
    <row r="152" spans="16:131" s="219" customFormat="1" x14ac:dyDescent="0.2">
      <c r="P152" s="221"/>
      <c r="S152" s="232"/>
      <c r="CV152" s="223"/>
      <c r="CW152" s="222"/>
      <c r="CX152" s="222"/>
      <c r="CY152" s="222"/>
      <c r="CZ152" s="222"/>
      <c r="DL152" s="220"/>
      <c r="DM152" s="220"/>
      <c r="DN152" s="220"/>
      <c r="DO152" s="220"/>
      <c r="DP152" s="220"/>
      <c r="DQ152" s="220"/>
      <c r="DR152" s="220"/>
      <c r="DS152" s="220"/>
      <c r="DT152" s="220"/>
      <c r="DU152" s="220"/>
      <c r="DV152" s="220"/>
      <c r="DW152" s="220"/>
      <c r="DX152" s="220"/>
      <c r="DY152" s="220"/>
      <c r="DZ152" s="220"/>
      <c r="EA152" s="220"/>
    </row>
    <row r="153" spans="16:131" s="219" customFormat="1" x14ac:dyDescent="0.2">
      <c r="P153" s="221"/>
      <c r="S153" s="232"/>
      <c r="CV153" s="223"/>
      <c r="CW153" s="222"/>
      <c r="CX153" s="222"/>
      <c r="CY153" s="222"/>
      <c r="CZ153" s="222"/>
      <c r="DL153" s="220"/>
      <c r="DM153" s="220"/>
      <c r="DN153" s="220"/>
      <c r="DO153" s="220"/>
      <c r="DP153" s="220"/>
      <c r="DQ153" s="220"/>
      <c r="DR153" s="220"/>
      <c r="DS153" s="220"/>
      <c r="DT153" s="220"/>
      <c r="DU153" s="220"/>
      <c r="DV153" s="220"/>
      <c r="DW153" s="220"/>
      <c r="DX153" s="220"/>
      <c r="DY153" s="220"/>
      <c r="DZ153" s="220"/>
      <c r="EA153" s="220"/>
    </row>
    <row r="154" spans="16:131" s="219" customFormat="1" x14ac:dyDescent="0.2">
      <c r="P154" s="221"/>
      <c r="S154" s="232"/>
      <c r="CV154" s="223"/>
      <c r="CW154" s="222"/>
      <c r="CX154" s="222"/>
      <c r="CY154" s="222"/>
      <c r="CZ154" s="222"/>
      <c r="DL154" s="220"/>
      <c r="DM154" s="220"/>
      <c r="DN154" s="220"/>
      <c r="DO154" s="220"/>
      <c r="DP154" s="220"/>
      <c r="DQ154" s="220"/>
      <c r="DR154" s="220"/>
      <c r="DS154" s="220"/>
      <c r="DT154" s="220"/>
      <c r="DU154" s="220"/>
      <c r="DV154" s="220"/>
      <c r="DW154" s="220"/>
      <c r="DX154" s="220"/>
      <c r="DY154" s="220"/>
      <c r="DZ154" s="220"/>
      <c r="EA154" s="220"/>
    </row>
    <row r="155" spans="16:131" s="219" customFormat="1" x14ac:dyDescent="0.2">
      <c r="P155" s="221"/>
      <c r="S155" s="232"/>
      <c r="CV155" s="223"/>
      <c r="CW155" s="222"/>
      <c r="CX155" s="222"/>
      <c r="CY155" s="222"/>
      <c r="CZ155" s="222"/>
      <c r="DL155" s="220"/>
      <c r="DM155" s="220"/>
      <c r="DN155" s="220"/>
      <c r="DO155" s="220"/>
      <c r="DP155" s="220"/>
      <c r="DQ155" s="220"/>
      <c r="DR155" s="220"/>
      <c r="DS155" s="220"/>
      <c r="DT155" s="220"/>
      <c r="DU155" s="220"/>
      <c r="DV155" s="220"/>
      <c r="DW155" s="220"/>
      <c r="DX155" s="220"/>
      <c r="DY155" s="220"/>
      <c r="DZ155" s="220"/>
      <c r="EA155" s="220"/>
    </row>
    <row r="156" spans="16:131" s="219" customFormat="1" x14ac:dyDescent="0.2">
      <c r="P156" s="221"/>
      <c r="S156" s="232"/>
      <c r="CV156" s="223"/>
      <c r="CW156" s="222"/>
      <c r="CX156" s="222"/>
      <c r="CY156" s="222"/>
      <c r="CZ156" s="222"/>
      <c r="DL156" s="220"/>
      <c r="DM156" s="220"/>
      <c r="DN156" s="220"/>
      <c r="DO156" s="220"/>
      <c r="DP156" s="220"/>
      <c r="DQ156" s="220"/>
      <c r="DR156" s="220"/>
      <c r="DS156" s="220"/>
      <c r="DT156" s="220"/>
      <c r="DU156" s="220"/>
      <c r="DV156" s="220"/>
      <c r="DW156" s="220"/>
      <c r="DX156" s="220"/>
      <c r="DY156" s="220"/>
      <c r="DZ156" s="220"/>
      <c r="EA156" s="220"/>
    </row>
    <row r="157" spans="16:131" s="219" customFormat="1" x14ac:dyDescent="0.2">
      <c r="P157" s="221"/>
      <c r="S157" s="232"/>
      <c r="CV157" s="223"/>
      <c r="CW157" s="222"/>
      <c r="CX157" s="222"/>
      <c r="CY157" s="222"/>
      <c r="CZ157" s="222"/>
      <c r="DL157" s="220"/>
      <c r="DM157" s="220"/>
      <c r="DN157" s="220"/>
      <c r="DO157" s="220"/>
      <c r="DP157" s="220"/>
      <c r="DQ157" s="220"/>
      <c r="DR157" s="220"/>
      <c r="DS157" s="220"/>
      <c r="DT157" s="220"/>
      <c r="DU157" s="220"/>
      <c r="DV157" s="220"/>
      <c r="DW157" s="220"/>
      <c r="DX157" s="220"/>
      <c r="DY157" s="220"/>
      <c r="DZ157" s="220"/>
      <c r="EA157" s="220"/>
    </row>
    <row r="158" spans="16:131" s="219" customFormat="1" x14ac:dyDescent="0.2">
      <c r="P158" s="221"/>
      <c r="S158" s="232"/>
      <c r="CV158" s="223"/>
      <c r="CW158" s="222"/>
      <c r="CX158" s="222"/>
      <c r="CY158" s="222"/>
      <c r="CZ158" s="222"/>
      <c r="DL158" s="220"/>
      <c r="DM158" s="220"/>
      <c r="DN158" s="220"/>
      <c r="DO158" s="220"/>
      <c r="DP158" s="220"/>
      <c r="DQ158" s="220"/>
      <c r="DR158" s="220"/>
      <c r="DS158" s="220"/>
      <c r="DT158" s="220"/>
      <c r="DU158" s="220"/>
      <c r="DV158" s="220"/>
      <c r="DW158" s="220"/>
      <c r="DX158" s="220"/>
      <c r="DY158" s="220"/>
      <c r="DZ158" s="220"/>
      <c r="EA158" s="220"/>
    </row>
    <row r="159" spans="16:131" s="219" customFormat="1" x14ac:dyDescent="0.2">
      <c r="P159" s="221"/>
      <c r="S159" s="232"/>
      <c r="CV159" s="223"/>
      <c r="CW159" s="222"/>
      <c r="CX159" s="222"/>
      <c r="CY159" s="222"/>
      <c r="CZ159" s="222"/>
      <c r="DL159" s="220"/>
      <c r="DM159" s="220"/>
      <c r="DN159" s="220"/>
      <c r="DO159" s="220"/>
      <c r="DP159" s="220"/>
      <c r="DQ159" s="220"/>
      <c r="DR159" s="220"/>
      <c r="DS159" s="220"/>
      <c r="DT159" s="220"/>
      <c r="DU159" s="220"/>
      <c r="DV159" s="220"/>
      <c r="DW159" s="220"/>
      <c r="DX159" s="220"/>
      <c r="DY159" s="220"/>
      <c r="DZ159" s="220"/>
      <c r="EA159" s="220"/>
    </row>
    <row r="160" spans="16:131" s="219" customFormat="1" x14ac:dyDescent="0.2">
      <c r="P160" s="221"/>
      <c r="S160" s="232"/>
      <c r="CV160" s="223"/>
      <c r="CW160" s="222"/>
      <c r="CX160" s="222"/>
      <c r="CY160" s="222"/>
      <c r="CZ160" s="222"/>
      <c r="DL160" s="220"/>
      <c r="DM160" s="220"/>
      <c r="DN160" s="220"/>
      <c r="DO160" s="220"/>
      <c r="DP160" s="220"/>
      <c r="DQ160" s="220"/>
      <c r="DR160" s="220"/>
      <c r="DS160" s="220"/>
      <c r="DT160" s="220"/>
      <c r="DU160" s="220"/>
      <c r="DV160" s="220"/>
      <c r="DW160" s="220"/>
      <c r="DX160" s="220"/>
      <c r="DY160" s="220"/>
      <c r="DZ160" s="220"/>
      <c r="EA160" s="220"/>
    </row>
    <row r="161" spans="16:131" s="219" customFormat="1" x14ac:dyDescent="0.2">
      <c r="P161" s="221"/>
      <c r="S161" s="232"/>
      <c r="CV161" s="223"/>
      <c r="CW161" s="222"/>
      <c r="CX161" s="222"/>
      <c r="CY161" s="222"/>
      <c r="CZ161" s="222"/>
      <c r="DL161" s="220"/>
      <c r="DM161" s="220"/>
      <c r="DN161" s="220"/>
      <c r="DO161" s="220"/>
      <c r="DP161" s="220"/>
      <c r="DQ161" s="220"/>
      <c r="DR161" s="220"/>
      <c r="DS161" s="220"/>
      <c r="DT161" s="220"/>
      <c r="DU161" s="220"/>
      <c r="DV161" s="220"/>
      <c r="DW161" s="220"/>
      <c r="DX161" s="220"/>
      <c r="DY161" s="220"/>
      <c r="DZ161" s="220"/>
      <c r="EA161" s="220"/>
    </row>
    <row r="162" spans="16:131" s="219" customFormat="1" x14ac:dyDescent="0.2">
      <c r="P162" s="221"/>
      <c r="S162" s="232"/>
      <c r="CV162" s="223"/>
      <c r="CW162" s="222"/>
      <c r="CX162" s="222"/>
      <c r="CY162" s="222"/>
      <c r="CZ162" s="222"/>
      <c r="DL162" s="220"/>
      <c r="DM162" s="220"/>
      <c r="DN162" s="220"/>
      <c r="DO162" s="220"/>
      <c r="DP162" s="220"/>
      <c r="DQ162" s="220"/>
      <c r="DR162" s="220"/>
      <c r="DS162" s="220"/>
      <c r="DT162" s="220"/>
      <c r="DU162" s="220"/>
      <c r="DV162" s="220"/>
      <c r="DW162" s="220"/>
      <c r="DX162" s="220"/>
      <c r="DY162" s="220"/>
      <c r="DZ162" s="220"/>
      <c r="EA162" s="220"/>
    </row>
    <row r="163" spans="16:131" s="219" customFormat="1" x14ac:dyDescent="0.2">
      <c r="P163" s="221"/>
      <c r="S163" s="232"/>
      <c r="CV163" s="223"/>
      <c r="CW163" s="222"/>
      <c r="CX163" s="222"/>
      <c r="CY163" s="222"/>
      <c r="CZ163" s="222"/>
      <c r="DL163" s="220"/>
      <c r="DM163" s="220"/>
      <c r="DN163" s="220"/>
      <c r="DO163" s="220"/>
      <c r="DP163" s="220"/>
      <c r="DQ163" s="220"/>
      <c r="DR163" s="220"/>
      <c r="DS163" s="220"/>
      <c r="DT163" s="220"/>
      <c r="DU163" s="220"/>
      <c r="DV163" s="220"/>
      <c r="DW163" s="220"/>
      <c r="DX163" s="220"/>
      <c r="DY163" s="220"/>
      <c r="DZ163" s="220"/>
      <c r="EA163" s="220"/>
    </row>
    <row r="164" spans="16:131" s="219" customFormat="1" x14ac:dyDescent="0.2">
      <c r="P164" s="221"/>
      <c r="S164" s="232"/>
      <c r="CV164" s="223"/>
      <c r="CW164" s="222"/>
      <c r="CX164" s="222"/>
      <c r="CY164" s="222"/>
      <c r="CZ164" s="222"/>
      <c r="DL164" s="220"/>
      <c r="DM164" s="220"/>
      <c r="DN164" s="220"/>
      <c r="DO164" s="220"/>
      <c r="DP164" s="220"/>
      <c r="DQ164" s="220"/>
      <c r="DR164" s="220"/>
      <c r="DS164" s="220"/>
      <c r="DT164" s="220"/>
      <c r="DU164" s="220"/>
      <c r="DV164" s="220"/>
      <c r="DW164" s="220"/>
      <c r="DX164" s="220"/>
      <c r="DY164" s="220"/>
      <c r="DZ164" s="220"/>
      <c r="EA164" s="220"/>
    </row>
    <row r="165" spans="16:131" s="219" customFormat="1" x14ac:dyDescent="0.2">
      <c r="P165" s="221"/>
      <c r="S165" s="232"/>
      <c r="CV165" s="223"/>
      <c r="CW165" s="222"/>
      <c r="CX165" s="222"/>
      <c r="CY165" s="222"/>
      <c r="CZ165" s="222"/>
      <c r="DL165" s="220"/>
      <c r="DM165" s="220"/>
      <c r="DN165" s="220"/>
      <c r="DO165" s="220"/>
      <c r="DP165" s="220"/>
      <c r="DQ165" s="220"/>
      <c r="DR165" s="220"/>
      <c r="DS165" s="220"/>
      <c r="DT165" s="220"/>
      <c r="DU165" s="220"/>
      <c r="DV165" s="220"/>
      <c r="DW165" s="220"/>
      <c r="DX165" s="220"/>
      <c r="DY165" s="220"/>
      <c r="DZ165" s="220"/>
      <c r="EA165" s="220"/>
    </row>
    <row r="166" spans="16:131" s="219" customFormat="1" x14ac:dyDescent="0.2">
      <c r="P166" s="221"/>
      <c r="S166" s="232"/>
      <c r="CV166" s="223"/>
      <c r="CW166" s="222"/>
      <c r="CX166" s="222"/>
      <c r="CY166" s="222"/>
      <c r="CZ166" s="222"/>
      <c r="DL166" s="220"/>
      <c r="DM166" s="220"/>
      <c r="DN166" s="220"/>
      <c r="DO166" s="220"/>
      <c r="DP166" s="220"/>
      <c r="DQ166" s="220"/>
      <c r="DR166" s="220"/>
      <c r="DS166" s="220"/>
      <c r="DT166" s="220"/>
      <c r="DU166" s="220"/>
      <c r="DV166" s="220"/>
      <c r="DW166" s="220"/>
      <c r="DX166" s="220"/>
      <c r="DY166" s="220"/>
      <c r="DZ166" s="220"/>
      <c r="EA166" s="220"/>
    </row>
    <row r="167" spans="16:131" s="219" customFormat="1" x14ac:dyDescent="0.2">
      <c r="P167" s="221"/>
      <c r="S167" s="232"/>
      <c r="CV167" s="223"/>
      <c r="CW167" s="222"/>
      <c r="CX167" s="222"/>
      <c r="CY167" s="222"/>
      <c r="CZ167" s="222"/>
      <c r="DL167" s="220"/>
      <c r="DM167" s="220"/>
      <c r="DN167" s="220"/>
      <c r="DO167" s="220"/>
      <c r="DP167" s="220"/>
      <c r="DQ167" s="220"/>
      <c r="DR167" s="220"/>
      <c r="DS167" s="220"/>
      <c r="DT167" s="220"/>
      <c r="DU167" s="220"/>
      <c r="DV167" s="220"/>
      <c r="DW167" s="220"/>
      <c r="DX167" s="220"/>
      <c r="DY167" s="220"/>
      <c r="DZ167" s="220"/>
      <c r="EA167" s="220"/>
    </row>
    <row r="168" spans="16:131" s="219" customFormat="1" x14ac:dyDescent="0.2">
      <c r="P168" s="221"/>
      <c r="S168" s="232"/>
      <c r="CV168" s="223"/>
      <c r="CW168" s="222"/>
      <c r="CX168" s="222"/>
      <c r="CY168" s="222"/>
      <c r="CZ168" s="222"/>
      <c r="DL168" s="220"/>
      <c r="DM168" s="220"/>
      <c r="DN168" s="220"/>
      <c r="DO168" s="220"/>
      <c r="DP168" s="220"/>
      <c r="DQ168" s="220"/>
      <c r="DR168" s="220"/>
      <c r="DS168" s="220"/>
      <c r="DT168" s="220"/>
      <c r="DU168" s="220"/>
      <c r="DV168" s="220"/>
      <c r="DW168" s="220"/>
      <c r="DX168" s="220"/>
      <c r="DY168" s="220"/>
      <c r="DZ168" s="220"/>
      <c r="EA168" s="220"/>
    </row>
    <row r="169" spans="16:131" s="219" customFormat="1" x14ac:dyDescent="0.2">
      <c r="P169" s="221"/>
      <c r="S169" s="232"/>
      <c r="CV169" s="223"/>
      <c r="CW169" s="222"/>
      <c r="CX169" s="222"/>
      <c r="CY169" s="222"/>
      <c r="CZ169" s="222"/>
      <c r="DL169" s="220"/>
      <c r="DM169" s="220"/>
      <c r="DN169" s="220"/>
      <c r="DO169" s="220"/>
      <c r="DP169" s="220"/>
      <c r="DQ169" s="220"/>
      <c r="DR169" s="220"/>
      <c r="DS169" s="220"/>
      <c r="DT169" s="220"/>
      <c r="DU169" s="220"/>
      <c r="DV169" s="220"/>
      <c r="DW169" s="220"/>
      <c r="DX169" s="220"/>
      <c r="DY169" s="220"/>
      <c r="DZ169" s="220"/>
      <c r="EA169" s="220"/>
    </row>
    <row r="170" spans="16:131" s="219" customFormat="1" x14ac:dyDescent="0.2">
      <c r="P170" s="221"/>
      <c r="S170" s="232"/>
      <c r="CV170" s="223"/>
      <c r="CW170" s="222"/>
      <c r="CX170" s="222"/>
      <c r="CY170" s="222"/>
      <c r="CZ170" s="222"/>
      <c r="DL170" s="220"/>
      <c r="DM170" s="220"/>
      <c r="DN170" s="220"/>
      <c r="DO170" s="220"/>
      <c r="DP170" s="220"/>
      <c r="DQ170" s="220"/>
      <c r="DR170" s="220"/>
      <c r="DS170" s="220"/>
      <c r="DT170" s="220"/>
      <c r="DU170" s="220"/>
      <c r="DV170" s="220"/>
      <c r="DW170" s="220"/>
      <c r="DX170" s="220"/>
      <c r="DY170" s="220"/>
      <c r="DZ170" s="220"/>
      <c r="EA170" s="220"/>
    </row>
    <row r="171" spans="16:131" s="219" customFormat="1" x14ac:dyDescent="0.2">
      <c r="P171" s="221"/>
      <c r="S171" s="232"/>
      <c r="CV171" s="223"/>
      <c r="CW171" s="222"/>
      <c r="CX171" s="222"/>
      <c r="CY171" s="222"/>
      <c r="CZ171" s="222"/>
      <c r="DL171" s="220"/>
      <c r="DM171" s="220"/>
      <c r="DN171" s="220"/>
      <c r="DO171" s="220"/>
      <c r="DP171" s="220"/>
      <c r="DQ171" s="220"/>
      <c r="DR171" s="220"/>
      <c r="DS171" s="220"/>
      <c r="DT171" s="220"/>
      <c r="DU171" s="220"/>
      <c r="DV171" s="220"/>
      <c r="DW171" s="220"/>
      <c r="DX171" s="220"/>
      <c r="DY171" s="220"/>
      <c r="DZ171" s="220"/>
      <c r="EA171" s="220"/>
    </row>
    <row r="172" spans="16:131" s="219" customFormat="1" x14ac:dyDescent="0.2">
      <c r="P172" s="221"/>
      <c r="S172" s="232"/>
      <c r="CV172" s="223"/>
      <c r="CW172" s="222"/>
      <c r="CX172" s="222"/>
      <c r="CY172" s="222"/>
      <c r="CZ172" s="222"/>
      <c r="DL172" s="220"/>
      <c r="DM172" s="220"/>
      <c r="DN172" s="220"/>
      <c r="DO172" s="220"/>
      <c r="DP172" s="220"/>
      <c r="DQ172" s="220"/>
      <c r="DR172" s="220"/>
      <c r="DS172" s="220"/>
      <c r="DT172" s="220"/>
      <c r="DU172" s="220"/>
      <c r="DV172" s="220"/>
      <c r="DW172" s="220"/>
      <c r="DX172" s="220"/>
      <c r="DY172" s="220"/>
      <c r="DZ172" s="220"/>
      <c r="EA172" s="220"/>
    </row>
    <row r="173" spans="16:131" s="219" customFormat="1" x14ac:dyDescent="0.2">
      <c r="P173" s="221"/>
      <c r="S173" s="232"/>
      <c r="CV173" s="223"/>
      <c r="CW173" s="222"/>
      <c r="CX173" s="222"/>
      <c r="CY173" s="222"/>
      <c r="CZ173" s="222"/>
      <c r="DL173" s="220"/>
      <c r="DM173" s="220"/>
      <c r="DN173" s="220"/>
      <c r="DO173" s="220"/>
      <c r="DP173" s="220"/>
      <c r="DQ173" s="220"/>
      <c r="DR173" s="220"/>
      <c r="DS173" s="220"/>
      <c r="DT173" s="220"/>
      <c r="DU173" s="220"/>
      <c r="DV173" s="220"/>
      <c r="DW173" s="220"/>
      <c r="DX173" s="220"/>
      <c r="DY173" s="220"/>
      <c r="DZ173" s="220"/>
      <c r="EA173" s="220"/>
    </row>
    <row r="174" spans="16:131" s="219" customFormat="1" x14ac:dyDescent="0.2">
      <c r="P174" s="221"/>
      <c r="S174" s="232"/>
      <c r="CV174" s="223"/>
      <c r="CW174" s="222"/>
      <c r="CX174" s="222"/>
      <c r="CY174" s="222"/>
      <c r="CZ174" s="222"/>
      <c r="DL174" s="220"/>
      <c r="DM174" s="220"/>
      <c r="DN174" s="220"/>
      <c r="DO174" s="220"/>
      <c r="DP174" s="220"/>
      <c r="DQ174" s="220"/>
      <c r="DR174" s="220"/>
      <c r="DS174" s="220"/>
      <c r="DT174" s="220"/>
      <c r="DU174" s="220"/>
      <c r="DV174" s="220"/>
      <c r="DW174" s="220"/>
      <c r="DX174" s="220"/>
      <c r="DY174" s="220"/>
      <c r="DZ174" s="220"/>
      <c r="EA174" s="220"/>
    </row>
    <row r="175" spans="16:131" s="219" customFormat="1" x14ac:dyDescent="0.2">
      <c r="P175" s="221"/>
      <c r="S175" s="232"/>
      <c r="CV175" s="223"/>
      <c r="CW175" s="222"/>
      <c r="CX175" s="222"/>
      <c r="CY175" s="222"/>
      <c r="CZ175" s="222"/>
      <c r="DL175" s="220"/>
      <c r="DM175" s="220"/>
      <c r="DN175" s="220"/>
      <c r="DO175" s="220"/>
      <c r="DP175" s="220"/>
      <c r="DQ175" s="220"/>
      <c r="DR175" s="220"/>
      <c r="DS175" s="220"/>
      <c r="DT175" s="220"/>
      <c r="DU175" s="220"/>
      <c r="DV175" s="220"/>
      <c r="DW175" s="220"/>
      <c r="DX175" s="220"/>
      <c r="DY175" s="220"/>
      <c r="DZ175" s="220"/>
      <c r="EA175" s="220"/>
    </row>
    <row r="176" spans="16:131" s="219" customFormat="1" x14ac:dyDescent="0.2">
      <c r="P176" s="221"/>
      <c r="S176" s="232"/>
      <c r="CV176" s="223"/>
      <c r="CW176" s="222"/>
      <c r="CX176" s="222"/>
      <c r="CY176" s="222"/>
      <c r="CZ176" s="222"/>
      <c r="DL176" s="220"/>
      <c r="DM176" s="220"/>
      <c r="DN176" s="220"/>
      <c r="DO176" s="220"/>
      <c r="DP176" s="220"/>
      <c r="DQ176" s="220"/>
      <c r="DR176" s="220"/>
      <c r="DS176" s="220"/>
      <c r="DT176" s="220"/>
      <c r="DU176" s="220"/>
      <c r="DV176" s="220"/>
      <c r="DW176" s="220"/>
      <c r="DX176" s="220"/>
      <c r="DY176" s="220"/>
      <c r="DZ176" s="220"/>
      <c r="EA176" s="220"/>
    </row>
    <row r="177" spans="16:131" s="219" customFormat="1" x14ac:dyDescent="0.2">
      <c r="P177" s="221"/>
      <c r="S177" s="232"/>
      <c r="CV177" s="223"/>
      <c r="CW177" s="222"/>
      <c r="CX177" s="222"/>
      <c r="CY177" s="222"/>
      <c r="CZ177" s="222"/>
      <c r="DL177" s="220"/>
      <c r="DM177" s="220"/>
      <c r="DN177" s="220"/>
      <c r="DO177" s="220"/>
      <c r="DP177" s="220"/>
      <c r="DQ177" s="220"/>
      <c r="DR177" s="220"/>
      <c r="DS177" s="220"/>
      <c r="DT177" s="220"/>
      <c r="DU177" s="220"/>
      <c r="DV177" s="220"/>
      <c r="DW177" s="220"/>
      <c r="DX177" s="220"/>
      <c r="DY177" s="220"/>
      <c r="DZ177" s="220"/>
      <c r="EA177" s="220"/>
    </row>
    <row r="178" spans="16:131" s="219" customFormat="1" x14ac:dyDescent="0.2">
      <c r="P178" s="221"/>
      <c r="S178" s="232"/>
      <c r="CV178" s="223"/>
      <c r="CW178" s="222"/>
      <c r="CX178" s="222"/>
      <c r="CY178" s="222"/>
      <c r="CZ178" s="222"/>
      <c r="DL178" s="220"/>
      <c r="DM178" s="220"/>
      <c r="DN178" s="220"/>
      <c r="DO178" s="220"/>
      <c r="DP178" s="220"/>
      <c r="DQ178" s="220"/>
      <c r="DR178" s="220"/>
      <c r="DS178" s="220"/>
      <c r="DT178" s="220"/>
      <c r="DU178" s="220"/>
      <c r="DV178" s="220"/>
      <c r="DW178" s="220"/>
      <c r="DX178" s="220"/>
      <c r="DY178" s="220"/>
      <c r="DZ178" s="220"/>
      <c r="EA178" s="220"/>
    </row>
    <row r="179" spans="16:131" s="219" customFormat="1" x14ac:dyDescent="0.2">
      <c r="P179" s="221"/>
      <c r="S179" s="232"/>
      <c r="CV179" s="223"/>
      <c r="CW179" s="222"/>
      <c r="CX179" s="222"/>
      <c r="CY179" s="222"/>
      <c r="CZ179" s="222"/>
      <c r="DL179" s="220"/>
      <c r="DM179" s="220"/>
      <c r="DN179" s="220"/>
      <c r="DO179" s="220"/>
      <c r="DP179" s="220"/>
      <c r="DQ179" s="220"/>
      <c r="DR179" s="220"/>
      <c r="DS179" s="220"/>
      <c r="DT179" s="220"/>
      <c r="DU179" s="220"/>
      <c r="DV179" s="220"/>
      <c r="DW179" s="220"/>
      <c r="DX179" s="220"/>
      <c r="DY179" s="220"/>
      <c r="DZ179" s="220"/>
      <c r="EA179" s="220"/>
    </row>
    <row r="180" spans="16:131" s="219" customFormat="1" x14ac:dyDescent="0.2">
      <c r="P180" s="221"/>
      <c r="S180" s="232"/>
      <c r="CV180" s="223"/>
      <c r="CW180" s="222"/>
      <c r="CX180" s="222"/>
      <c r="CY180" s="222"/>
      <c r="CZ180" s="222"/>
      <c r="DL180" s="220"/>
      <c r="DM180" s="220"/>
      <c r="DN180" s="220"/>
      <c r="DO180" s="220"/>
      <c r="DP180" s="220"/>
      <c r="DQ180" s="220"/>
      <c r="DR180" s="220"/>
      <c r="DS180" s="220"/>
      <c r="DT180" s="220"/>
      <c r="DU180" s="220"/>
      <c r="DV180" s="220"/>
      <c r="DW180" s="220"/>
      <c r="DX180" s="220"/>
      <c r="DY180" s="220"/>
      <c r="DZ180" s="220"/>
      <c r="EA180" s="220"/>
    </row>
    <row r="181" spans="16:131" s="219" customFormat="1" x14ac:dyDescent="0.2">
      <c r="P181" s="221"/>
      <c r="S181" s="232"/>
      <c r="CV181" s="223"/>
      <c r="CW181" s="222"/>
      <c r="CX181" s="222"/>
      <c r="CY181" s="222"/>
      <c r="CZ181" s="222"/>
      <c r="DL181" s="220"/>
      <c r="DM181" s="220"/>
      <c r="DN181" s="220"/>
      <c r="DO181" s="220"/>
      <c r="DP181" s="220"/>
      <c r="DQ181" s="220"/>
      <c r="DR181" s="220"/>
      <c r="DS181" s="220"/>
      <c r="DT181" s="220"/>
      <c r="DU181" s="220"/>
      <c r="DV181" s="220"/>
      <c r="DW181" s="220"/>
      <c r="DX181" s="220"/>
      <c r="DY181" s="220"/>
      <c r="DZ181" s="220"/>
      <c r="EA181" s="220"/>
    </row>
    <row r="182" spans="16:131" s="219" customFormat="1" x14ac:dyDescent="0.2">
      <c r="P182" s="221"/>
      <c r="S182" s="232"/>
      <c r="CV182" s="223"/>
      <c r="CW182" s="222"/>
      <c r="CX182" s="222"/>
      <c r="CY182" s="222"/>
      <c r="CZ182" s="222"/>
      <c r="DL182" s="220"/>
      <c r="DM182" s="220"/>
      <c r="DN182" s="220"/>
      <c r="DO182" s="220"/>
      <c r="DP182" s="220"/>
      <c r="DQ182" s="220"/>
      <c r="DR182" s="220"/>
      <c r="DS182" s="220"/>
      <c r="DT182" s="220"/>
      <c r="DU182" s="220"/>
      <c r="DV182" s="220"/>
      <c r="DW182" s="220"/>
      <c r="DX182" s="220"/>
      <c r="DY182" s="220"/>
      <c r="DZ182" s="220"/>
      <c r="EA182" s="220"/>
    </row>
    <row r="183" spans="16:131" s="219" customFormat="1" x14ac:dyDescent="0.2">
      <c r="P183" s="221"/>
      <c r="S183" s="232"/>
      <c r="CV183" s="223"/>
      <c r="CW183" s="222"/>
      <c r="CX183" s="222"/>
      <c r="CY183" s="222"/>
      <c r="CZ183" s="222"/>
      <c r="DL183" s="220"/>
      <c r="DM183" s="220"/>
      <c r="DN183" s="220"/>
      <c r="DO183" s="220"/>
      <c r="DP183" s="220"/>
      <c r="DQ183" s="220"/>
      <c r="DR183" s="220"/>
      <c r="DS183" s="220"/>
      <c r="DT183" s="220"/>
      <c r="DU183" s="220"/>
      <c r="DV183" s="220"/>
      <c r="DW183" s="220"/>
      <c r="DX183" s="220"/>
      <c r="DY183" s="220"/>
      <c r="DZ183" s="220"/>
      <c r="EA183" s="220"/>
    </row>
    <row r="184" spans="16:131" s="219" customFormat="1" x14ac:dyDescent="0.2">
      <c r="P184" s="221"/>
      <c r="S184" s="232"/>
      <c r="CV184" s="223"/>
      <c r="CW184" s="222"/>
      <c r="CX184" s="222"/>
      <c r="CY184" s="222"/>
      <c r="CZ184" s="222"/>
      <c r="DL184" s="220"/>
      <c r="DM184" s="220"/>
      <c r="DN184" s="220"/>
      <c r="DO184" s="220"/>
      <c r="DP184" s="220"/>
      <c r="DQ184" s="220"/>
      <c r="DR184" s="220"/>
      <c r="DS184" s="220"/>
      <c r="DT184" s="220"/>
      <c r="DU184" s="220"/>
      <c r="DV184" s="220"/>
      <c r="DW184" s="220"/>
      <c r="DX184" s="220"/>
      <c r="DY184" s="220"/>
      <c r="DZ184" s="220"/>
      <c r="EA184" s="220"/>
    </row>
    <row r="185" spans="16:131" s="219" customFormat="1" x14ac:dyDescent="0.2">
      <c r="P185" s="221"/>
      <c r="S185" s="232"/>
      <c r="CV185" s="223"/>
      <c r="CW185" s="222"/>
      <c r="CX185" s="222"/>
      <c r="CY185" s="222"/>
      <c r="CZ185" s="222"/>
      <c r="DL185" s="220"/>
      <c r="DM185" s="220"/>
      <c r="DN185" s="220"/>
      <c r="DO185" s="220"/>
      <c r="DP185" s="220"/>
      <c r="DQ185" s="220"/>
      <c r="DR185" s="220"/>
      <c r="DS185" s="220"/>
      <c r="DT185" s="220"/>
      <c r="DU185" s="220"/>
      <c r="DV185" s="220"/>
      <c r="DW185" s="220"/>
      <c r="DX185" s="220"/>
      <c r="DY185" s="220"/>
      <c r="DZ185" s="220"/>
      <c r="EA185" s="220"/>
    </row>
    <row r="186" spans="16:131" s="219" customFormat="1" x14ac:dyDescent="0.2">
      <c r="P186" s="221"/>
      <c r="S186" s="232"/>
      <c r="CV186" s="223"/>
      <c r="CW186" s="222"/>
      <c r="CX186" s="222"/>
      <c r="CY186" s="222"/>
      <c r="CZ186" s="222"/>
      <c r="DL186" s="220"/>
      <c r="DM186" s="220"/>
      <c r="DN186" s="220"/>
      <c r="DO186" s="220"/>
      <c r="DP186" s="220"/>
      <c r="DQ186" s="220"/>
      <c r="DR186" s="220"/>
      <c r="DS186" s="220"/>
      <c r="DT186" s="220"/>
      <c r="DU186" s="220"/>
      <c r="DV186" s="220"/>
      <c r="DW186" s="220"/>
      <c r="DX186" s="220"/>
      <c r="DY186" s="220"/>
      <c r="DZ186" s="220"/>
      <c r="EA186" s="220"/>
    </row>
    <row r="187" spans="16:131" s="219" customFormat="1" x14ac:dyDescent="0.2">
      <c r="P187" s="221"/>
      <c r="S187" s="232"/>
      <c r="CV187" s="223"/>
      <c r="CW187" s="222"/>
      <c r="CX187" s="222"/>
      <c r="CY187" s="222"/>
      <c r="CZ187" s="222"/>
      <c r="DL187" s="220"/>
      <c r="DM187" s="220"/>
      <c r="DN187" s="220"/>
      <c r="DO187" s="220"/>
      <c r="DP187" s="220"/>
      <c r="DQ187" s="220"/>
      <c r="DR187" s="220"/>
      <c r="DS187" s="220"/>
      <c r="DT187" s="220"/>
      <c r="DU187" s="220"/>
      <c r="DV187" s="220"/>
      <c r="DW187" s="220"/>
      <c r="DX187" s="220"/>
      <c r="DY187" s="220"/>
      <c r="DZ187" s="220"/>
      <c r="EA187" s="220"/>
    </row>
    <row r="188" spans="16:131" s="219" customFormat="1" x14ac:dyDescent="0.2">
      <c r="P188" s="221"/>
      <c r="S188" s="232"/>
      <c r="CV188" s="223"/>
      <c r="CW188" s="222"/>
      <c r="CX188" s="222"/>
      <c r="CY188" s="222"/>
      <c r="CZ188" s="222"/>
      <c r="DL188" s="220"/>
      <c r="DM188" s="220"/>
      <c r="DN188" s="220"/>
      <c r="DO188" s="220"/>
      <c r="DP188" s="220"/>
      <c r="DQ188" s="220"/>
      <c r="DR188" s="220"/>
      <c r="DS188" s="220"/>
      <c r="DT188" s="220"/>
      <c r="DU188" s="220"/>
      <c r="DV188" s="220"/>
      <c r="DW188" s="220"/>
      <c r="DX188" s="220"/>
      <c r="DY188" s="220"/>
      <c r="DZ188" s="220"/>
      <c r="EA188" s="220"/>
    </row>
    <row r="189" spans="16:131" s="219" customFormat="1" x14ac:dyDescent="0.2">
      <c r="P189" s="221"/>
      <c r="S189" s="232"/>
      <c r="CV189" s="223"/>
      <c r="CW189" s="222"/>
      <c r="CX189" s="222"/>
      <c r="CY189" s="222"/>
      <c r="CZ189" s="222"/>
      <c r="DL189" s="220"/>
      <c r="DM189" s="220"/>
      <c r="DN189" s="220"/>
      <c r="DO189" s="220"/>
      <c r="DP189" s="220"/>
      <c r="DQ189" s="220"/>
      <c r="DR189" s="220"/>
      <c r="DS189" s="220"/>
      <c r="DT189" s="220"/>
      <c r="DU189" s="220"/>
      <c r="DV189" s="220"/>
      <c r="DW189" s="220"/>
      <c r="DX189" s="220"/>
      <c r="DY189" s="220"/>
      <c r="DZ189" s="220"/>
      <c r="EA189" s="220"/>
    </row>
    <row r="190" spans="16:131" s="219" customFormat="1" x14ac:dyDescent="0.2">
      <c r="P190" s="221"/>
      <c r="S190" s="232"/>
      <c r="CV190" s="223"/>
      <c r="CW190" s="222"/>
      <c r="CX190" s="222"/>
      <c r="CY190" s="222"/>
      <c r="CZ190" s="222"/>
      <c r="DL190" s="220"/>
      <c r="DM190" s="220"/>
      <c r="DN190" s="220"/>
      <c r="DO190" s="220"/>
      <c r="DP190" s="220"/>
      <c r="DQ190" s="220"/>
      <c r="DR190" s="220"/>
      <c r="DS190" s="220"/>
      <c r="DT190" s="220"/>
      <c r="DU190" s="220"/>
      <c r="DV190" s="220"/>
      <c r="DW190" s="220"/>
      <c r="DX190" s="220"/>
      <c r="DY190" s="220"/>
      <c r="DZ190" s="220"/>
      <c r="EA190" s="220"/>
    </row>
    <row r="191" spans="16:131" s="219" customFormat="1" x14ac:dyDescent="0.2">
      <c r="P191" s="221"/>
      <c r="S191" s="232"/>
      <c r="CV191" s="223"/>
      <c r="CW191" s="222"/>
      <c r="CX191" s="222"/>
      <c r="CY191" s="222"/>
      <c r="CZ191" s="222"/>
      <c r="DL191" s="220"/>
      <c r="DM191" s="220"/>
      <c r="DN191" s="220"/>
      <c r="DO191" s="220"/>
      <c r="DP191" s="220"/>
      <c r="DQ191" s="220"/>
      <c r="DR191" s="220"/>
      <c r="DS191" s="220"/>
      <c r="DT191" s="220"/>
      <c r="DU191" s="220"/>
      <c r="DV191" s="220"/>
      <c r="DW191" s="220"/>
      <c r="DX191" s="220"/>
      <c r="DY191" s="220"/>
      <c r="DZ191" s="220"/>
      <c r="EA191" s="220"/>
    </row>
    <row r="192" spans="16:131" s="219" customFormat="1" x14ac:dyDescent="0.2">
      <c r="P192" s="221"/>
      <c r="S192" s="232"/>
      <c r="CV192" s="223"/>
      <c r="CW192" s="222"/>
      <c r="CX192" s="222"/>
      <c r="CY192" s="222"/>
      <c r="CZ192" s="222"/>
      <c r="DL192" s="220"/>
      <c r="DM192" s="220"/>
      <c r="DN192" s="220"/>
      <c r="DO192" s="220"/>
      <c r="DP192" s="220"/>
      <c r="DQ192" s="220"/>
      <c r="DR192" s="220"/>
      <c r="DS192" s="220"/>
      <c r="DT192" s="220"/>
      <c r="DU192" s="220"/>
      <c r="DV192" s="220"/>
      <c r="DW192" s="220"/>
      <c r="DX192" s="220"/>
      <c r="DY192" s="220"/>
      <c r="DZ192" s="220"/>
      <c r="EA192" s="220"/>
    </row>
    <row r="193" spans="16:131" s="219" customFormat="1" x14ac:dyDescent="0.2">
      <c r="P193" s="221"/>
      <c r="S193" s="232"/>
      <c r="CV193" s="223"/>
      <c r="CW193" s="222"/>
      <c r="CX193" s="222"/>
      <c r="CY193" s="222"/>
      <c r="CZ193" s="222"/>
      <c r="DL193" s="220"/>
      <c r="DM193" s="220"/>
      <c r="DN193" s="220"/>
      <c r="DO193" s="220"/>
      <c r="DP193" s="220"/>
      <c r="DQ193" s="220"/>
      <c r="DR193" s="220"/>
      <c r="DS193" s="220"/>
      <c r="DT193" s="220"/>
      <c r="DU193" s="220"/>
      <c r="DV193" s="220"/>
      <c r="DW193" s="220"/>
      <c r="DX193" s="220"/>
      <c r="DY193" s="220"/>
      <c r="DZ193" s="220"/>
      <c r="EA193" s="220"/>
    </row>
    <row r="194" spans="16:131" s="219" customFormat="1" x14ac:dyDescent="0.2">
      <c r="P194" s="221"/>
      <c r="S194" s="232"/>
      <c r="CV194" s="223"/>
      <c r="CW194" s="222"/>
      <c r="CX194" s="222"/>
      <c r="CY194" s="222"/>
      <c r="CZ194" s="222"/>
      <c r="DL194" s="220"/>
      <c r="DM194" s="220"/>
      <c r="DN194" s="220"/>
      <c r="DO194" s="220"/>
      <c r="DP194" s="220"/>
      <c r="DQ194" s="220"/>
      <c r="DR194" s="220"/>
      <c r="DS194" s="220"/>
      <c r="DT194" s="220"/>
      <c r="DU194" s="220"/>
      <c r="DV194" s="220"/>
      <c r="DW194" s="220"/>
      <c r="DX194" s="220"/>
      <c r="DY194" s="220"/>
      <c r="DZ194" s="220"/>
      <c r="EA194" s="220"/>
    </row>
    <row r="195" spans="16:131" s="219" customFormat="1" x14ac:dyDescent="0.2">
      <c r="P195" s="221"/>
      <c r="S195" s="232"/>
      <c r="CV195" s="223"/>
      <c r="CW195" s="222"/>
      <c r="CX195" s="222"/>
      <c r="CY195" s="222"/>
      <c r="CZ195" s="222"/>
      <c r="DL195" s="220"/>
      <c r="DM195" s="220"/>
      <c r="DN195" s="220"/>
      <c r="DO195" s="220"/>
      <c r="DP195" s="220"/>
      <c r="DQ195" s="220"/>
      <c r="DR195" s="220"/>
      <c r="DS195" s="220"/>
      <c r="DT195" s="220"/>
      <c r="DU195" s="220"/>
      <c r="DV195" s="220"/>
      <c r="DW195" s="220"/>
      <c r="DX195" s="220"/>
      <c r="DY195" s="220"/>
      <c r="DZ195" s="220"/>
      <c r="EA195" s="220"/>
    </row>
    <row r="196" spans="16:131" s="219" customFormat="1" x14ac:dyDescent="0.2">
      <c r="P196" s="221"/>
      <c r="S196" s="232"/>
      <c r="CV196" s="223"/>
      <c r="CW196" s="222"/>
      <c r="CX196" s="222"/>
      <c r="CY196" s="222"/>
      <c r="CZ196" s="222"/>
      <c r="DL196" s="220"/>
      <c r="DM196" s="220"/>
      <c r="DN196" s="220"/>
      <c r="DO196" s="220"/>
      <c r="DP196" s="220"/>
      <c r="DQ196" s="220"/>
      <c r="DR196" s="220"/>
      <c r="DS196" s="220"/>
      <c r="DT196" s="220"/>
      <c r="DU196" s="220"/>
      <c r="DV196" s="220"/>
      <c r="DW196" s="220"/>
      <c r="DX196" s="220"/>
      <c r="DY196" s="220"/>
      <c r="DZ196" s="220"/>
      <c r="EA196" s="220"/>
    </row>
    <row r="197" spans="16:131" s="219" customFormat="1" x14ac:dyDescent="0.2">
      <c r="P197" s="221"/>
      <c r="S197" s="232"/>
      <c r="CV197" s="223"/>
      <c r="CW197" s="222"/>
      <c r="CX197" s="222"/>
      <c r="CY197" s="222"/>
      <c r="CZ197" s="222"/>
      <c r="DL197" s="220"/>
      <c r="DM197" s="220"/>
      <c r="DN197" s="220"/>
      <c r="DO197" s="220"/>
      <c r="DP197" s="220"/>
      <c r="DQ197" s="220"/>
      <c r="DR197" s="220"/>
      <c r="DS197" s="220"/>
      <c r="DT197" s="220"/>
      <c r="DU197" s="220"/>
      <c r="DV197" s="220"/>
      <c r="DW197" s="220"/>
      <c r="DX197" s="220"/>
      <c r="DY197" s="220"/>
      <c r="DZ197" s="220"/>
      <c r="EA197" s="220"/>
    </row>
    <row r="198" spans="16:131" s="219" customFormat="1" x14ac:dyDescent="0.2">
      <c r="P198" s="221"/>
      <c r="S198" s="232"/>
      <c r="CV198" s="223"/>
      <c r="CW198" s="222"/>
      <c r="CX198" s="222"/>
      <c r="CY198" s="222"/>
      <c r="CZ198" s="222"/>
      <c r="DL198" s="220"/>
      <c r="DM198" s="220"/>
      <c r="DN198" s="220"/>
      <c r="DO198" s="220"/>
      <c r="DP198" s="220"/>
      <c r="DQ198" s="220"/>
      <c r="DR198" s="220"/>
      <c r="DS198" s="220"/>
      <c r="DT198" s="220"/>
      <c r="DU198" s="220"/>
      <c r="DV198" s="220"/>
      <c r="DW198" s="220"/>
      <c r="DX198" s="220"/>
      <c r="DY198" s="220"/>
      <c r="DZ198" s="220"/>
      <c r="EA198" s="220"/>
    </row>
    <row r="199" spans="16:131" s="219" customFormat="1" x14ac:dyDescent="0.2">
      <c r="P199" s="221"/>
      <c r="S199" s="232"/>
      <c r="CV199" s="223"/>
      <c r="CW199" s="222"/>
      <c r="CX199" s="222"/>
      <c r="CY199" s="222"/>
      <c r="CZ199" s="222"/>
      <c r="DL199" s="220"/>
      <c r="DM199" s="220"/>
      <c r="DN199" s="220"/>
      <c r="DO199" s="220"/>
      <c r="DP199" s="220"/>
      <c r="DQ199" s="220"/>
      <c r="DR199" s="220"/>
      <c r="DS199" s="220"/>
      <c r="DT199" s="220"/>
      <c r="DU199" s="220"/>
      <c r="DV199" s="220"/>
      <c r="DW199" s="220"/>
      <c r="DX199" s="220"/>
      <c r="DY199" s="220"/>
      <c r="DZ199" s="220"/>
      <c r="EA199" s="220"/>
    </row>
    <row r="200" spans="16:131" s="219" customFormat="1" x14ac:dyDescent="0.2">
      <c r="P200" s="221"/>
      <c r="S200" s="232"/>
      <c r="CV200" s="223"/>
      <c r="CW200" s="222"/>
      <c r="CX200" s="222"/>
      <c r="CY200" s="222"/>
      <c r="CZ200" s="222"/>
      <c r="DL200" s="220"/>
      <c r="DM200" s="220"/>
      <c r="DN200" s="220"/>
      <c r="DO200" s="220"/>
      <c r="DP200" s="220"/>
      <c r="DQ200" s="220"/>
      <c r="DR200" s="220"/>
      <c r="DS200" s="220"/>
      <c r="DT200" s="220"/>
      <c r="DU200" s="220"/>
      <c r="DV200" s="220"/>
      <c r="DW200" s="220"/>
      <c r="DX200" s="220"/>
      <c r="DY200" s="220"/>
      <c r="DZ200" s="220"/>
      <c r="EA200" s="220"/>
    </row>
    <row r="201" spans="16:131" s="219" customFormat="1" x14ac:dyDescent="0.2">
      <c r="P201" s="221"/>
      <c r="S201" s="232"/>
      <c r="CV201" s="223"/>
      <c r="CW201" s="222"/>
      <c r="CX201" s="222"/>
      <c r="CY201" s="222"/>
      <c r="CZ201" s="222"/>
      <c r="DL201" s="220"/>
      <c r="DM201" s="220"/>
      <c r="DN201" s="220"/>
      <c r="DO201" s="220"/>
      <c r="DP201" s="220"/>
      <c r="DQ201" s="220"/>
      <c r="DR201" s="220"/>
      <c r="DS201" s="220"/>
      <c r="DT201" s="220"/>
      <c r="DU201" s="220"/>
      <c r="DV201" s="220"/>
      <c r="DW201" s="220"/>
      <c r="DX201" s="220"/>
      <c r="DY201" s="220"/>
      <c r="DZ201" s="220"/>
      <c r="EA201" s="220"/>
    </row>
    <row r="202" spans="16:131" s="219" customFormat="1" x14ac:dyDescent="0.2">
      <c r="P202" s="221"/>
      <c r="S202" s="232"/>
      <c r="CV202" s="223"/>
      <c r="CW202" s="222"/>
      <c r="CX202" s="222"/>
      <c r="CY202" s="222"/>
      <c r="CZ202" s="222"/>
      <c r="DL202" s="220"/>
      <c r="DM202" s="220"/>
      <c r="DN202" s="220"/>
      <c r="DO202" s="220"/>
      <c r="DP202" s="220"/>
      <c r="DQ202" s="220"/>
      <c r="DR202" s="220"/>
      <c r="DS202" s="220"/>
      <c r="DT202" s="220"/>
      <c r="DU202" s="220"/>
      <c r="DV202" s="220"/>
      <c r="DW202" s="220"/>
      <c r="DX202" s="220"/>
      <c r="DY202" s="220"/>
      <c r="DZ202" s="220"/>
      <c r="EA202" s="220"/>
    </row>
    <row r="203" spans="16:131" s="219" customFormat="1" x14ac:dyDescent="0.2">
      <c r="P203" s="221"/>
      <c r="S203" s="232"/>
      <c r="CV203" s="223"/>
      <c r="CW203" s="222"/>
      <c r="CX203" s="222"/>
      <c r="CY203" s="222"/>
      <c r="CZ203" s="222"/>
      <c r="DL203" s="220"/>
      <c r="DM203" s="220"/>
      <c r="DN203" s="220"/>
      <c r="DO203" s="220"/>
      <c r="DP203" s="220"/>
      <c r="DQ203" s="220"/>
      <c r="DR203" s="220"/>
      <c r="DS203" s="220"/>
      <c r="DT203" s="220"/>
      <c r="DU203" s="220"/>
      <c r="DV203" s="220"/>
      <c r="DW203" s="220"/>
      <c r="DX203" s="220"/>
      <c r="DY203" s="220"/>
      <c r="DZ203" s="220"/>
      <c r="EA203" s="220"/>
    </row>
    <row r="204" spans="16:131" s="219" customFormat="1" x14ac:dyDescent="0.2">
      <c r="P204" s="221"/>
      <c r="S204" s="232"/>
      <c r="CV204" s="223"/>
      <c r="CW204" s="222"/>
      <c r="CX204" s="222"/>
      <c r="CY204" s="222"/>
      <c r="CZ204" s="222"/>
      <c r="DL204" s="220"/>
      <c r="DM204" s="220"/>
      <c r="DN204" s="220"/>
      <c r="DO204" s="220"/>
      <c r="DP204" s="220"/>
      <c r="DQ204" s="220"/>
      <c r="DR204" s="220"/>
      <c r="DS204" s="220"/>
      <c r="DT204" s="220"/>
      <c r="DU204" s="220"/>
      <c r="DV204" s="220"/>
      <c r="DW204" s="220"/>
      <c r="DX204" s="220"/>
      <c r="DY204" s="220"/>
      <c r="DZ204" s="220"/>
      <c r="EA204" s="220"/>
    </row>
    <row r="205" spans="16:131" s="219" customFormat="1" x14ac:dyDescent="0.2">
      <c r="P205" s="221"/>
      <c r="S205" s="232"/>
      <c r="CV205" s="223"/>
      <c r="CW205" s="222"/>
      <c r="CX205" s="222"/>
      <c r="CY205" s="222"/>
      <c r="CZ205" s="222"/>
      <c r="DL205" s="220"/>
      <c r="DM205" s="220"/>
      <c r="DN205" s="220"/>
      <c r="DO205" s="220"/>
      <c r="DP205" s="220"/>
      <c r="DQ205" s="220"/>
      <c r="DR205" s="220"/>
      <c r="DS205" s="220"/>
      <c r="DT205" s="220"/>
      <c r="DU205" s="220"/>
      <c r="DV205" s="220"/>
      <c r="DW205" s="220"/>
      <c r="DX205" s="220"/>
      <c r="DY205" s="220"/>
      <c r="DZ205" s="220"/>
      <c r="EA205" s="220"/>
    </row>
    <row r="206" spans="16:131" s="219" customFormat="1" x14ac:dyDescent="0.2">
      <c r="P206" s="221"/>
      <c r="S206" s="232"/>
      <c r="CV206" s="223"/>
      <c r="CW206" s="222"/>
      <c r="CX206" s="222"/>
      <c r="CY206" s="222"/>
      <c r="CZ206" s="222"/>
      <c r="DL206" s="220"/>
      <c r="DM206" s="220"/>
      <c r="DN206" s="220"/>
      <c r="DO206" s="220"/>
      <c r="DP206" s="220"/>
      <c r="DQ206" s="220"/>
      <c r="DR206" s="220"/>
      <c r="DS206" s="220"/>
      <c r="DT206" s="220"/>
      <c r="DU206" s="220"/>
      <c r="DV206" s="220"/>
      <c r="DW206" s="220"/>
      <c r="DX206" s="220"/>
      <c r="DY206" s="220"/>
      <c r="DZ206" s="220"/>
      <c r="EA206" s="220"/>
    </row>
    <row r="207" spans="16:131" s="219" customFormat="1" x14ac:dyDescent="0.2">
      <c r="P207" s="221"/>
      <c r="S207" s="232"/>
      <c r="CV207" s="223"/>
      <c r="CW207" s="222"/>
      <c r="CX207" s="222"/>
      <c r="CY207" s="222"/>
      <c r="CZ207" s="222"/>
      <c r="DL207" s="220"/>
      <c r="DM207" s="220"/>
      <c r="DN207" s="220"/>
      <c r="DO207" s="220"/>
      <c r="DP207" s="220"/>
      <c r="DQ207" s="220"/>
      <c r="DR207" s="220"/>
      <c r="DS207" s="220"/>
      <c r="DT207" s="220"/>
      <c r="DU207" s="220"/>
      <c r="DV207" s="220"/>
      <c r="DW207" s="220"/>
      <c r="DX207" s="220"/>
      <c r="DY207" s="220"/>
      <c r="DZ207" s="220"/>
      <c r="EA207" s="220"/>
    </row>
    <row r="208" spans="16:131" s="219" customFormat="1" x14ac:dyDescent="0.2">
      <c r="P208" s="221"/>
      <c r="S208" s="232"/>
      <c r="CV208" s="223"/>
      <c r="CW208" s="222"/>
      <c r="CX208" s="222"/>
      <c r="CY208" s="222"/>
      <c r="CZ208" s="222"/>
      <c r="DL208" s="220"/>
      <c r="DM208" s="220"/>
      <c r="DN208" s="220"/>
      <c r="DO208" s="220"/>
      <c r="DP208" s="220"/>
      <c r="DQ208" s="220"/>
      <c r="DR208" s="220"/>
      <c r="DS208" s="220"/>
      <c r="DT208" s="220"/>
      <c r="DU208" s="220"/>
      <c r="DV208" s="220"/>
      <c r="DW208" s="220"/>
      <c r="DX208" s="220"/>
      <c r="DY208" s="220"/>
      <c r="DZ208" s="220"/>
      <c r="EA208" s="220"/>
    </row>
    <row r="209" spans="16:131" s="219" customFormat="1" x14ac:dyDescent="0.2">
      <c r="P209" s="221"/>
      <c r="S209" s="232"/>
      <c r="CV209" s="223"/>
      <c r="CW209" s="222"/>
      <c r="CX209" s="222"/>
      <c r="CY209" s="222"/>
      <c r="CZ209" s="222"/>
      <c r="DL209" s="220"/>
      <c r="DM209" s="220"/>
      <c r="DN209" s="220"/>
      <c r="DO209" s="220"/>
      <c r="DP209" s="220"/>
      <c r="DQ209" s="220"/>
      <c r="DR209" s="220"/>
      <c r="DS209" s="220"/>
      <c r="DT209" s="220"/>
      <c r="DU209" s="220"/>
      <c r="DV209" s="220"/>
      <c r="DW209" s="220"/>
      <c r="DX209" s="220"/>
      <c r="DY209" s="220"/>
      <c r="DZ209" s="220"/>
      <c r="EA209" s="220"/>
    </row>
    <row r="210" spans="16:131" s="219" customFormat="1" x14ac:dyDescent="0.2">
      <c r="P210" s="221"/>
      <c r="S210" s="232"/>
      <c r="CV210" s="223"/>
      <c r="CW210" s="222"/>
      <c r="CX210" s="222"/>
      <c r="CY210" s="222"/>
      <c r="CZ210" s="222"/>
      <c r="DL210" s="220"/>
      <c r="DM210" s="220"/>
      <c r="DN210" s="220"/>
      <c r="DO210" s="220"/>
      <c r="DP210" s="220"/>
      <c r="DQ210" s="220"/>
      <c r="DR210" s="220"/>
      <c r="DS210" s="220"/>
      <c r="DT210" s="220"/>
      <c r="DU210" s="220"/>
      <c r="DV210" s="220"/>
      <c r="DW210" s="220"/>
      <c r="DX210" s="220"/>
      <c r="DY210" s="220"/>
      <c r="DZ210" s="220"/>
      <c r="EA210" s="220"/>
    </row>
    <row r="211" spans="16:131" s="219" customFormat="1" x14ac:dyDescent="0.2">
      <c r="P211" s="221"/>
      <c r="S211" s="232"/>
      <c r="CV211" s="223"/>
      <c r="CW211" s="222"/>
      <c r="CX211" s="222"/>
      <c r="CY211" s="222"/>
      <c r="CZ211" s="222"/>
      <c r="DL211" s="220"/>
      <c r="DM211" s="220"/>
      <c r="DN211" s="220"/>
      <c r="DO211" s="220"/>
      <c r="DP211" s="220"/>
      <c r="DQ211" s="220"/>
      <c r="DR211" s="220"/>
      <c r="DS211" s="220"/>
      <c r="DT211" s="220"/>
      <c r="DU211" s="220"/>
      <c r="DV211" s="220"/>
      <c r="DW211" s="220"/>
      <c r="DX211" s="220"/>
      <c r="DY211" s="220"/>
      <c r="DZ211" s="220"/>
      <c r="EA211" s="220"/>
    </row>
    <row r="212" spans="16:131" s="219" customFormat="1" x14ac:dyDescent="0.2">
      <c r="P212" s="221"/>
      <c r="S212" s="232"/>
      <c r="CV212" s="223"/>
      <c r="CW212" s="222"/>
      <c r="CX212" s="222"/>
      <c r="CY212" s="222"/>
      <c r="CZ212" s="222"/>
      <c r="DL212" s="220"/>
      <c r="DM212" s="220"/>
      <c r="DN212" s="220"/>
      <c r="DO212" s="220"/>
      <c r="DP212" s="220"/>
      <c r="DQ212" s="220"/>
      <c r="DR212" s="220"/>
      <c r="DS212" s="220"/>
      <c r="DT212" s="220"/>
      <c r="DU212" s="220"/>
      <c r="DV212" s="220"/>
      <c r="DW212" s="220"/>
      <c r="DX212" s="220"/>
      <c r="DY212" s="220"/>
      <c r="DZ212" s="220"/>
      <c r="EA212" s="220"/>
    </row>
    <row r="213" spans="16:131" s="219" customFormat="1" x14ac:dyDescent="0.2">
      <c r="P213" s="221"/>
      <c r="S213" s="232"/>
      <c r="CV213" s="223"/>
      <c r="CW213" s="222"/>
      <c r="CX213" s="222"/>
      <c r="CY213" s="222"/>
      <c r="CZ213" s="222"/>
      <c r="DL213" s="220"/>
      <c r="DM213" s="220"/>
      <c r="DN213" s="220"/>
      <c r="DO213" s="220"/>
      <c r="DP213" s="220"/>
      <c r="DQ213" s="220"/>
      <c r="DR213" s="220"/>
      <c r="DS213" s="220"/>
      <c r="DT213" s="220"/>
      <c r="DU213" s="220"/>
      <c r="DV213" s="220"/>
      <c r="DW213" s="220"/>
      <c r="DX213" s="220"/>
      <c r="DY213" s="220"/>
      <c r="DZ213" s="220"/>
      <c r="EA213" s="220"/>
    </row>
    <row r="214" spans="16:131" s="219" customFormat="1" x14ac:dyDescent="0.2">
      <c r="P214" s="221"/>
      <c r="S214" s="232"/>
      <c r="CV214" s="223"/>
      <c r="CW214" s="222"/>
      <c r="CX214" s="222"/>
      <c r="CY214" s="222"/>
      <c r="CZ214" s="222"/>
      <c r="DL214" s="220"/>
      <c r="DM214" s="220"/>
      <c r="DN214" s="220"/>
      <c r="DO214" s="220"/>
      <c r="DP214" s="220"/>
      <c r="DQ214" s="220"/>
      <c r="DR214" s="220"/>
      <c r="DS214" s="220"/>
      <c r="DT214" s="220"/>
      <c r="DU214" s="220"/>
      <c r="DV214" s="220"/>
      <c r="DW214" s="220"/>
      <c r="DX214" s="220"/>
      <c r="DY214" s="220"/>
      <c r="DZ214" s="220"/>
      <c r="EA214" s="220"/>
    </row>
    <row r="215" spans="16:131" s="219" customFormat="1" x14ac:dyDescent="0.2">
      <c r="P215" s="221"/>
      <c r="S215" s="232"/>
      <c r="CV215" s="223"/>
      <c r="CW215" s="222"/>
      <c r="CX215" s="222"/>
      <c r="CY215" s="222"/>
      <c r="CZ215" s="222"/>
      <c r="DL215" s="220"/>
      <c r="DM215" s="220"/>
      <c r="DN215" s="220"/>
      <c r="DO215" s="220"/>
      <c r="DP215" s="220"/>
      <c r="DQ215" s="220"/>
      <c r="DR215" s="220"/>
      <c r="DS215" s="220"/>
      <c r="DT215" s="220"/>
      <c r="DU215" s="220"/>
      <c r="DV215" s="220"/>
      <c r="DW215" s="220"/>
      <c r="DX215" s="220"/>
      <c r="DY215" s="220"/>
      <c r="DZ215" s="220"/>
      <c r="EA215" s="220"/>
    </row>
    <row r="216" spans="16:131" s="219" customFormat="1" x14ac:dyDescent="0.2">
      <c r="P216" s="221"/>
      <c r="S216" s="232"/>
      <c r="CV216" s="223"/>
      <c r="CW216" s="222"/>
      <c r="CX216" s="222"/>
      <c r="CY216" s="222"/>
      <c r="CZ216" s="222"/>
      <c r="DL216" s="220"/>
      <c r="DM216" s="220"/>
      <c r="DN216" s="220"/>
      <c r="DO216" s="220"/>
      <c r="DP216" s="220"/>
      <c r="DQ216" s="220"/>
      <c r="DR216" s="220"/>
      <c r="DS216" s="220"/>
      <c r="DT216" s="220"/>
      <c r="DU216" s="220"/>
      <c r="DV216" s="220"/>
      <c r="DW216" s="220"/>
      <c r="DX216" s="220"/>
      <c r="DY216" s="220"/>
      <c r="DZ216" s="220"/>
      <c r="EA216" s="220"/>
    </row>
    <row r="217" spans="16:131" s="219" customFormat="1" x14ac:dyDescent="0.2">
      <c r="P217" s="221"/>
      <c r="S217" s="232"/>
      <c r="CV217" s="223"/>
      <c r="CW217" s="222"/>
      <c r="CX217" s="222"/>
      <c r="CY217" s="222"/>
      <c r="CZ217" s="222"/>
      <c r="DL217" s="220"/>
      <c r="DM217" s="220"/>
      <c r="DN217" s="220"/>
      <c r="DO217" s="220"/>
      <c r="DP217" s="220"/>
      <c r="DQ217" s="220"/>
      <c r="DR217" s="220"/>
      <c r="DS217" s="220"/>
      <c r="DT217" s="220"/>
      <c r="DU217" s="220"/>
      <c r="DV217" s="220"/>
      <c r="DW217" s="220"/>
      <c r="DX217" s="220"/>
      <c r="DY217" s="220"/>
      <c r="DZ217" s="220"/>
      <c r="EA217" s="220"/>
    </row>
    <row r="218" spans="16:131" s="219" customFormat="1" x14ac:dyDescent="0.2">
      <c r="P218" s="221"/>
      <c r="S218" s="232"/>
      <c r="CV218" s="223"/>
      <c r="CW218" s="222"/>
      <c r="CX218" s="222"/>
      <c r="CY218" s="222"/>
      <c r="CZ218" s="222"/>
      <c r="DL218" s="220"/>
      <c r="DM218" s="220"/>
      <c r="DN218" s="220"/>
      <c r="DO218" s="220"/>
      <c r="DP218" s="220"/>
      <c r="DQ218" s="220"/>
      <c r="DR218" s="220"/>
      <c r="DS218" s="220"/>
      <c r="DT218" s="220"/>
      <c r="DU218" s="220"/>
      <c r="DV218" s="220"/>
      <c r="DW218" s="220"/>
      <c r="DX218" s="220"/>
      <c r="DY218" s="220"/>
      <c r="DZ218" s="220"/>
      <c r="EA218" s="220"/>
    </row>
    <row r="219" spans="16:131" s="219" customFormat="1" x14ac:dyDescent="0.2">
      <c r="P219" s="221"/>
      <c r="S219" s="232"/>
      <c r="CV219" s="223"/>
      <c r="CW219" s="222"/>
      <c r="CX219" s="222"/>
      <c r="CY219" s="222"/>
      <c r="CZ219" s="222"/>
      <c r="DL219" s="220"/>
      <c r="DM219" s="220"/>
      <c r="DN219" s="220"/>
      <c r="DO219" s="220"/>
      <c r="DP219" s="220"/>
      <c r="DQ219" s="220"/>
      <c r="DR219" s="220"/>
      <c r="DS219" s="220"/>
      <c r="DT219" s="220"/>
      <c r="DU219" s="220"/>
      <c r="DV219" s="220"/>
      <c r="DW219" s="220"/>
      <c r="DX219" s="220"/>
      <c r="DY219" s="220"/>
      <c r="DZ219" s="220"/>
      <c r="EA219" s="220"/>
    </row>
    <row r="220" spans="16:131" s="219" customFormat="1" x14ac:dyDescent="0.2">
      <c r="P220" s="221"/>
      <c r="S220" s="232"/>
      <c r="CV220" s="223"/>
      <c r="CW220" s="222"/>
      <c r="CX220" s="222"/>
      <c r="CY220" s="222"/>
      <c r="CZ220" s="222"/>
      <c r="DL220" s="220"/>
      <c r="DM220" s="220"/>
      <c r="DN220" s="220"/>
      <c r="DO220" s="220"/>
      <c r="DP220" s="220"/>
      <c r="DQ220" s="220"/>
      <c r="DR220" s="220"/>
      <c r="DS220" s="220"/>
      <c r="DT220" s="220"/>
      <c r="DU220" s="220"/>
      <c r="DV220" s="220"/>
      <c r="DW220" s="220"/>
      <c r="DX220" s="220"/>
      <c r="DY220" s="220"/>
      <c r="DZ220" s="220"/>
      <c r="EA220" s="220"/>
    </row>
    <row r="221" spans="16:131" s="219" customFormat="1" x14ac:dyDescent="0.2">
      <c r="P221" s="221"/>
      <c r="S221" s="232"/>
      <c r="CV221" s="223"/>
      <c r="CW221" s="222"/>
      <c r="CX221" s="222"/>
      <c r="CY221" s="222"/>
      <c r="CZ221" s="222"/>
      <c r="DL221" s="220"/>
      <c r="DM221" s="220"/>
      <c r="DN221" s="220"/>
      <c r="DO221" s="220"/>
      <c r="DP221" s="220"/>
      <c r="DQ221" s="220"/>
      <c r="DR221" s="220"/>
      <c r="DS221" s="220"/>
      <c r="DT221" s="220"/>
      <c r="DU221" s="220"/>
      <c r="DV221" s="220"/>
      <c r="DW221" s="220"/>
      <c r="DX221" s="220"/>
      <c r="DY221" s="220"/>
      <c r="DZ221" s="220"/>
      <c r="EA221" s="220"/>
    </row>
    <row r="222" spans="16:131" s="219" customFormat="1" x14ac:dyDescent="0.2">
      <c r="P222" s="221"/>
      <c r="S222" s="232"/>
      <c r="CV222" s="223"/>
      <c r="CW222" s="222"/>
      <c r="CX222" s="222"/>
      <c r="CY222" s="222"/>
      <c r="CZ222" s="222"/>
      <c r="DL222" s="220"/>
      <c r="DM222" s="220"/>
      <c r="DN222" s="220"/>
      <c r="DO222" s="220"/>
      <c r="DP222" s="220"/>
      <c r="DQ222" s="220"/>
      <c r="DR222" s="220"/>
      <c r="DS222" s="220"/>
      <c r="DT222" s="220"/>
      <c r="DU222" s="220"/>
      <c r="DV222" s="220"/>
      <c r="DW222" s="220"/>
      <c r="DX222" s="220"/>
      <c r="DY222" s="220"/>
      <c r="DZ222" s="220"/>
      <c r="EA222" s="220"/>
    </row>
    <row r="223" spans="16:131" s="219" customFormat="1" x14ac:dyDescent="0.2">
      <c r="P223" s="221"/>
      <c r="S223" s="232"/>
      <c r="CV223" s="223"/>
      <c r="CW223" s="222"/>
      <c r="CX223" s="222"/>
      <c r="CY223" s="222"/>
      <c r="CZ223" s="222"/>
      <c r="DL223" s="220"/>
      <c r="DM223" s="220"/>
      <c r="DN223" s="220"/>
      <c r="DO223" s="220"/>
      <c r="DP223" s="220"/>
      <c r="DQ223" s="220"/>
      <c r="DR223" s="220"/>
      <c r="DS223" s="220"/>
      <c r="DT223" s="220"/>
      <c r="DU223" s="220"/>
      <c r="DV223" s="220"/>
      <c r="DW223" s="220"/>
      <c r="DX223" s="220"/>
      <c r="DY223" s="220"/>
      <c r="DZ223" s="220"/>
      <c r="EA223" s="220"/>
    </row>
    <row r="224" spans="16:131" s="219" customFormat="1" x14ac:dyDescent="0.2">
      <c r="P224" s="221"/>
      <c r="S224" s="232"/>
      <c r="CV224" s="223"/>
      <c r="CW224" s="222"/>
      <c r="CX224" s="222"/>
      <c r="CY224" s="222"/>
      <c r="CZ224" s="222"/>
      <c r="DL224" s="220"/>
      <c r="DM224" s="220"/>
      <c r="DN224" s="220"/>
      <c r="DO224" s="220"/>
      <c r="DP224" s="220"/>
      <c r="DQ224" s="220"/>
      <c r="DR224" s="220"/>
      <c r="DS224" s="220"/>
      <c r="DT224" s="220"/>
      <c r="DU224" s="220"/>
      <c r="DV224" s="220"/>
      <c r="DW224" s="220"/>
      <c r="DX224" s="220"/>
      <c r="DY224" s="220"/>
      <c r="DZ224" s="220"/>
      <c r="EA224" s="220"/>
    </row>
    <row r="225" spans="16:131" s="219" customFormat="1" x14ac:dyDescent="0.2">
      <c r="P225" s="221"/>
      <c r="S225" s="232"/>
      <c r="CV225" s="223"/>
      <c r="CW225" s="222"/>
      <c r="CX225" s="222"/>
      <c r="CY225" s="222"/>
      <c r="CZ225" s="222"/>
      <c r="DL225" s="220"/>
      <c r="DM225" s="220"/>
      <c r="DN225" s="220"/>
      <c r="DO225" s="220"/>
      <c r="DP225" s="220"/>
      <c r="DQ225" s="220"/>
      <c r="DR225" s="220"/>
      <c r="DS225" s="220"/>
      <c r="DT225" s="220"/>
      <c r="DU225" s="220"/>
      <c r="DV225" s="220"/>
      <c r="DW225" s="220"/>
      <c r="DX225" s="220"/>
      <c r="DY225" s="220"/>
      <c r="DZ225" s="220"/>
      <c r="EA225" s="220"/>
    </row>
    <row r="226" spans="16:131" s="219" customFormat="1" x14ac:dyDescent="0.2">
      <c r="P226" s="221"/>
      <c r="S226" s="232"/>
      <c r="CV226" s="223"/>
      <c r="CW226" s="222"/>
      <c r="CX226" s="222"/>
      <c r="CY226" s="222"/>
      <c r="CZ226" s="222"/>
      <c r="DL226" s="220"/>
      <c r="DM226" s="220"/>
      <c r="DN226" s="220"/>
      <c r="DO226" s="220"/>
      <c r="DP226" s="220"/>
      <c r="DQ226" s="220"/>
      <c r="DR226" s="220"/>
      <c r="DS226" s="220"/>
      <c r="DT226" s="220"/>
      <c r="DU226" s="220"/>
      <c r="DV226" s="220"/>
      <c r="DW226" s="220"/>
      <c r="DX226" s="220"/>
      <c r="DY226" s="220"/>
      <c r="DZ226" s="220"/>
      <c r="EA226" s="220"/>
    </row>
    <row r="227" spans="16:131" s="219" customFormat="1" x14ac:dyDescent="0.2">
      <c r="P227" s="221"/>
      <c r="S227" s="232"/>
      <c r="CV227" s="223"/>
      <c r="CW227" s="222"/>
      <c r="CX227" s="222"/>
      <c r="CY227" s="222"/>
      <c r="CZ227" s="222"/>
      <c r="DL227" s="220"/>
      <c r="DM227" s="220"/>
      <c r="DN227" s="220"/>
      <c r="DO227" s="220"/>
      <c r="DP227" s="220"/>
      <c r="DQ227" s="220"/>
      <c r="DR227" s="220"/>
      <c r="DS227" s="220"/>
      <c r="DT227" s="220"/>
      <c r="DU227" s="220"/>
      <c r="DV227" s="220"/>
      <c r="DW227" s="220"/>
      <c r="DX227" s="220"/>
      <c r="DY227" s="220"/>
      <c r="DZ227" s="220"/>
      <c r="EA227" s="220"/>
    </row>
    <row r="228" spans="16:131" s="219" customFormat="1" x14ac:dyDescent="0.2">
      <c r="P228" s="221"/>
      <c r="S228" s="232"/>
      <c r="CV228" s="223"/>
      <c r="CW228" s="222"/>
      <c r="CX228" s="222"/>
      <c r="CY228" s="222"/>
      <c r="CZ228" s="222"/>
      <c r="DL228" s="220"/>
      <c r="DM228" s="220"/>
      <c r="DN228" s="220"/>
      <c r="DO228" s="220"/>
      <c r="DP228" s="220"/>
      <c r="DQ228" s="220"/>
      <c r="DR228" s="220"/>
      <c r="DS228" s="220"/>
      <c r="DT228" s="220"/>
      <c r="DU228" s="220"/>
      <c r="DV228" s="220"/>
      <c r="DW228" s="220"/>
      <c r="DX228" s="220"/>
      <c r="DY228" s="220"/>
      <c r="DZ228" s="220"/>
      <c r="EA228" s="220"/>
    </row>
    <row r="229" spans="16:131" s="219" customFormat="1" x14ac:dyDescent="0.2">
      <c r="P229" s="221"/>
      <c r="S229" s="232"/>
      <c r="CV229" s="223"/>
      <c r="CW229" s="222"/>
      <c r="CX229" s="222"/>
      <c r="CY229" s="222"/>
      <c r="CZ229" s="222"/>
      <c r="DL229" s="220"/>
      <c r="DM229" s="220"/>
      <c r="DN229" s="220"/>
      <c r="DO229" s="220"/>
      <c r="DP229" s="220"/>
      <c r="DQ229" s="220"/>
      <c r="DR229" s="220"/>
      <c r="DS229" s="220"/>
      <c r="DT229" s="220"/>
      <c r="DU229" s="220"/>
      <c r="DV229" s="220"/>
      <c r="DW229" s="220"/>
      <c r="DX229" s="220"/>
      <c r="DY229" s="220"/>
      <c r="DZ229" s="220"/>
      <c r="EA229" s="220"/>
    </row>
    <row r="230" spans="16:131" s="219" customFormat="1" x14ac:dyDescent="0.2">
      <c r="P230" s="221"/>
      <c r="S230" s="232"/>
      <c r="CV230" s="223"/>
      <c r="CW230" s="222"/>
      <c r="CX230" s="222"/>
      <c r="CY230" s="222"/>
      <c r="CZ230" s="222"/>
      <c r="DL230" s="220"/>
      <c r="DM230" s="220"/>
      <c r="DN230" s="220"/>
      <c r="DO230" s="220"/>
      <c r="DP230" s="220"/>
      <c r="DQ230" s="220"/>
      <c r="DR230" s="220"/>
      <c r="DS230" s="220"/>
      <c r="DT230" s="220"/>
      <c r="DU230" s="220"/>
      <c r="DV230" s="220"/>
      <c r="DW230" s="220"/>
      <c r="DX230" s="220"/>
      <c r="DY230" s="220"/>
      <c r="DZ230" s="220"/>
      <c r="EA230" s="220"/>
    </row>
    <row r="231" spans="16:131" s="219" customFormat="1" x14ac:dyDescent="0.2">
      <c r="P231" s="221"/>
      <c r="S231" s="232"/>
      <c r="CV231" s="223"/>
      <c r="CW231" s="222"/>
      <c r="CX231" s="222"/>
      <c r="CY231" s="222"/>
      <c r="CZ231" s="222"/>
      <c r="DL231" s="220"/>
      <c r="DM231" s="220"/>
      <c r="DN231" s="220"/>
      <c r="DO231" s="220"/>
      <c r="DP231" s="220"/>
      <c r="DQ231" s="220"/>
      <c r="DR231" s="220"/>
      <c r="DS231" s="220"/>
      <c r="DT231" s="220"/>
      <c r="DU231" s="220"/>
      <c r="DV231" s="220"/>
      <c r="DW231" s="220"/>
      <c r="DX231" s="220"/>
      <c r="DY231" s="220"/>
      <c r="DZ231" s="220"/>
      <c r="EA231" s="220"/>
    </row>
    <row r="232" spans="16:131" s="219" customFormat="1" x14ac:dyDescent="0.2">
      <c r="P232" s="221"/>
      <c r="S232" s="232"/>
      <c r="CV232" s="223"/>
      <c r="CW232" s="222"/>
      <c r="CX232" s="222"/>
      <c r="CY232" s="222"/>
      <c r="CZ232" s="222"/>
      <c r="DL232" s="220"/>
      <c r="DM232" s="220"/>
      <c r="DN232" s="220"/>
      <c r="DO232" s="220"/>
      <c r="DP232" s="220"/>
      <c r="DQ232" s="220"/>
      <c r="DR232" s="220"/>
      <c r="DS232" s="220"/>
      <c r="DT232" s="220"/>
      <c r="DU232" s="220"/>
      <c r="DV232" s="220"/>
      <c r="DW232" s="220"/>
      <c r="DX232" s="220"/>
      <c r="DY232" s="220"/>
      <c r="DZ232" s="220"/>
      <c r="EA232" s="220"/>
    </row>
    <row r="233" spans="16:131" s="219" customFormat="1" x14ac:dyDescent="0.2">
      <c r="P233" s="221"/>
      <c r="S233" s="232"/>
      <c r="CV233" s="223"/>
      <c r="CW233" s="222"/>
      <c r="CX233" s="222"/>
      <c r="CY233" s="222"/>
      <c r="CZ233" s="222"/>
      <c r="DL233" s="220"/>
      <c r="DM233" s="220"/>
      <c r="DN233" s="220"/>
      <c r="DO233" s="220"/>
      <c r="DP233" s="220"/>
      <c r="DQ233" s="220"/>
      <c r="DR233" s="220"/>
      <c r="DS233" s="220"/>
      <c r="DT233" s="220"/>
      <c r="DU233" s="220"/>
      <c r="DV233" s="220"/>
      <c r="DW233" s="220"/>
      <c r="DX233" s="220"/>
      <c r="DY233" s="220"/>
      <c r="DZ233" s="220"/>
      <c r="EA233" s="220"/>
    </row>
    <row r="234" spans="16:131" s="219" customFormat="1" x14ac:dyDescent="0.2">
      <c r="P234" s="221"/>
      <c r="S234" s="232"/>
      <c r="CV234" s="223"/>
      <c r="CW234" s="222"/>
      <c r="CX234" s="222"/>
      <c r="CY234" s="222"/>
      <c r="CZ234" s="222"/>
      <c r="DL234" s="220"/>
      <c r="DM234" s="220"/>
      <c r="DN234" s="220"/>
      <c r="DO234" s="220"/>
      <c r="DP234" s="220"/>
      <c r="DQ234" s="220"/>
      <c r="DR234" s="220"/>
      <c r="DS234" s="220"/>
      <c r="DT234" s="220"/>
      <c r="DU234" s="220"/>
      <c r="DV234" s="220"/>
      <c r="DW234" s="220"/>
      <c r="DX234" s="220"/>
      <c r="DY234" s="220"/>
      <c r="DZ234" s="220"/>
      <c r="EA234" s="220"/>
    </row>
    <row r="235" spans="16:131" s="219" customFormat="1" x14ac:dyDescent="0.2">
      <c r="P235" s="221"/>
      <c r="S235" s="232"/>
      <c r="CV235" s="223"/>
      <c r="CW235" s="222"/>
      <c r="CX235" s="222"/>
      <c r="CY235" s="222"/>
      <c r="CZ235" s="222"/>
      <c r="DL235" s="220"/>
      <c r="DM235" s="220"/>
      <c r="DN235" s="220"/>
      <c r="DO235" s="220"/>
      <c r="DP235" s="220"/>
      <c r="DQ235" s="220"/>
      <c r="DR235" s="220"/>
      <c r="DS235" s="220"/>
      <c r="DT235" s="220"/>
      <c r="DU235" s="220"/>
      <c r="DV235" s="220"/>
      <c r="DW235" s="220"/>
      <c r="DX235" s="220"/>
      <c r="DY235" s="220"/>
      <c r="DZ235" s="220"/>
      <c r="EA235" s="220"/>
    </row>
    <row r="236" spans="16:131" s="219" customFormat="1" x14ac:dyDescent="0.2">
      <c r="P236" s="221"/>
      <c r="S236" s="232"/>
      <c r="CV236" s="223"/>
      <c r="CW236" s="222"/>
      <c r="CX236" s="222"/>
      <c r="CY236" s="222"/>
      <c r="CZ236" s="222"/>
      <c r="DL236" s="220"/>
      <c r="DM236" s="220"/>
      <c r="DN236" s="220"/>
      <c r="DO236" s="220"/>
      <c r="DP236" s="220"/>
      <c r="DQ236" s="220"/>
      <c r="DR236" s="220"/>
      <c r="DS236" s="220"/>
      <c r="DT236" s="220"/>
      <c r="DU236" s="220"/>
      <c r="DV236" s="220"/>
      <c r="DW236" s="220"/>
      <c r="DX236" s="220"/>
      <c r="DY236" s="220"/>
      <c r="DZ236" s="220"/>
      <c r="EA236" s="220"/>
    </row>
    <row r="237" spans="16:131" s="219" customFormat="1" x14ac:dyDescent="0.2">
      <c r="P237" s="221"/>
      <c r="S237" s="232"/>
      <c r="CV237" s="223"/>
      <c r="CW237" s="222"/>
      <c r="CX237" s="222"/>
      <c r="CY237" s="222"/>
      <c r="CZ237" s="222"/>
      <c r="DL237" s="220"/>
      <c r="DM237" s="220"/>
      <c r="DN237" s="220"/>
      <c r="DO237" s="220"/>
      <c r="DP237" s="220"/>
      <c r="DQ237" s="220"/>
      <c r="DR237" s="220"/>
      <c r="DS237" s="220"/>
      <c r="DT237" s="220"/>
      <c r="DU237" s="220"/>
      <c r="DV237" s="220"/>
      <c r="DW237" s="220"/>
      <c r="DX237" s="220"/>
      <c r="DY237" s="220"/>
      <c r="DZ237" s="220"/>
      <c r="EA237" s="220"/>
    </row>
    <row r="238" spans="16:131" s="219" customFormat="1" x14ac:dyDescent="0.2">
      <c r="P238" s="221"/>
      <c r="S238" s="232"/>
      <c r="CV238" s="223"/>
      <c r="CW238" s="222"/>
      <c r="CX238" s="222"/>
      <c r="CY238" s="222"/>
      <c r="CZ238" s="222"/>
      <c r="DL238" s="220"/>
      <c r="DM238" s="220"/>
      <c r="DN238" s="220"/>
      <c r="DO238" s="220"/>
      <c r="DP238" s="220"/>
      <c r="DQ238" s="220"/>
      <c r="DR238" s="220"/>
      <c r="DS238" s="220"/>
      <c r="DT238" s="220"/>
      <c r="DU238" s="220"/>
      <c r="DV238" s="220"/>
      <c r="DW238" s="220"/>
      <c r="DX238" s="220"/>
      <c r="DY238" s="220"/>
      <c r="DZ238" s="220"/>
      <c r="EA238" s="220"/>
    </row>
    <row r="239" spans="16:131" s="219" customFormat="1" x14ac:dyDescent="0.2">
      <c r="P239" s="221"/>
      <c r="S239" s="232"/>
      <c r="CV239" s="223"/>
      <c r="CW239" s="222"/>
      <c r="CX239" s="222"/>
      <c r="CY239" s="222"/>
      <c r="CZ239" s="222"/>
      <c r="DL239" s="220"/>
      <c r="DM239" s="220"/>
      <c r="DN239" s="220"/>
      <c r="DO239" s="220"/>
      <c r="DP239" s="220"/>
      <c r="DQ239" s="220"/>
      <c r="DR239" s="220"/>
      <c r="DS239" s="220"/>
      <c r="DT239" s="220"/>
      <c r="DU239" s="220"/>
      <c r="DV239" s="220"/>
      <c r="DW239" s="220"/>
      <c r="DX239" s="220"/>
      <c r="DY239" s="220"/>
      <c r="DZ239" s="220"/>
      <c r="EA239" s="220"/>
    </row>
    <row r="240" spans="16:131" s="219" customFormat="1" x14ac:dyDescent="0.2">
      <c r="P240" s="221"/>
      <c r="S240" s="232"/>
      <c r="CV240" s="223"/>
      <c r="CW240" s="222"/>
      <c r="CX240" s="222"/>
      <c r="CY240" s="222"/>
      <c r="CZ240" s="222"/>
      <c r="DL240" s="220"/>
      <c r="DM240" s="220"/>
      <c r="DN240" s="220"/>
      <c r="DO240" s="220"/>
      <c r="DP240" s="220"/>
      <c r="DQ240" s="220"/>
      <c r="DR240" s="220"/>
      <c r="DS240" s="220"/>
      <c r="DT240" s="220"/>
      <c r="DU240" s="220"/>
      <c r="DV240" s="220"/>
      <c r="DW240" s="220"/>
      <c r="DX240" s="220"/>
      <c r="DY240" s="220"/>
      <c r="DZ240" s="220"/>
      <c r="EA240" s="220"/>
    </row>
    <row r="241" spans="16:131" s="219" customFormat="1" x14ac:dyDescent="0.2">
      <c r="P241" s="221"/>
      <c r="S241" s="232"/>
      <c r="CV241" s="223"/>
      <c r="CW241" s="222"/>
      <c r="CX241" s="222"/>
      <c r="CY241" s="222"/>
      <c r="CZ241" s="222"/>
      <c r="DL241" s="220"/>
      <c r="DM241" s="220"/>
      <c r="DN241" s="220"/>
      <c r="DO241" s="220"/>
      <c r="DP241" s="220"/>
      <c r="DQ241" s="220"/>
      <c r="DR241" s="220"/>
      <c r="DS241" s="220"/>
      <c r="DT241" s="220"/>
      <c r="DU241" s="220"/>
      <c r="DV241" s="220"/>
      <c r="DW241" s="220"/>
      <c r="DX241" s="220"/>
      <c r="DY241" s="220"/>
      <c r="DZ241" s="220"/>
      <c r="EA241" s="220"/>
    </row>
    <row r="242" spans="16:131" s="219" customFormat="1" x14ac:dyDescent="0.2">
      <c r="P242" s="221"/>
      <c r="S242" s="232"/>
      <c r="CV242" s="223"/>
      <c r="CW242" s="222"/>
      <c r="CX242" s="222"/>
      <c r="CY242" s="222"/>
      <c r="CZ242" s="222"/>
      <c r="DL242" s="220"/>
      <c r="DM242" s="220"/>
      <c r="DN242" s="220"/>
      <c r="DO242" s="220"/>
      <c r="DP242" s="220"/>
      <c r="DQ242" s="220"/>
      <c r="DR242" s="220"/>
      <c r="DS242" s="220"/>
      <c r="DT242" s="220"/>
      <c r="DU242" s="220"/>
      <c r="DV242" s="220"/>
      <c r="DW242" s="220"/>
      <c r="DX242" s="220"/>
      <c r="DY242" s="220"/>
      <c r="DZ242" s="220"/>
      <c r="EA242" s="220"/>
    </row>
    <row r="243" spans="16:131" s="219" customFormat="1" x14ac:dyDescent="0.2">
      <c r="P243" s="221"/>
      <c r="S243" s="232"/>
      <c r="CV243" s="223"/>
      <c r="CW243" s="222"/>
      <c r="CX243" s="222"/>
      <c r="CY243" s="222"/>
      <c r="CZ243" s="222"/>
      <c r="DL243" s="220"/>
      <c r="DM243" s="220"/>
      <c r="DN243" s="220"/>
      <c r="DO243" s="220"/>
      <c r="DP243" s="220"/>
      <c r="DQ243" s="220"/>
      <c r="DR243" s="220"/>
      <c r="DS243" s="220"/>
      <c r="DT243" s="220"/>
      <c r="DU243" s="220"/>
      <c r="DV243" s="220"/>
      <c r="DW243" s="220"/>
      <c r="DX243" s="220"/>
      <c r="DY243" s="220"/>
      <c r="DZ243" s="220"/>
      <c r="EA243" s="220"/>
    </row>
    <row r="244" spans="16:131" s="219" customFormat="1" x14ac:dyDescent="0.2">
      <c r="P244" s="221"/>
      <c r="S244" s="232"/>
      <c r="CV244" s="223"/>
      <c r="CW244" s="222"/>
      <c r="CX244" s="222"/>
      <c r="CY244" s="222"/>
      <c r="CZ244" s="222"/>
      <c r="DL244" s="220"/>
      <c r="DM244" s="220"/>
      <c r="DN244" s="220"/>
      <c r="DO244" s="220"/>
      <c r="DP244" s="220"/>
      <c r="DQ244" s="220"/>
      <c r="DR244" s="220"/>
      <c r="DS244" s="220"/>
      <c r="DT244" s="220"/>
      <c r="DU244" s="220"/>
      <c r="DV244" s="220"/>
      <c r="DW244" s="220"/>
      <c r="DX244" s="220"/>
      <c r="DY244" s="220"/>
      <c r="DZ244" s="220"/>
      <c r="EA244" s="220"/>
    </row>
    <row r="245" spans="16:131" s="219" customFormat="1" x14ac:dyDescent="0.2">
      <c r="P245" s="221"/>
      <c r="S245" s="232"/>
      <c r="CV245" s="223"/>
      <c r="CW245" s="222"/>
      <c r="CX245" s="222"/>
      <c r="CY245" s="222"/>
      <c r="CZ245" s="222"/>
      <c r="DL245" s="220"/>
      <c r="DM245" s="220"/>
      <c r="DN245" s="220"/>
      <c r="DO245" s="220"/>
      <c r="DP245" s="220"/>
      <c r="DQ245" s="220"/>
      <c r="DR245" s="220"/>
      <c r="DS245" s="220"/>
      <c r="DT245" s="220"/>
      <c r="DU245" s="220"/>
      <c r="DV245" s="220"/>
      <c r="DW245" s="220"/>
      <c r="DX245" s="220"/>
      <c r="DY245" s="220"/>
      <c r="DZ245" s="220"/>
      <c r="EA245" s="220"/>
    </row>
    <row r="246" spans="16:131" s="219" customFormat="1" x14ac:dyDescent="0.2">
      <c r="P246" s="221"/>
      <c r="S246" s="232"/>
      <c r="CV246" s="223"/>
      <c r="CW246" s="222"/>
      <c r="CX246" s="222"/>
      <c r="CY246" s="222"/>
      <c r="CZ246" s="222"/>
      <c r="DL246" s="220"/>
      <c r="DM246" s="220"/>
      <c r="DN246" s="220"/>
      <c r="DO246" s="220"/>
      <c r="DP246" s="220"/>
      <c r="DQ246" s="220"/>
      <c r="DR246" s="220"/>
      <c r="DS246" s="220"/>
      <c r="DT246" s="220"/>
      <c r="DU246" s="220"/>
      <c r="DV246" s="220"/>
      <c r="DW246" s="220"/>
      <c r="DX246" s="220"/>
      <c r="DY246" s="220"/>
      <c r="DZ246" s="220"/>
      <c r="EA246" s="220"/>
    </row>
    <row r="247" spans="16:131" s="219" customFormat="1" x14ac:dyDescent="0.2">
      <c r="P247" s="221"/>
      <c r="S247" s="232"/>
      <c r="CV247" s="223"/>
      <c r="CW247" s="222"/>
      <c r="CX247" s="222"/>
      <c r="CY247" s="222"/>
      <c r="CZ247" s="222"/>
      <c r="DL247" s="220"/>
      <c r="DM247" s="220"/>
      <c r="DN247" s="220"/>
      <c r="DO247" s="220"/>
      <c r="DP247" s="220"/>
      <c r="DQ247" s="220"/>
      <c r="DR247" s="220"/>
      <c r="DS247" s="220"/>
      <c r="DT247" s="220"/>
      <c r="DU247" s="220"/>
      <c r="DV247" s="220"/>
      <c r="DW247" s="220"/>
      <c r="DX247" s="220"/>
      <c r="DY247" s="220"/>
      <c r="DZ247" s="220"/>
      <c r="EA247" s="220"/>
    </row>
    <row r="248" spans="16:131" s="219" customFormat="1" x14ac:dyDescent="0.2">
      <c r="P248" s="221"/>
      <c r="S248" s="232"/>
      <c r="CV248" s="223"/>
      <c r="CW248" s="222"/>
      <c r="CX248" s="222"/>
      <c r="CY248" s="222"/>
      <c r="CZ248" s="222"/>
      <c r="DL248" s="220"/>
      <c r="DM248" s="220"/>
      <c r="DN248" s="220"/>
      <c r="DO248" s="220"/>
      <c r="DP248" s="220"/>
      <c r="DQ248" s="220"/>
      <c r="DR248" s="220"/>
      <c r="DS248" s="220"/>
      <c r="DT248" s="220"/>
      <c r="DU248" s="220"/>
      <c r="DV248" s="220"/>
      <c r="DW248" s="220"/>
      <c r="DX248" s="220"/>
      <c r="DY248" s="220"/>
      <c r="DZ248" s="220"/>
      <c r="EA248" s="220"/>
    </row>
    <row r="249" spans="16:131" s="219" customFormat="1" x14ac:dyDescent="0.2">
      <c r="P249" s="221"/>
      <c r="S249" s="232"/>
      <c r="CV249" s="223"/>
      <c r="CW249" s="222"/>
      <c r="CX249" s="222"/>
      <c r="CY249" s="222"/>
      <c r="CZ249" s="222"/>
      <c r="DL249" s="220"/>
      <c r="DM249" s="220"/>
      <c r="DN249" s="220"/>
      <c r="DO249" s="220"/>
      <c r="DP249" s="220"/>
      <c r="DQ249" s="220"/>
      <c r="DR249" s="220"/>
      <c r="DS249" s="220"/>
      <c r="DT249" s="220"/>
      <c r="DU249" s="220"/>
      <c r="DV249" s="220"/>
      <c r="DW249" s="220"/>
      <c r="DX249" s="220"/>
      <c r="DY249" s="220"/>
      <c r="DZ249" s="220"/>
      <c r="EA249" s="220"/>
    </row>
    <row r="250" spans="16:131" s="219" customFormat="1" x14ac:dyDescent="0.2">
      <c r="P250" s="221"/>
      <c r="S250" s="232"/>
      <c r="CV250" s="223"/>
      <c r="CW250" s="222"/>
      <c r="CX250" s="222"/>
      <c r="CY250" s="222"/>
      <c r="CZ250" s="222"/>
      <c r="DL250" s="220"/>
      <c r="DM250" s="220"/>
      <c r="DN250" s="220"/>
      <c r="DO250" s="220"/>
      <c r="DP250" s="220"/>
      <c r="DQ250" s="220"/>
      <c r="DR250" s="220"/>
      <c r="DS250" s="220"/>
      <c r="DT250" s="220"/>
      <c r="DU250" s="220"/>
      <c r="DV250" s="220"/>
      <c r="DW250" s="220"/>
      <c r="DX250" s="220"/>
      <c r="DY250" s="220"/>
      <c r="DZ250" s="220"/>
      <c r="EA250" s="220"/>
    </row>
    <row r="251" spans="16:131" s="219" customFormat="1" x14ac:dyDescent="0.2">
      <c r="P251" s="221"/>
      <c r="S251" s="232"/>
      <c r="CV251" s="223"/>
      <c r="CW251" s="222"/>
      <c r="CX251" s="222"/>
      <c r="CY251" s="222"/>
      <c r="CZ251" s="222"/>
      <c r="DL251" s="220"/>
      <c r="DM251" s="220"/>
      <c r="DN251" s="220"/>
      <c r="DO251" s="220"/>
      <c r="DP251" s="220"/>
      <c r="DQ251" s="220"/>
      <c r="DR251" s="220"/>
      <c r="DS251" s="220"/>
      <c r="DT251" s="220"/>
      <c r="DU251" s="220"/>
      <c r="DV251" s="220"/>
      <c r="DW251" s="220"/>
      <c r="DX251" s="220"/>
      <c r="DY251" s="220"/>
      <c r="DZ251" s="220"/>
      <c r="EA251" s="220"/>
    </row>
    <row r="252" spans="16:131" s="219" customFormat="1" x14ac:dyDescent="0.2">
      <c r="P252" s="221"/>
      <c r="S252" s="232"/>
      <c r="CV252" s="223"/>
      <c r="CW252" s="222"/>
      <c r="CX252" s="222"/>
      <c r="CY252" s="222"/>
      <c r="CZ252" s="222"/>
      <c r="DL252" s="220"/>
      <c r="DM252" s="220"/>
      <c r="DN252" s="220"/>
      <c r="DO252" s="220"/>
      <c r="DP252" s="220"/>
      <c r="DQ252" s="220"/>
      <c r="DR252" s="220"/>
      <c r="DS252" s="220"/>
      <c r="DT252" s="220"/>
      <c r="DU252" s="220"/>
      <c r="DV252" s="220"/>
      <c r="DW252" s="220"/>
      <c r="DX252" s="220"/>
      <c r="DY252" s="220"/>
      <c r="DZ252" s="220"/>
      <c r="EA252" s="220"/>
    </row>
    <row r="253" spans="16:131" s="219" customFormat="1" x14ac:dyDescent="0.2">
      <c r="P253" s="221"/>
      <c r="S253" s="232"/>
      <c r="CV253" s="223"/>
      <c r="CW253" s="222"/>
      <c r="CX253" s="222"/>
      <c r="CY253" s="222"/>
      <c r="CZ253" s="222"/>
      <c r="DL253" s="220"/>
      <c r="DM253" s="220"/>
      <c r="DN253" s="220"/>
      <c r="DO253" s="220"/>
      <c r="DP253" s="220"/>
      <c r="DQ253" s="220"/>
      <c r="DR253" s="220"/>
      <c r="DS253" s="220"/>
      <c r="DT253" s="220"/>
      <c r="DU253" s="220"/>
      <c r="DV253" s="220"/>
      <c r="DW253" s="220"/>
      <c r="DX253" s="220"/>
      <c r="DY253" s="220"/>
      <c r="DZ253" s="220"/>
      <c r="EA253" s="220"/>
    </row>
    <row r="254" spans="16:131" s="219" customFormat="1" x14ac:dyDescent="0.2">
      <c r="P254" s="221"/>
      <c r="S254" s="232"/>
      <c r="CV254" s="223"/>
      <c r="CW254" s="222"/>
      <c r="CX254" s="222"/>
      <c r="CY254" s="222"/>
      <c r="CZ254" s="222"/>
      <c r="DL254" s="220"/>
      <c r="DM254" s="220"/>
      <c r="DN254" s="220"/>
      <c r="DO254" s="220"/>
      <c r="DP254" s="220"/>
      <c r="DQ254" s="220"/>
      <c r="DR254" s="220"/>
      <c r="DS254" s="220"/>
      <c r="DT254" s="220"/>
      <c r="DU254" s="220"/>
      <c r="DV254" s="220"/>
      <c r="DW254" s="220"/>
      <c r="DX254" s="220"/>
      <c r="DY254" s="220"/>
      <c r="DZ254" s="220"/>
      <c r="EA254" s="220"/>
    </row>
    <row r="255" spans="16:131" s="219" customFormat="1" x14ac:dyDescent="0.2">
      <c r="P255" s="221"/>
      <c r="S255" s="232"/>
      <c r="CV255" s="223"/>
      <c r="CW255" s="222"/>
      <c r="CX255" s="222"/>
      <c r="CY255" s="222"/>
      <c r="CZ255" s="222"/>
      <c r="DL255" s="220"/>
      <c r="DM255" s="220"/>
      <c r="DN255" s="220"/>
      <c r="DO255" s="220"/>
      <c r="DP255" s="220"/>
      <c r="DQ255" s="220"/>
      <c r="DR255" s="220"/>
      <c r="DS255" s="220"/>
      <c r="DT255" s="220"/>
      <c r="DU255" s="220"/>
      <c r="DV255" s="220"/>
      <c r="DW255" s="220"/>
      <c r="DX255" s="220"/>
      <c r="DY255" s="220"/>
      <c r="DZ255" s="220"/>
      <c r="EA255" s="220"/>
    </row>
    <row r="256" spans="16:131" s="219" customFormat="1" x14ac:dyDescent="0.2">
      <c r="P256" s="221"/>
      <c r="S256" s="232"/>
      <c r="CV256" s="223"/>
      <c r="CW256" s="222"/>
      <c r="CX256" s="222"/>
      <c r="CY256" s="222"/>
      <c r="CZ256" s="222"/>
      <c r="DL256" s="220"/>
      <c r="DM256" s="220"/>
      <c r="DN256" s="220"/>
      <c r="DO256" s="220"/>
      <c r="DP256" s="220"/>
      <c r="DQ256" s="220"/>
      <c r="DR256" s="220"/>
      <c r="DS256" s="220"/>
      <c r="DT256" s="220"/>
      <c r="DU256" s="220"/>
      <c r="DV256" s="220"/>
      <c r="DW256" s="220"/>
      <c r="DX256" s="220"/>
      <c r="DY256" s="220"/>
      <c r="DZ256" s="220"/>
      <c r="EA256" s="220"/>
    </row>
    <row r="257" spans="16:131" s="219" customFormat="1" x14ac:dyDescent="0.2">
      <c r="P257" s="221"/>
      <c r="S257" s="232"/>
      <c r="CV257" s="223"/>
      <c r="CW257" s="222"/>
      <c r="CX257" s="222"/>
      <c r="CY257" s="222"/>
      <c r="CZ257" s="222"/>
      <c r="DL257" s="220"/>
      <c r="DM257" s="220"/>
      <c r="DN257" s="220"/>
      <c r="DO257" s="220"/>
      <c r="DP257" s="220"/>
      <c r="DQ257" s="220"/>
      <c r="DR257" s="220"/>
      <c r="DS257" s="220"/>
      <c r="DT257" s="220"/>
      <c r="DU257" s="220"/>
      <c r="DV257" s="220"/>
      <c r="DW257" s="220"/>
      <c r="DX257" s="220"/>
      <c r="DY257" s="220"/>
      <c r="DZ257" s="220"/>
      <c r="EA257" s="220"/>
    </row>
    <row r="258" spans="16:131" s="219" customFormat="1" x14ac:dyDescent="0.2">
      <c r="P258" s="221"/>
      <c r="S258" s="232"/>
      <c r="CV258" s="223"/>
      <c r="CW258" s="222"/>
      <c r="CX258" s="222"/>
      <c r="CY258" s="222"/>
      <c r="CZ258" s="222"/>
      <c r="DL258" s="220"/>
      <c r="DM258" s="220"/>
      <c r="DN258" s="220"/>
      <c r="DO258" s="220"/>
      <c r="DP258" s="220"/>
      <c r="DQ258" s="220"/>
      <c r="DR258" s="220"/>
      <c r="DS258" s="220"/>
      <c r="DT258" s="220"/>
      <c r="DU258" s="220"/>
      <c r="DV258" s="220"/>
      <c r="DW258" s="220"/>
      <c r="DX258" s="220"/>
      <c r="DY258" s="220"/>
      <c r="DZ258" s="220"/>
      <c r="EA258" s="220"/>
    </row>
    <row r="259" spans="16:131" s="219" customFormat="1" x14ac:dyDescent="0.2">
      <c r="P259" s="221"/>
      <c r="S259" s="232"/>
      <c r="CV259" s="223"/>
      <c r="CW259" s="222"/>
      <c r="CX259" s="222"/>
      <c r="CY259" s="222"/>
      <c r="CZ259" s="222"/>
      <c r="DL259" s="220"/>
      <c r="DM259" s="220"/>
      <c r="DN259" s="220"/>
      <c r="DO259" s="220"/>
      <c r="DP259" s="220"/>
      <c r="DQ259" s="220"/>
      <c r="DR259" s="220"/>
      <c r="DS259" s="220"/>
      <c r="DT259" s="220"/>
      <c r="DU259" s="220"/>
      <c r="DV259" s="220"/>
      <c r="DW259" s="220"/>
      <c r="DX259" s="220"/>
      <c r="DY259" s="220"/>
      <c r="DZ259" s="220"/>
      <c r="EA259" s="220"/>
    </row>
    <row r="260" spans="16:131" s="219" customFormat="1" x14ac:dyDescent="0.2">
      <c r="P260" s="221"/>
      <c r="S260" s="232"/>
      <c r="CV260" s="223"/>
      <c r="CW260" s="222"/>
      <c r="CX260" s="222"/>
      <c r="CY260" s="222"/>
      <c r="CZ260" s="222"/>
      <c r="DL260" s="220"/>
      <c r="DM260" s="220"/>
      <c r="DN260" s="220"/>
      <c r="DO260" s="220"/>
      <c r="DP260" s="220"/>
      <c r="DQ260" s="220"/>
      <c r="DR260" s="220"/>
      <c r="DS260" s="220"/>
      <c r="DT260" s="220"/>
      <c r="DU260" s="220"/>
      <c r="DV260" s="220"/>
      <c r="DW260" s="220"/>
      <c r="DX260" s="220"/>
      <c r="DY260" s="220"/>
      <c r="DZ260" s="220"/>
      <c r="EA260" s="220"/>
    </row>
    <row r="261" spans="16:131" s="219" customFormat="1" x14ac:dyDescent="0.2">
      <c r="P261" s="221"/>
      <c r="S261" s="232"/>
      <c r="CV261" s="223"/>
      <c r="CW261" s="222"/>
      <c r="CX261" s="222"/>
      <c r="CY261" s="222"/>
      <c r="CZ261" s="222"/>
      <c r="DL261" s="220"/>
      <c r="DM261" s="220"/>
      <c r="DN261" s="220"/>
      <c r="DO261" s="220"/>
      <c r="DP261" s="220"/>
      <c r="DQ261" s="220"/>
      <c r="DR261" s="220"/>
      <c r="DS261" s="220"/>
      <c r="DT261" s="220"/>
      <c r="DU261" s="220"/>
      <c r="DV261" s="220"/>
      <c r="DW261" s="220"/>
      <c r="DX261" s="220"/>
      <c r="DY261" s="220"/>
      <c r="DZ261" s="220"/>
      <c r="EA261" s="220"/>
    </row>
    <row r="262" spans="16:131" s="219" customFormat="1" x14ac:dyDescent="0.2">
      <c r="P262" s="221"/>
      <c r="S262" s="232"/>
      <c r="CV262" s="223"/>
      <c r="CW262" s="222"/>
      <c r="CX262" s="222"/>
      <c r="CY262" s="222"/>
      <c r="CZ262" s="222"/>
      <c r="DL262" s="220"/>
      <c r="DM262" s="220"/>
      <c r="DN262" s="220"/>
      <c r="DO262" s="220"/>
      <c r="DP262" s="220"/>
      <c r="DQ262" s="220"/>
      <c r="DR262" s="220"/>
      <c r="DS262" s="220"/>
      <c r="DT262" s="220"/>
      <c r="DU262" s="220"/>
      <c r="DV262" s="220"/>
      <c r="DW262" s="220"/>
      <c r="DX262" s="220"/>
      <c r="DY262" s="220"/>
      <c r="DZ262" s="220"/>
      <c r="EA262" s="220"/>
    </row>
    <row r="263" spans="16:131" s="219" customFormat="1" x14ac:dyDescent="0.2">
      <c r="P263" s="221"/>
      <c r="S263" s="232"/>
      <c r="CV263" s="223"/>
      <c r="CW263" s="222"/>
      <c r="CX263" s="222"/>
      <c r="CY263" s="222"/>
      <c r="CZ263" s="222"/>
      <c r="DL263" s="220"/>
      <c r="DM263" s="220"/>
      <c r="DN263" s="220"/>
      <c r="DO263" s="220"/>
      <c r="DP263" s="220"/>
      <c r="DQ263" s="220"/>
      <c r="DR263" s="220"/>
      <c r="DS263" s="220"/>
      <c r="DT263" s="220"/>
      <c r="DU263" s="220"/>
      <c r="DV263" s="220"/>
      <c r="DW263" s="220"/>
      <c r="DX263" s="220"/>
      <c r="DY263" s="220"/>
      <c r="DZ263" s="220"/>
      <c r="EA263" s="220"/>
    </row>
    <row r="264" spans="16:131" s="219" customFormat="1" x14ac:dyDescent="0.2">
      <c r="P264" s="221"/>
      <c r="S264" s="232"/>
      <c r="CV264" s="223"/>
      <c r="CW264" s="222"/>
      <c r="CX264" s="222"/>
      <c r="CY264" s="222"/>
      <c r="CZ264" s="222"/>
      <c r="DL264" s="220"/>
      <c r="DM264" s="220"/>
      <c r="DN264" s="220"/>
      <c r="DO264" s="220"/>
      <c r="DP264" s="220"/>
      <c r="DQ264" s="220"/>
      <c r="DR264" s="220"/>
      <c r="DS264" s="220"/>
      <c r="DT264" s="220"/>
      <c r="DU264" s="220"/>
      <c r="DV264" s="220"/>
      <c r="DW264" s="220"/>
      <c r="DX264" s="220"/>
      <c r="DY264" s="220"/>
      <c r="DZ264" s="220"/>
      <c r="EA264" s="220"/>
    </row>
    <row r="265" spans="16:131" s="219" customFormat="1" x14ac:dyDescent="0.2">
      <c r="P265" s="221"/>
      <c r="S265" s="232"/>
      <c r="CV265" s="223"/>
      <c r="CW265" s="222"/>
      <c r="CX265" s="222"/>
      <c r="CY265" s="222"/>
      <c r="CZ265" s="222"/>
      <c r="DL265" s="220"/>
      <c r="DM265" s="220"/>
      <c r="DN265" s="220"/>
      <c r="DO265" s="220"/>
      <c r="DP265" s="220"/>
      <c r="DQ265" s="220"/>
      <c r="DR265" s="220"/>
      <c r="DS265" s="220"/>
      <c r="DT265" s="220"/>
      <c r="DU265" s="220"/>
      <c r="DV265" s="220"/>
      <c r="DW265" s="220"/>
      <c r="DX265" s="220"/>
      <c r="DY265" s="220"/>
      <c r="DZ265" s="220"/>
      <c r="EA265" s="220"/>
    </row>
    <row r="266" spans="16:131" s="219" customFormat="1" x14ac:dyDescent="0.2">
      <c r="P266" s="221"/>
      <c r="S266" s="232"/>
      <c r="CV266" s="223"/>
      <c r="CW266" s="222"/>
      <c r="CX266" s="222"/>
      <c r="CY266" s="222"/>
      <c r="CZ266" s="222"/>
      <c r="DL266" s="220"/>
      <c r="DM266" s="220"/>
      <c r="DN266" s="220"/>
      <c r="DO266" s="220"/>
      <c r="DP266" s="220"/>
      <c r="DQ266" s="220"/>
      <c r="DR266" s="220"/>
      <c r="DS266" s="220"/>
      <c r="DT266" s="220"/>
      <c r="DU266" s="220"/>
      <c r="DV266" s="220"/>
      <c r="DW266" s="220"/>
      <c r="DX266" s="220"/>
      <c r="DY266" s="220"/>
      <c r="DZ266" s="220"/>
      <c r="EA266" s="220"/>
    </row>
    <row r="267" spans="16:131" s="219" customFormat="1" x14ac:dyDescent="0.2">
      <c r="P267" s="221"/>
      <c r="S267" s="232"/>
      <c r="CV267" s="223"/>
      <c r="CW267" s="222"/>
      <c r="CX267" s="222"/>
      <c r="CY267" s="222"/>
      <c r="CZ267" s="222"/>
      <c r="DL267" s="220"/>
      <c r="DM267" s="220"/>
      <c r="DN267" s="220"/>
      <c r="DO267" s="220"/>
      <c r="DP267" s="220"/>
      <c r="DQ267" s="220"/>
      <c r="DR267" s="220"/>
      <c r="DS267" s="220"/>
      <c r="DT267" s="220"/>
      <c r="DU267" s="220"/>
      <c r="DV267" s="220"/>
      <c r="DW267" s="220"/>
      <c r="DX267" s="220"/>
      <c r="DY267" s="220"/>
      <c r="DZ267" s="220"/>
      <c r="EA267" s="220"/>
    </row>
    <row r="268" spans="16:131" s="219" customFormat="1" x14ac:dyDescent="0.2">
      <c r="P268" s="221"/>
      <c r="S268" s="232"/>
      <c r="CV268" s="223"/>
      <c r="CW268" s="222"/>
      <c r="CX268" s="222"/>
      <c r="CY268" s="222"/>
      <c r="CZ268" s="222"/>
      <c r="DL268" s="220"/>
      <c r="DM268" s="220"/>
      <c r="DN268" s="220"/>
      <c r="DO268" s="220"/>
      <c r="DP268" s="220"/>
      <c r="DQ268" s="220"/>
      <c r="DR268" s="220"/>
      <c r="DS268" s="220"/>
      <c r="DT268" s="220"/>
      <c r="DU268" s="220"/>
      <c r="DV268" s="220"/>
      <c r="DW268" s="220"/>
      <c r="DX268" s="220"/>
      <c r="DY268" s="220"/>
      <c r="DZ268" s="220"/>
      <c r="EA268" s="220"/>
    </row>
    <row r="269" spans="16:131" s="219" customFormat="1" x14ac:dyDescent="0.2">
      <c r="P269" s="221"/>
      <c r="S269" s="232"/>
      <c r="CV269" s="223"/>
      <c r="CW269" s="222"/>
      <c r="CX269" s="222"/>
      <c r="CY269" s="222"/>
      <c r="CZ269" s="222"/>
      <c r="DL269" s="220"/>
      <c r="DM269" s="220"/>
      <c r="DN269" s="220"/>
      <c r="DO269" s="220"/>
      <c r="DP269" s="220"/>
      <c r="DQ269" s="220"/>
      <c r="DR269" s="220"/>
      <c r="DS269" s="220"/>
      <c r="DT269" s="220"/>
      <c r="DU269" s="220"/>
      <c r="DV269" s="220"/>
      <c r="DW269" s="220"/>
      <c r="DX269" s="220"/>
      <c r="DY269" s="220"/>
      <c r="DZ269" s="220"/>
      <c r="EA269" s="220"/>
    </row>
    <row r="270" spans="16:131" s="219" customFormat="1" x14ac:dyDescent="0.2">
      <c r="P270" s="221"/>
      <c r="S270" s="232"/>
      <c r="CV270" s="223"/>
      <c r="CW270" s="222"/>
      <c r="CX270" s="222"/>
      <c r="CY270" s="222"/>
      <c r="CZ270" s="222"/>
      <c r="DL270" s="220"/>
      <c r="DM270" s="220"/>
      <c r="DN270" s="220"/>
      <c r="DO270" s="220"/>
      <c r="DP270" s="220"/>
      <c r="DQ270" s="220"/>
      <c r="DR270" s="220"/>
      <c r="DS270" s="220"/>
      <c r="DT270" s="220"/>
      <c r="DU270" s="220"/>
      <c r="DV270" s="220"/>
      <c r="DW270" s="220"/>
      <c r="DX270" s="220"/>
      <c r="DY270" s="220"/>
      <c r="DZ270" s="220"/>
      <c r="EA270" s="220"/>
    </row>
    <row r="271" spans="16:131" s="219" customFormat="1" x14ac:dyDescent="0.2">
      <c r="P271" s="221"/>
      <c r="S271" s="232"/>
      <c r="CV271" s="223"/>
      <c r="CW271" s="222"/>
      <c r="CX271" s="222"/>
      <c r="CY271" s="222"/>
      <c r="CZ271" s="222"/>
      <c r="DL271" s="220"/>
      <c r="DM271" s="220"/>
      <c r="DN271" s="220"/>
      <c r="DO271" s="220"/>
      <c r="DP271" s="220"/>
      <c r="DQ271" s="220"/>
      <c r="DR271" s="220"/>
      <c r="DS271" s="220"/>
      <c r="DT271" s="220"/>
      <c r="DU271" s="220"/>
      <c r="DV271" s="220"/>
      <c r="DW271" s="220"/>
      <c r="DX271" s="220"/>
      <c r="DY271" s="220"/>
      <c r="DZ271" s="220"/>
      <c r="EA271" s="220"/>
    </row>
    <row r="272" spans="16:131" s="219" customFormat="1" x14ac:dyDescent="0.2">
      <c r="P272" s="221"/>
      <c r="S272" s="232"/>
      <c r="CV272" s="223"/>
      <c r="CW272" s="222"/>
      <c r="CX272" s="222"/>
      <c r="CY272" s="222"/>
      <c r="CZ272" s="222"/>
      <c r="DL272" s="220"/>
      <c r="DM272" s="220"/>
      <c r="DN272" s="220"/>
      <c r="DO272" s="220"/>
      <c r="DP272" s="220"/>
      <c r="DQ272" s="220"/>
      <c r="DR272" s="220"/>
      <c r="DS272" s="220"/>
      <c r="DT272" s="220"/>
      <c r="DU272" s="220"/>
      <c r="DV272" s="220"/>
      <c r="DW272" s="220"/>
      <c r="DX272" s="220"/>
      <c r="DY272" s="220"/>
      <c r="DZ272" s="220"/>
      <c r="EA272" s="220"/>
    </row>
    <row r="273" spans="16:131" s="219" customFormat="1" x14ac:dyDescent="0.2">
      <c r="P273" s="221"/>
      <c r="S273" s="232"/>
      <c r="CV273" s="223"/>
      <c r="CW273" s="222"/>
      <c r="CX273" s="222"/>
      <c r="CY273" s="222"/>
      <c r="CZ273" s="222"/>
      <c r="DL273" s="220"/>
      <c r="DM273" s="220"/>
      <c r="DN273" s="220"/>
      <c r="DO273" s="220"/>
      <c r="DP273" s="220"/>
      <c r="DQ273" s="220"/>
      <c r="DR273" s="220"/>
      <c r="DS273" s="220"/>
      <c r="DT273" s="220"/>
      <c r="DU273" s="220"/>
      <c r="DV273" s="220"/>
      <c r="DW273" s="220"/>
      <c r="DX273" s="220"/>
      <c r="DY273" s="220"/>
      <c r="DZ273" s="220"/>
      <c r="EA273" s="220"/>
    </row>
    <row r="274" spans="16:131" s="219" customFormat="1" x14ac:dyDescent="0.2">
      <c r="P274" s="221"/>
      <c r="S274" s="232"/>
      <c r="CV274" s="223"/>
      <c r="CW274" s="222"/>
      <c r="CX274" s="222"/>
      <c r="CY274" s="222"/>
      <c r="CZ274" s="222"/>
      <c r="DL274" s="220"/>
      <c r="DM274" s="220"/>
      <c r="DN274" s="220"/>
      <c r="DO274" s="220"/>
      <c r="DP274" s="220"/>
      <c r="DQ274" s="220"/>
      <c r="DR274" s="220"/>
      <c r="DS274" s="220"/>
      <c r="DT274" s="220"/>
      <c r="DU274" s="220"/>
      <c r="DV274" s="220"/>
      <c r="DW274" s="220"/>
      <c r="DX274" s="220"/>
      <c r="DY274" s="220"/>
      <c r="DZ274" s="220"/>
      <c r="EA274" s="220"/>
    </row>
    <row r="275" spans="16:131" s="219" customFormat="1" x14ac:dyDescent="0.2">
      <c r="P275" s="221"/>
      <c r="S275" s="232"/>
      <c r="CV275" s="223"/>
      <c r="CW275" s="222"/>
      <c r="CX275" s="222"/>
      <c r="CY275" s="222"/>
      <c r="CZ275" s="222"/>
      <c r="DL275" s="220"/>
      <c r="DM275" s="220"/>
      <c r="DN275" s="220"/>
      <c r="DO275" s="220"/>
      <c r="DP275" s="220"/>
      <c r="DQ275" s="220"/>
      <c r="DR275" s="220"/>
      <c r="DS275" s="220"/>
      <c r="DT275" s="220"/>
      <c r="DU275" s="220"/>
      <c r="DV275" s="220"/>
      <c r="DW275" s="220"/>
      <c r="DX275" s="220"/>
      <c r="DY275" s="220"/>
      <c r="DZ275" s="220"/>
      <c r="EA275" s="220"/>
    </row>
    <row r="276" spans="16:131" s="219" customFormat="1" x14ac:dyDescent="0.2">
      <c r="P276" s="221"/>
      <c r="S276" s="232"/>
      <c r="CV276" s="223"/>
      <c r="CW276" s="222"/>
      <c r="CX276" s="222"/>
      <c r="CY276" s="222"/>
      <c r="CZ276" s="222"/>
      <c r="DL276" s="220"/>
      <c r="DM276" s="220"/>
      <c r="DN276" s="220"/>
      <c r="DO276" s="220"/>
      <c r="DP276" s="220"/>
      <c r="DQ276" s="220"/>
      <c r="DR276" s="220"/>
      <c r="DS276" s="220"/>
      <c r="DT276" s="220"/>
      <c r="DU276" s="220"/>
      <c r="DV276" s="220"/>
      <c r="DW276" s="220"/>
      <c r="DX276" s="220"/>
      <c r="DY276" s="220"/>
      <c r="DZ276" s="220"/>
      <c r="EA276" s="220"/>
    </row>
    <row r="277" spans="16:131" s="219" customFormat="1" x14ac:dyDescent="0.2">
      <c r="P277" s="221"/>
      <c r="S277" s="232"/>
      <c r="CV277" s="223"/>
      <c r="CW277" s="222"/>
      <c r="CX277" s="222"/>
      <c r="CY277" s="222"/>
      <c r="CZ277" s="222"/>
      <c r="DL277" s="220"/>
      <c r="DM277" s="220"/>
      <c r="DN277" s="220"/>
      <c r="DO277" s="220"/>
      <c r="DP277" s="220"/>
      <c r="DQ277" s="220"/>
      <c r="DR277" s="220"/>
      <c r="DS277" s="220"/>
      <c r="DT277" s="220"/>
      <c r="DU277" s="220"/>
      <c r="DV277" s="220"/>
      <c r="DW277" s="220"/>
      <c r="DX277" s="220"/>
      <c r="DY277" s="220"/>
      <c r="DZ277" s="220"/>
      <c r="EA277" s="220"/>
    </row>
    <row r="278" spans="16:131" s="219" customFormat="1" x14ac:dyDescent="0.2">
      <c r="P278" s="221"/>
      <c r="S278" s="232"/>
      <c r="CV278" s="223"/>
      <c r="CW278" s="222"/>
      <c r="CX278" s="222"/>
      <c r="CY278" s="222"/>
      <c r="CZ278" s="222"/>
      <c r="DL278" s="220"/>
      <c r="DM278" s="220"/>
      <c r="DN278" s="220"/>
      <c r="DO278" s="220"/>
      <c r="DP278" s="220"/>
      <c r="DQ278" s="220"/>
      <c r="DR278" s="220"/>
      <c r="DS278" s="220"/>
      <c r="DT278" s="220"/>
      <c r="DU278" s="220"/>
      <c r="DV278" s="220"/>
      <c r="DW278" s="220"/>
      <c r="DX278" s="220"/>
      <c r="DY278" s="220"/>
      <c r="DZ278" s="220"/>
      <c r="EA278" s="220"/>
    </row>
    <row r="279" spans="16:131" s="219" customFormat="1" x14ac:dyDescent="0.2">
      <c r="P279" s="221"/>
      <c r="S279" s="232"/>
      <c r="CV279" s="223"/>
      <c r="CW279" s="222"/>
      <c r="CX279" s="222"/>
      <c r="CY279" s="222"/>
      <c r="CZ279" s="222"/>
      <c r="DL279" s="220"/>
      <c r="DM279" s="220"/>
      <c r="DN279" s="220"/>
      <c r="DO279" s="220"/>
      <c r="DP279" s="220"/>
      <c r="DQ279" s="220"/>
      <c r="DR279" s="220"/>
      <c r="DS279" s="220"/>
      <c r="DT279" s="220"/>
      <c r="DU279" s="220"/>
      <c r="DV279" s="220"/>
      <c r="DW279" s="220"/>
      <c r="DX279" s="220"/>
      <c r="DY279" s="220"/>
      <c r="DZ279" s="220"/>
      <c r="EA279" s="220"/>
    </row>
    <row r="280" spans="16:131" s="219" customFormat="1" x14ac:dyDescent="0.2">
      <c r="P280" s="221"/>
      <c r="S280" s="232"/>
      <c r="CV280" s="223"/>
      <c r="CW280" s="222"/>
      <c r="CX280" s="222"/>
      <c r="CY280" s="222"/>
      <c r="CZ280" s="222"/>
      <c r="DL280" s="220"/>
      <c r="DM280" s="220"/>
      <c r="DN280" s="220"/>
      <c r="DO280" s="220"/>
      <c r="DP280" s="220"/>
      <c r="DQ280" s="220"/>
      <c r="DR280" s="220"/>
      <c r="DS280" s="220"/>
      <c r="DT280" s="220"/>
      <c r="DU280" s="220"/>
      <c r="DV280" s="220"/>
      <c r="DW280" s="220"/>
      <c r="DX280" s="220"/>
      <c r="DY280" s="220"/>
      <c r="DZ280" s="220"/>
      <c r="EA280" s="220"/>
    </row>
    <row r="281" spans="16:131" s="219" customFormat="1" x14ac:dyDescent="0.2">
      <c r="P281" s="221"/>
      <c r="S281" s="232"/>
      <c r="CV281" s="223"/>
      <c r="CW281" s="222"/>
      <c r="CX281" s="222"/>
      <c r="CY281" s="222"/>
      <c r="CZ281" s="222"/>
      <c r="DL281" s="220"/>
      <c r="DM281" s="220"/>
      <c r="DN281" s="220"/>
      <c r="DO281" s="220"/>
      <c r="DP281" s="220"/>
      <c r="DQ281" s="220"/>
      <c r="DR281" s="220"/>
      <c r="DS281" s="220"/>
      <c r="DT281" s="220"/>
      <c r="DU281" s="220"/>
      <c r="DV281" s="220"/>
      <c r="DW281" s="220"/>
      <c r="DX281" s="220"/>
      <c r="DY281" s="220"/>
      <c r="DZ281" s="220"/>
      <c r="EA281" s="220"/>
    </row>
    <row r="282" spans="16:131" s="219" customFormat="1" x14ac:dyDescent="0.2">
      <c r="P282" s="221"/>
      <c r="S282" s="232"/>
      <c r="CV282" s="223"/>
      <c r="CW282" s="222"/>
      <c r="CX282" s="222"/>
      <c r="CY282" s="222"/>
      <c r="CZ282" s="222"/>
      <c r="DL282" s="220"/>
      <c r="DM282" s="220"/>
      <c r="DN282" s="220"/>
      <c r="DO282" s="220"/>
      <c r="DP282" s="220"/>
      <c r="DQ282" s="220"/>
      <c r="DR282" s="220"/>
      <c r="DS282" s="220"/>
      <c r="DT282" s="220"/>
      <c r="DU282" s="220"/>
      <c r="DV282" s="220"/>
      <c r="DW282" s="220"/>
      <c r="DX282" s="220"/>
      <c r="DY282" s="220"/>
      <c r="DZ282" s="220"/>
      <c r="EA282" s="220"/>
    </row>
    <row r="283" spans="16:131" s="219" customFormat="1" x14ac:dyDescent="0.2">
      <c r="P283" s="221"/>
      <c r="S283" s="232"/>
      <c r="CV283" s="223"/>
      <c r="CW283" s="222"/>
      <c r="CX283" s="222"/>
      <c r="CY283" s="222"/>
      <c r="CZ283" s="222"/>
      <c r="DL283" s="220"/>
      <c r="DM283" s="220"/>
      <c r="DN283" s="220"/>
      <c r="DO283" s="220"/>
      <c r="DP283" s="220"/>
      <c r="DQ283" s="220"/>
      <c r="DR283" s="220"/>
      <c r="DS283" s="220"/>
      <c r="DT283" s="220"/>
      <c r="DU283" s="220"/>
      <c r="DV283" s="220"/>
      <c r="DW283" s="220"/>
      <c r="DX283" s="220"/>
      <c r="DY283" s="220"/>
      <c r="DZ283" s="220"/>
      <c r="EA283" s="220"/>
    </row>
    <row r="284" spans="16:131" s="219" customFormat="1" x14ac:dyDescent="0.2">
      <c r="P284" s="221"/>
      <c r="S284" s="232"/>
      <c r="CV284" s="223"/>
      <c r="CW284" s="222"/>
      <c r="CX284" s="222"/>
      <c r="CY284" s="222"/>
      <c r="CZ284" s="222"/>
      <c r="DL284" s="220"/>
      <c r="DM284" s="220"/>
      <c r="DN284" s="220"/>
      <c r="DO284" s="220"/>
      <c r="DP284" s="220"/>
      <c r="DQ284" s="220"/>
      <c r="DR284" s="220"/>
      <c r="DS284" s="220"/>
      <c r="DT284" s="220"/>
      <c r="DU284" s="220"/>
      <c r="DV284" s="220"/>
      <c r="DW284" s="220"/>
      <c r="DX284" s="220"/>
      <c r="DY284" s="220"/>
      <c r="DZ284" s="220"/>
      <c r="EA284" s="220"/>
    </row>
    <row r="285" spans="16:131" s="219" customFormat="1" x14ac:dyDescent="0.2">
      <c r="P285" s="221"/>
      <c r="S285" s="232"/>
      <c r="CV285" s="223"/>
      <c r="CW285" s="222"/>
      <c r="CX285" s="222"/>
      <c r="CY285" s="222"/>
      <c r="CZ285" s="222"/>
      <c r="DL285" s="220"/>
      <c r="DM285" s="220"/>
      <c r="DN285" s="220"/>
      <c r="DO285" s="220"/>
      <c r="DP285" s="220"/>
      <c r="DQ285" s="220"/>
      <c r="DR285" s="220"/>
      <c r="DS285" s="220"/>
      <c r="DT285" s="220"/>
      <c r="DU285" s="220"/>
      <c r="DV285" s="220"/>
      <c r="DW285" s="220"/>
      <c r="DX285" s="220"/>
      <c r="DY285" s="220"/>
      <c r="DZ285" s="220"/>
      <c r="EA285" s="220"/>
    </row>
    <row r="286" spans="16:131" s="219" customFormat="1" x14ac:dyDescent="0.2">
      <c r="P286" s="221"/>
      <c r="S286" s="232"/>
      <c r="CV286" s="223"/>
      <c r="CW286" s="222"/>
      <c r="CX286" s="222"/>
      <c r="CY286" s="222"/>
      <c r="CZ286" s="222"/>
      <c r="DL286" s="220"/>
      <c r="DM286" s="220"/>
      <c r="DN286" s="220"/>
      <c r="DO286" s="220"/>
      <c r="DP286" s="220"/>
      <c r="DQ286" s="220"/>
      <c r="DR286" s="220"/>
      <c r="DS286" s="220"/>
      <c r="DT286" s="220"/>
      <c r="DU286" s="220"/>
      <c r="DV286" s="220"/>
      <c r="DW286" s="220"/>
      <c r="DX286" s="220"/>
      <c r="DY286" s="220"/>
      <c r="DZ286" s="220"/>
      <c r="EA286" s="220"/>
    </row>
    <row r="287" spans="16:131" s="219" customFormat="1" x14ac:dyDescent="0.2">
      <c r="P287" s="221"/>
      <c r="S287" s="232"/>
      <c r="CV287" s="223"/>
      <c r="CW287" s="222"/>
      <c r="CX287" s="222"/>
      <c r="CY287" s="222"/>
      <c r="CZ287" s="222"/>
      <c r="DL287" s="220"/>
      <c r="DM287" s="220"/>
      <c r="DN287" s="220"/>
      <c r="DO287" s="220"/>
      <c r="DP287" s="220"/>
      <c r="DQ287" s="220"/>
      <c r="DR287" s="220"/>
      <c r="DS287" s="220"/>
      <c r="DT287" s="220"/>
      <c r="DU287" s="220"/>
      <c r="DV287" s="220"/>
      <c r="DW287" s="220"/>
      <c r="DX287" s="220"/>
      <c r="DY287" s="220"/>
      <c r="DZ287" s="220"/>
      <c r="EA287" s="220"/>
    </row>
    <row r="288" spans="16:131" s="219" customFormat="1" x14ac:dyDescent="0.2">
      <c r="P288" s="221"/>
      <c r="S288" s="232"/>
      <c r="CV288" s="223"/>
      <c r="CW288" s="222"/>
      <c r="CX288" s="222"/>
      <c r="CY288" s="222"/>
      <c r="CZ288" s="222"/>
      <c r="DL288" s="220"/>
      <c r="DM288" s="220"/>
      <c r="DN288" s="220"/>
      <c r="DO288" s="220"/>
      <c r="DP288" s="220"/>
      <c r="DQ288" s="220"/>
      <c r="DR288" s="220"/>
      <c r="DS288" s="220"/>
      <c r="DT288" s="220"/>
      <c r="DU288" s="220"/>
      <c r="DV288" s="220"/>
      <c r="DW288" s="220"/>
      <c r="DX288" s="220"/>
      <c r="DY288" s="220"/>
      <c r="DZ288" s="220"/>
      <c r="EA288" s="220"/>
    </row>
    <row r="289" spans="16:131" s="219" customFormat="1" x14ac:dyDescent="0.2">
      <c r="P289" s="221"/>
      <c r="S289" s="232"/>
      <c r="CV289" s="223"/>
      <c r="CW289" s="222"/>
      <c r="CX289" s="222"/>
      <c r="CY289" s="222"/>
      <c r="CZ289" s="222"/>
      <c r="DL289" s="220"/>
      <c r="DM289" s="220"/>
      <c r="DN289" s="220"/>
      <c r="DO289" s="220"/>
      <c r="DP289" s="220"/>
      <c r="DQ289" s="220"/>
      <c r="DR289" s="220"/>
      <c r="DS289" s="220"/>
      <c r="DT289" s="220"/>
      <c r="DU289" s="220"/>
      <c r="DV289" s="220"/>
      <c r="DW289" s="220"/>
      <c r="DX289" s="220"/>
      <c r="DY289" s="220"/>
      <c r="DZ289" s="220"/>
      <c r="EA289" s="220"/>
    </row>
    <row r="290" spans="16:131" s="219" customFormat="1" x14ac:dyDescent="0.2">
      <c r="P290" s="221"/>
      <c r="S290" s="232"/>
      <c r="CV290" s="223"/>
      <c r="CW290" s="222"/>
      <c r="CX290" s="222"/>
      <c r="CY290" s="222"/>
      <c r="CZ290" s="222"/>
      <c r="DL290" s="220"/>
      <c r="DM290" s="220"/>
      <c r="DN290" s="220"/>
      <c r="DO290" s="220"/>
      <c r="DP290" s="220"/>
      <c r="DQ290" s="220"/>
      <c r="DR290" s="220"/>
      <c r="DS290" s="220"/>
      <c r="DT290" s="220"/>
      <c r="DU290" s="220"/>
      <c r="DV290" s="220"/>
      <c r="DW290" s="220"/>
      <c r="DX290" s="220"/>
      <c r="DY290" s="220"/>
      <c r="DZ290" s="220"/>
      <c r="EA290" s="220"/>
    </row>
    <row r="291" spans="16:131" s="219" customFormat="1" x14ac:dyDescent="0.2">
      <c r="P291" s="221"/>
      <c r="S291" s="232"/>
      <c r="CV291" s="223"/>
      <c r="CW291" s="222"/>
      <c r="CX291" s="222"/>
      <c r="CY291" s="222"/>
      <c r="CZ291" s="222"/>
      <c r="DL291" s="220"/>
      <c r="DM291" s="220"/>
      <c r="DN291" s="220"/>
      <c r="DO291" s="220"/>
      <c r="DP291" s="220"/>
      <c r="DQ291" s="220"/>
      <c r="DR291" s="220"/>
      <c r="DS291" s="220"/>
      <c r="DT291" s="220"/>
      <c r="DU291" s="220"/>
      <c r="DV291" s="220"/>
      <c r="DW291" s="220"/>
      <c r="DX291" s="220"/>
      <c r="DY291" s="220"/>
      <c r="DZ291" s="220"/>
      <c r="EA291" s="220"/>
    </row>
    <row r="292" spans="16:131" s="219" customFormat="1" x14ac:dyDescent="0.2">
      <c r="P292" s="221"/>
      <c r="S292" s="232"/>
      <c r="CV292" s="223"/>
      <c r="CW292" s="222"/>
      <c r="CX292" s="222"/>
      <c r="CY292" s="222"/>
      <c r="CZ292" s="222"/>
      <c r="DL292" s="220"/>
      <c r="DM292" s="220"/>
      <c r="DN292" s="220"/>
      <c r="DO292" s="220"/>
      <c r="DP292" s="220"/>
      <c r="DQ292" s="220"/>
      <c r="DR292" s="220"/>
      <c r="DS292" s="220"/>
      <c r="DT292" s="220"/>
      <c r="DU292" s="220"/>
      <c r="DV292" s="220"/>
      <c r="DW292" s="220"/>
      <c r="DX292" s="220"/>
      <c r="DY292" s="220"/>
      <c r="DZ292" s="220"/>
      <c r="EA292" s="220"/>
    </row>
    <row r="293" spans="16:131" s="219" customFormat="1" x14ac:dyDescent="0.2">
      <c r="P293" s="221"/>
      <c r="S293" s="232"/>
      <c r="CV293" s="223"/>
      <c r="CW293" s="222"/>
      <c r="CX293" s="222"/>
      <c r="CY293" s="222"/>
      <c r="CZ293" s="222"/>
      <c r="DL293" s="220"/>
      <c r="DM293" s="220"/>
      <c r="DN293" s="220"/>
      <c r="DO293" s="220"/>
      <c r="DP293" s="220"/>
      <c r="DQ293" s="220"/>
      <c r="DR293" s="220"/>
      <c r="DS293" s="220"/>
      <c r="DT293" s="220"/>
      <c r="DU293" s="220"/>
      <c r="DV293" s="220"/>
      <c r="DW293" s="220"/>
      <c r="DX293" s="220"/>
      <c r="DY293" s="220"/>
      <c r="DZ293" s="220"/>
      <c r="EA293" s="220"/>
    </row>
    <row r="294" spans="16:131" s="219" customFormat="1" x14ac:dyDescent="0.2">
      <c r="P294" s="221"/>
      <c r="S294" s="232"/>
      <c r="CV294" s="223"/>
      <c r="CW294" s="222"/>
      <c r="CX294" s="222"/>
      <c r="CY294" s="222"/>
      <c r="CZ294" s="222"/>
      <c r="DL294" s="220"/>
      <c r="DM294" s="220"/>
      <c r="DN294" s="220"/>
      <c r="DO294" s="220"/>
      <c r="DP294" s="220"/>
      <c r="DQ294" s="220"/>
      <c r="DR294" s="220"/>
      <c r="DS294" s="220"/>
      <c r="DT294" s="220"/>
      <c r="DU294" s="220"/>
      <c r="DV294" s="220"/>
      <c r="DW294" s="220"/>
      <c r="DX294" s="220"/>
      <c r="DY294" s="220"/>
      <c r="DZ294" s="220"/>
      <c r="EA294" s="220"/>
    </row>
    <row r="295" spans="16:131" s="219" customFormat="1" x14ac:dyDescent="0.2">
      <c r="P295" s="221"/>
      <c r="S295" s="232"/>
      <c r="CV295" s="223"/>
      <c r="CW295" s="222"/>
      <c r="CX295" s="222"/>
      <c r="CY295" s="222"/>
      <c r="CZ295" s="222"/>
      <c r="DL295" s="220"/>
      <c r="DM295" s="220"/>
      <c r="DN295" s="220"/>
      <c r="DO295" s="220"/>
      <c r="DP295" s="220"/>
      <c r="DQ295" s="220"/>
      <c r="DR295" s="220"/>
      <c r="DS295" s="220"/>
      <c r="DT295" s="220"/>
      <c r="DU295" s="220"/>
      <c r="DV295" s="220"/>
      <c r="DW295" s="220"/>
      <c r="DX295" s="220"/>
      <c r="DY295" s="220"/>
      <c r="DZ295" s="220"/>
      <c r="EA295" s="220"/>
    </row>
    <row r="296" spans="16:131" s="219" customFormat="1" x14ac:dyDescent="0.2">
      <c r="P296" s="221"/>
      <c r="S296" s="232"/>
      <c r="CV296" s="223"/>
      <c r="CW296" s="222"/>
      <c r="CX296" s="222"/>
      <c r="CY296" s="222"/>
      <c r="CZ296" s="222"/>
      <c r="DL296" s="220"/>
      <c r="DM296" s="220"/>
      <c r="DN296" s="220"/>
      <c r="DO296" s="220"/>
      <c r="DP296" s="220"/>
      <c r="DQ296" s="220"/>
      <c r="DR296" s="220"/>
      <c r="DS296" s="220"/>
      <c r="DT296" s="220"/>
      <c r="DU296" s="220"/>
      <c r="DV296" s="220"/>
      <c r="DW296" s="220"/>
      <c r="DX296" s="220"/>
      <c r="DY296" s="220"/>
      <c r="DZ296" s="220"/>
      <c r="EA296" s="220"/>
    </row>
    <row r="297" spans="16:131" s="219" customFormat="1" x14ac:dyDescent="0.2">
      <c r="P297" s="221"/>
      <c r="S297" s="232"/>
      <c r="CV297" s="223"/>
      <c r="CW297" s="222"/>
      <c r="CX297" s="222"/>
      <c r="CY297" s="222"/>
      <c r="CZ297" s="222"/>
      <c r="DL297" s="220"/>
      <c r="DM297" s="220"/>
      <c r="DN297" s="220"/>
      <c r="DO297" s="220"/>
      <c r="DP297" s="220"/>
      <c r="DQ297" s="220"/>
      <c r="DR297" s="220"/>
      <c r="DS297" s="220"/>
      <c r="DT297" s="220"/>
      <c r="DU297" s="220"/>
      <c r="DV297" s="220"/>
      <c r="DW297" s="220"/>
      <c r="DX297" s="220"/>
      <c r="DY297" s="220"/>
      <c r="DZ297" s="220"/>
      <c r="EA297" s="220"/>
    </row>
    <row r="298" spans="16:131" s="219" customFormat="1" x14ac:dyDescent="0.2">
      <c r="P298" s="221"/>
      <c r="S298" s="232"/>
      <c r="CV298" s="223"/>
      <c r="CW298" s="222"/>
      <c r="CX298" s="222"/>
      <c r="CY298" s="222"/>
      <c r="CZ298" s="222"/>
      <c r="DL298" s="220"/>
      <c r="DM298" s="220"/>
      <c r="DN298" s="220"/>
      <c r="DO298" s="220"/>
      <c r="DP298" s="220"/>
      <c r="DQ298" s="220"/>
      <c r="DR298" s="220"/>
      <c r="DS298" s="220"/>
      <c r="DT298" s="220"/>
      <c r="DU298" s="220"/>
      <c r="DV298" s="220"/>
      <c r="DW298" s="220"/>
      <c r="DX298" s="220"/>
      <c r="DY298" s="220"/>
      <c r="DZ298" s="220"/>
      <c r="EA298" s="220"/>
    </row>
    <row r="299" spans="16:131" s="219" customFormat="1" x14ac:dyDescent="0.2">
      <c r="P299" s="221"/>
      <c r="S299" s="232"/>
      <c r="CV299" s="223"/>
      <c r="CW299" s="222"/>
      <c r="CX299" s="222"/>
      <c r="CY299" s="222"/>
      <c r="CZ299" s="222"/>
      <c r="DL299" s="220"/>
      <c r="DM299" s="220"/>
      <c r="DN299" s="220"/>
      <c r="DO299" s="220"/>
      <c r="DP299" s="220"/>
      <c r="DQ299" s="220"/>
      <c r="DR299" s="220"/>
      <c r="DS299" s="220"/>
      <c r="DT299" s="220"/>
      <c r="DU299" s="220"/>
      <c r="DV299" s="220"/>
      <c r="DW299" s="220"/>
      <c r="DX299" s="220"/>
      <c r="DY299" s="220"/>
      <c r="DZ299" s="220"/>
      <c r="EA299" s="220"/>
    </row>
    <row r="300" spans="16:131" s="219" customFormat="1" x14ac:dyDescent="0.2">
      <c r="P300" s="221"/>
      <c r="S300" s="232"/>
      <c r="CV300" s="223"/>
      <c r="CW300" s="222"/>
      <c r="CX300" s="222"/>
      <c r="CY300" s="222"/>
      <c r="CZ300" s="222"/>
      <c r="DL300" s="220"/>
      <c r="DM300" s="220"/>
      <c r="DN300" s="220"/>
      <c r="DO300" s="220"/>
      <c r="DP300" s="220"/>
      <c r="DQ300" s="220"/>
      <c r="DR300" s="220"/>
      <c r="DS300" s="220"/>
      <c r="DT300" s="220"/>
      <c r="DU300" s="220"/>
      <c r="DV300" s="220"/>
      <c r="DW300" s="220"/>
      <c r="DX300" s="220"/>
      <c r="DY300" s="220"/>
      <c r="DZ300" s="220"/>
      <c r="EA300" s="220"/>
    </row>
    <row r="301" spans="16:131" s="219" customFormat="1" x14ac:dyDescent="0.2">
      <c r="P301" s="221"/>
      <c r="S301" s="232"/>
      <c r="CV301" s="223"/>
      <c r="CW301" s="222"/>
      <c r="CX301" s="222"/>
      <c r="CY301" s="222"/>
      <c r="CZ301" s="222"/>
      <c r="DL301" s="220"/>
      <c r="DM301" s="220"/>
      <c r="DN301" s="220"/>
      <c r="DO301" s="220"/>
      <c r="DP301" s="220"/>
      <c r="DQ301" s="220"/>
      <c r="DR301" s="220"/>
      <c r="DS301" s="220"/>
      <c r="DT301" s="220"/>
      <c r="DU301" s="220"/>
      <c r="DV301" s="220"/>
      <c r="DW301" s="220"/>
      <c r="DX301" s="220"/>
      <c r="DY301" s="220"/>
      <c r="DZ301" s="220"/>
      <c r="EA301" s="220"/>
    </row>
    <row r="302" spans="16:131" s="219" customFormat="1" x14ac:dyDescent="0.2">
      <c r="P302" s="221"/>
      <c r="S302" s="232"/>
      <c r="CV302" s="223"/>
      <c r="CW302" s="222"/>
      <c r="CX302" s="222"/>
      <c r="CY302" s="222"/>
      <c r="CZ302" s="222"/>
      <c r="DL302" s="220"/>
      <c r="DM302" s="220"/>
      <c r="DN302" s="220"/>
      <c r="DO302" s="220"/>
      <c r="DP302" s="220"/>
      <c r="DQ302" s="220"/>
      <c r="DR302" s="220"/>
      <c r="DS302" s="220"/>
      <c r="DT302" s="220"/>
      <c r="DU302" s="220"/>
      <c r="DV302" s="220"/>
      <c r="DW302" s="220"/>
      <c r="DX302" s="220"/>
      <c r="DY302" s="220"/>
      <c r="DZ302" s="220"/>
      <c r="EA302" s="220"/>
    </row>
    <row r="303" spans="16:131" s="219" customFormat="1" x14ac:dyDescent="0.2">
      <c r="P303" s="221"/>
      <c r="S303" s="232"/>
      <c r="CV303" s="223"/>
      <c r="CW303" s="222"/>
      <c r="CX303" s="222"/>
      <c r="CY303" s="222"/>
      <c r="CZ303" s="222"/>
      <c r="DL303" s="220"/>
      <c r="DM303" s="220"/>
      <c r="DN303" s="220"/>
      <c r="DO303" s="220"/>
      <c r="DP303" s="220"/>
      <c r="DQ303" s="220"/>
      <c r="DR303" s="220"/>
      <c r="DS303" s="220"/>
      <c r="DT303" s="220"/>
      <c r="DU303" s="220"/>
      <c r="DV303" s="220"/>
      <c r="DW303" s="220"/>
      <c r="DX303" s="220"/>
      <c r="DY303" s="220"/>
      <c r="DZ303" s="220"/>
      <c r="EA303" s="220"/>
    </row>
    <row r="304" spans="16:131" s="219" customFormat="1" x14ac:dyDescent="0.2">
      <c r="P304" s="221"/>
      <c r="S304" s="232"/>
      <c r="CV304" s="223"/>
      <c r="CW304" s="222"/>
      <c r="CX304" s="222"/>
      <c r="CY304" s="222"/>
      <c r="CZ304" s="222"/>
      <c r="DL304" s="220"/>
      <c r="DM304" s="220"/>
      <c r="DN304" s="220"/>
      <c r="DO304" s="220"/>
      <c r="DP304" s="220"/>
      <c r="DQ304" s="220"/>
      <c r="DR304" s="220"/>
      <c r="DS304" s="220"/>
      <c r="DT304" s="220"/>
      <c r="DU304" s="220"/>
      <c r="DV304" s="220"/>
      <c r="DW304" s="220"/>
      <c r="DX304" s="220"/>
      <c r="DY304" s="220"/>
      <c r="DZ304" s="220"/>
      <c r="EA304" s="220"/>
    </row>
    <row r="305" spans="16:131" s="219" customFormat="1" x14ac:dyDescent="0.2">
      <c r="P305" s="221"/>
      <c r="S305" s="232"/>
      <c r="CV305" s="223"/>
      <c r="CW305" s="222"/>
      <c r="CX305" s="222"/>
      <c r="CY305" s="222"/>
      <c r="CZ305" s="222"/>
      <c r="DL305" s="220"/>
      <c r="DM305" s="220"/>
      <c r="DN305" s="220"/>
      <c r="DO305" s="220"/>
      <c r="DP305" s="220"/>
      <c r="DQ305" s="220"/>
      <c r="DR305" s="220"/>
      <c r="DS305" s="220"/>
      <c r="DT305" s="220"/>
      <c r="DU305" s="220"/>
      <c r="DV305" s="220"/>
      <c r="DW305" s="220"/>
      <c r="DX305" s="220"/>
      <c r="DY305" s="220"/>
      <c r="DZ305" s="220"/>
      <c r="EA305" s="220"/>
    </row>
    <row r="306" spans="16:131" s="219" customFormat="1" x14ac:dyDescent="0.2">
      <c r="P306" s="221"/>
      <c r="S306" s="232"/>
      <c r="CV306" s="223"/>
      <c r="CW306" s="222"/>
      <c r="CX306" s="222"/>
      <c r="CY306" s="222"/>
      <c r="CZ306" s="222"/>
      <c r="DL306" s="220"/>
      <c r="DM306" s="220"/>
      <c r="DN306" s="220"/>
      <c r="DO306" s="220"/>
      <c r="DP306" s="220"/>
      <c r="DQ306" s="220"/>
      <c r="DR306" s="220"/>
      <c r="DS306" s="220"/>
      <c r="DT306" s="220"/>
      <c r="DU306" s="220"/>
      <c r="DV306" s="220"/>
      <c r="DW306" s="220"/>
      <c r="DX306" s="220"/>
      <c r="DY306" s="220"/>
      <c r="DZ306" s="220"/>
      <c r="EA306" s="220"/>
    </row>
    <row r="307" spans="16:131" s="219" customFormat="1" x14ac:dyDescent="0.2">
      <c r="P307" s="221"/>
      <c r="S307" s="232"/>
      <c r="CV307" s="223"/>
      <c r="CW307" s="222"/>
      <c r="CX307" s="222"/>
      <c r="CY307" s="222"/>
      <c r="CZ307" s="222"/>
      <c r="DL307" s="220"/>
      <c r="DM307" s="220"/>
      <c r="DN307" s="220"/>
      <c r="DO307" s="220"/>
      <c r="DP307" s="220"/>
      <c r="DQ307" s="220"/>
      <c r="DR307" s="220"/>
      <c r="DS307" s="220"/>
      <c r="DT307" s="220"/>
      <c r="DU307" s="220"/>
      <c r="DV307" s="220"/>
      <c r="DW307" s="220"/>
      <c r="DX307" s="220"/>
      <c r="DY307" s="220"/>
      <c r="DZ307" s="220"/>
      <c r="EA307" s="220"/>
    </row>
  </sheetData>
  <sheetProtection algorithmName="SHA-512" hashValue="L6Kr5s93VzCjxVu0djnAgWfjt1tGX990i/f+prSk0+CCrvF/EWXkFXs7Z5HvMBesQmsBzCmkJGSswvgy5CxcZQ==" saltValue="fmf8EVxlH9l+yTItGKeNfA==" spinCount="100000" sheet="1" objects="1" scenarios="1"/>
  <phoneticPr fontId="0" type="noConversion"/>
  <conditionalFormatting sqref="D50:H50">
    <cfRule type="cellIs" dxfId="332" priority="4" stopIfTrue="1" operator="greaterThan">
      <formula>0</formula>
    </cfRule>
  </conditionalFormatting>
  <conditionalFormatting sqref="D52:H52">
    <cfRule type="cellIs" dxfId="331" priority="3" stopIfTrue="1" operator="greaterThan">
      <formula>0</formula>
    </cfRule>
  </conditionalFormatting>
  <conditionalFormatting sqref="S50">
    <cfRule type="notContainsBlanks" dxfId="330" priority="2" stopIfTrue="1">
      <formula>LEN(TRIM(S50))&gt;0</formula>
    </cfRule>
  </conditionalFormatting>
  <conditionalFormatting sqref="S52">
    <cfRule type="notContainsBlanks" dxfId="329" priority="1" stopIfTrue="1">
      <formula>LEN(TRIM(S52))&gt;0</formula>
    </cfRule>
  </conditionalFormatting>
  <hyperlinks>
    <hyperlink ref="CV64" r:id="rId1" display="**) Grobschätzung Einkommensteuer nach Abgabenrechner des Bundesfinanzministerium"/>
    <hyperlink ref="CV61" r:id="rId2"/>
    <hyperlink ref="CV62" r:id="rId3" display="http://www.steuerformen.de/koerperschaftssteuer.htm"/>
    <hyperlink ref="CV60" r:id="rId4"/>
    <hyperlink ref="CW60" r:id="rId5" display="Hebesätze Gemeinden um Stuttgart"/>
    <hyperlink ref="CW61" r:id="rId6" display="*) Tool zur Gewerbesteuerermittlung "/>
    <hyperlink ref="C62" r:id="rId7" display="**) Grobschätzung Einkommensteuer nach Abgabenrechner des Bundesfinanzministerium"/>
    <hyperlink ref="C61" r:id="rId8"/>
    <hyperlink ref="C63" r:id="rId9" tooltip="Steuerformen" display="Steuerformen / Körperschaftssteuer"/>
    <hyperlink ref="C60" r:id="rId10" display="Hebesätze Gemeinden um Stuttgart | municipal rate fixed by the municipality"/>
  </hyperlinks>
  <printOptions horizontalCentered="1"/>
  <pageMargins left="0.59055118110236227" right="0.59055118110236227" top="0.59055118110236227" bottom="0.74803149606299213" header="0.31496062992125984" footer="0.31496062992125984"/>
  <pageSetup paperSize="9" scale="50" orientation="landscape" r:id="rId11"/>
  <headerFooter>
    <oddFooter>&amp;L&amp;"Verdana,Standard"&amp;9&amp;A&amp;C&amp;"Verdana,Standard"&amp;9&amp;F&amp;R&amp;"Verdana,Standard"&amp;9© 2017 www.Kindermanns.de
Jürgen Erlewein</oddFooter>
  </headerFooter>
  <drawing r:id="rId1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>
    <pageSetUpPr fitToPage="1"/>
  </sheetPr>
  <dimension ref="A1:EZ925"/>
  <sheetViews>
    <sheetView showGridLines="0" topLeftCell="A2" zoomScale="70" zoomScaleNormal="70" workbookViewId="0">
      <selection activeCell="E71" sqref="E71"/>
    </sheetView>
  </sheetViews>
  <sheetFormatPr baseColWidth="10" defaultColWidth="11.42578125" defaultRowHeight="14.25" x14ac:dyDescent="0.2"/>
  <cols>
    <col min="1" max="1" width="1.85546875" style="55" customWidth="1"/>
    <col min="2" max="2" width="6.42578125" style="58" customWidth="1"/>
    <col min="3" max="3" width="80.28515625" style="58" customWidth="1"/>
    <col min="4" max="16" width="14.7109375" style="692" customWidth="1"/>
    <col min="17" max="18" width="4.7109375" style="55" customWidth="1"/>
    <col min="19" max="19" width="60.7109375" style="55" customWidth="1"/>
    <col min="20" max="35" width="11.42578125" style="55" customWidth="1"/>
    <col min="36" max="36" width="11.7109375" style="55" customWidth="1"/>
    <col min="37" max="99" width="11.42578125" style="55" hidden="1" customWidth="1"/>
    <col min="100" max="100" width="102.140625" style="39" hidden="1" customWidth="1"/>
    <col min="101" max="101" width="66" style="58" hidden="1" customWidth="1"/>
    <col min="102" max="115" width="11.42578125" style="58" hidden="1" customWidth="1"/>
    <col min="116" max="121" width="11.42578125" style="345" hidden="1" customWidth="1"/>
    <col min="122" max="156" width="11.42578125" style="58" hidden="1" customWidth="1"/>
    <col min="157" max="16384" width="11.42578125" style="58"/>
  </cols>
  <sheetData>
    <row r="1" spans="1:131" ht="66" customHeight="1" x14ac:dyDescent="0.2"/>
    <row r="2" spans="1:131" s="96" customFormat="1" ht="21.95" customHeight="1" thickBot="1" x14ac:dyDescent="0.3">
      <c r="A2" s="645"/>
      <c r="B2" s="391">
        <v>0.19</v>
      </c>
      <c r="C2" s="1069">
        <v>7.0000000000000007E-2</v>
      </c>
      <c r="D2" s="646"/>
      <c r="E2" s="646"/>
      <c r="F2" s="647"/>
      <c r="G2" s="646"/>
      <c r="H2" s="646"/>
      <c r="I2" s="646"/>
      <c r="J2" s="646"/>
      <c r="K2" s="646"/>
      <c r="L2" s="947">
        <v>0</v>
      </c>
      <c r="M2" s="654">
        <v>0.5</v>
      </c>
      <c r="N2" s="946">
        <v>1</v>
      </c>
      <c r="O2" s="946">
        <v>2</v>
      </c>
      <c r="P2" s="946">
        <v>3</v>
      </c>
      <c r="S2" s="661"/>
      <c r="CV2" s="948"/>
      <c r="CW2" s="55"/>
      <c r="CX2" s="55"/>
      <c r="CY2" s="39" t="s">
        <v>1</v>
      </c>
      <c r="CZ2" s="39" t="s">
        <v>2</v>
      </c>
      <c r="DA2" s="39" t="s">
        <v>3</v>
      </c>
      <c r="DB2" s="39" t="s">
        <v>4</v>
      </c>
      <c r="DC2" s="39" t="s">
        <v>5</v>
      </c>
      <c r="DD2" s="39" t="s">
        <v>6</v>
      </c>
      <c r="DE2" s="39" t="s">
        <v>7</v>
      </c>
      <c r="DF2" s="39" t="s">
        <v>8</v>
      </c>
      <c r="DG2" s="39" t="s">
        <v>9</v>
      </c>
      <c r="DH2" s="39" t="s">
        <v>10</v>
      </c>
      <c r="DI2" s="39" t="s">
        <v>11</v>
      </c>
      <c r="DJ2" s="39" t="s">
        <v>12</v>
      </c>
      <c r="DK2" s="39" t="str">
        <f ca="1">"Jahr "&amp;'1 Pers.Ausgaben|Pers Expenses'!C4</f>
        <v>Jahr 2017</v>
      </c>
    </row>
    <row r="3" spans="1:131" s="311" customFormat="1" ht="20.25" thickBot="1" x14ac:dyDescent="0.25">
      <c r="C3" s="1070" t="str">
        <f>'Deckblatt Gruender|Data Founder'!$D$8</f>
        <v>Deutsch</v>
      </c>
      <c r="D3" s="648"/>
      <c r="E3" s="649" t="str">
        <f>IF($C$3="English",CW3,CV3)</f>
        <v>Zahlungseingang</v>
      </c>
      <c r="F3" s="650">
        <v>0</v>
      </c>
      <c r="G3" s="651" t="str">
        <f>IF($C$3="English",CW4,CV4)</f>
        <v>Monate nach Rechnungsstellung (≡ Planumsatz)</v>
      </c>
      <c r="H3" s="652"/>
      <c r="I3" s="648"/>
      <c r="J3" s="648"/>
      <c r="K3" s="653"/>
      <c r="L3" s="652"/>
      <c r="S3" s="661"/>
      <c r="T3" s="224"/>
      <c r="CV3" s="949" t="s">
        <v>254</v>
      </c>
      <c r="CW3" s="717" t="s">
        <v>345</v>
      </c>
      <c r="CY3" s="39" t="s">
        <v>73</v>
      </c>
      <c r="CZ3" s="39" t="s">
        <v>74</v>
      </c>
      <c r="DA3" s="39" t="s">
        <v>306</v>
      </c>
      <c r="DB3" s="39" t="s">
        <v>76</v>
      </c>
      <c r="DC3" s="39" t="s">
        <v>303</v>
      </c>
      <c r="DD3" s="39" t="s">
        <v>304</v>
      </c>
      <c r="DE3" s="39" t="s">
        <v>305</v>
      </c>
      <c r="DF3" s="39" t="s">
        <v>79</v>
      </c>
      <c r="DG3" s="39" t="s">
        <v>307</v>
      </c>
      <c r="DH3" s="39" t="s">
        <v>308</v>
      </c>
      <c r="DI3" s="39" t="s">
        <v>82</v>
      </c>
      <c r="DJ3" s="39" t="s">
        <v>309</v>
      </c>
      <c r="DK3" s="39" t="str">
        <f ca="1">"Year "&amp;'1 Pers.Ausgaben|Pers Expenses'!C4</f>
        <v>Year 2017</v>
      </c>
      <c r="DL3" s="317"/>
      <c r="DM3" s="317"/>
      <c r="DN3" s="317"/>
      <c r="DO3" s="317"/>
      <c r="DP3" s="317"/>
      <c r="DQ3" s="317"/>
    </row>
    <row r="4" spans="1:131" s="34" customFormat="1" x14ac:dyDescent="0.2">
      <c r="B4" s="655"/>
      <c r="C4" s="1132">
        <f>'Deckblatt Gruender|Data Founder'!M1</f>
        <v>0</v>
      </c>
      <c r="D4" s="656"/>
      <c r="E4" s="656"/>
      <c r="F4" s="657"/>
      <c r="G4" s="656"/>
      <c r="H4" s="656"/>
      <c r="I4" s="656"/>
      <c r="J4" s="656"/>
      <c r="K4" s="656"/>
      <c r="L4" s="656"/>
      <c r="M4" s="656"/>
      <c r="N4" s="658"/>
      <c r="T4" s="224" t="s">
        <v>229</v>
      </c>
      <c r="CV4" s="950" t="s">
        <v>448</v>
      </c>
      <c r="CW4" s="717" t="s">
        <v>482</v>
      </c>
      <c r="DL4" s="33"/>
      <c r="DM4" s="33"/>
      <c r="DN4" s="33"/>
      <c r="DO4" s="33"/>
      <c r="DP4" s="33"/>
      <c r="DQ4" s="33"/>
    </row>
    <row r="5" spans="1:131" s="53" customFormat="1" ht="24.75" x14ac:dyDescent="0.2">
      <c r="B5" s="644" t="str">
        <f ca="1">IF($C$3="English",CW5,CV5)</f>
        <v>6a  Ermittlung der Liquidität und des Kapitalbedarfes für die Monate des Jahres 2017 in EURO</v>
      </c>
      <c r="C5" s="215"/>
      <c r="D5" s="659"/>
      <c r="E5" s="659"/>
      <c r="F5" s="659"/>
      <c r="G5" s="659"/>
      <c r="H5" s="659"/>
      <c r="I5" s="659"/>
      <c r="J5" s="659"/>
      <c r="K5" s="659"/>
      <c r="L5" s="659"/>
      <c r="T5" s="36" t="s">
        <v>310</v>
      </c>
      <c r="CV5" s="39" t="str">
        <f ca="1">"6a  Ermittlung der Liquidität und des Kapitalbedarfes für die Monate des Jahres "&amp;'1 Pers.Ausgaben|Pers Expenses'!$C$4&amp;" in EURO"</f>
        <v>6a  Ermittlung der Liquidität und des Kapitalbedarfes für die Monate des Jahres 2017 in EURO</v>
      </c>
      <c r="CW5" s="717" t="str">
        <f ca="1">"6a Evaluation of liquidity and capital requirement for the months of year "&amp;'1 Pers.Ausgaben|Pers Expenses'!C4&amp; " in EURO"</f>
        <v>6a Evaluation of liquidity and capital requirement for the months of year 2017 in EURO</v>
      </c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96"/>
      <c r="DM5" s="96"/>
      <c r="DN5" s="96"/>
      <c r="DO5" s="96"/>
      <c r="DP5" s="96"/>
      <c r="DQ5" s="96"/>
    </row>
    <row r="6" spans="1:131" s="53" customFormat="1" ht="15" thickBot="1" x14ac:dyDescent="0.25">
      <c r="C6" s="1071">
        <f>'Deckblatt Gruender|Data Founder'!$M$1</f>
        <v>0</v>
      </c>
      <c r="D6" s="646">
        <v>1</v>
      </c>
      <c r="E6" s="646">
        <v>2</v>
      </c>
      <c r="F6" s="646">
        <v>3</v>
      </c>
      <c r="G6" s="646">
        <v>4</v>
      </c>
      <c r="H6" s="646">
        <v>5</v>
      </c>
      <c r="I6" s="646">
        <v>6</v>
      </c>
      <c r="J6" s="646">
        <v>7</v>
      </c>
      <c r="K6" s="646">
        <v>8</v>
      </c>
      <c r="L6" s="646">
        <v>9</v>
      </c>
      <c r="M6" s="646">
        <v>10</v>
      </c>
      <c r="N6" s="660">
        <v>11</v>
      </c>
      <c r="O6" s="646">
        <v>12</v>
      </c>
      <c r="P6" s="659"/>
      <c r="Q6" s="65"/>
      <c r="R6" s="65"/>
      <c r="S6" s="36"/>
      <c r="T6" s="65"/>
      <c r="U6" s="65"/>
      <c r="V6" s="65"/>
      <c r="W6" s="65"/>
      <c r="X6" s="65"/>
      <c r="Y6" s="661"/>
      <c r="AB6" s="485"/>
      <c r="AC6" s="485"/>
      <c r="AD6" s="662"/>
      <c r="AE6" s="629"/>
      <c r="AF6" s="629"/>
      <c r="CV6" s="949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96"/>
      <c r="DM6" s="96"/>
      <c r="DN6" s="96"/>
      <c r="DO6" s="96"/>
      <c r="DP6" s="96"/>
      <c r="DQ6" s="96"/>
      <c r="DW6" s="155"/>
      <c r="DX6" s="55"/>
      <c r="DY6" s="55"/>
      <c r="DZ6" s="55"/>
      <c r="EA6" s="55"/>
    </row>
    <row r="7" spans="1:131" s="669" customFormat="1" ht="15.75" thickBot="1" x14ac:dyDescent="0.25">
      <c r="A7" s="315"/>
      <c r="B7" s="664" t="s">
        <v>302</v>
      </c>
      <c r="C7" s="665" t="str">
        <f>IF($C$3="English",CW7,CV7)</f>
        <v>Einzahlungen/Auszahlungen (MwSt-Satz s. Tab.2 und Tab.4)</v>
      </c>
      <c r="D7" s="666" t="str">
        <f>IF($C$3="English",CY3,CY2)</f>
        <v>Jan.</v>
      </c>
      <c r="E7" s="666" t="str">
        <f t="shared" ref="E7:P7" si="0">IF($C$3="English",CZ3,CZ2)</f>
        <v>Febr.</v>
      </c>
      <c r="F7" s="666" t="str">
        <f t="shared" si="0"/>
        <v>März</v>
      </c>
      <c r="G7" s="666" t="str">
        <f t="shared" si="0"/>
        <v>April</v>
      </c>
      <c r="H7" s="666" t="str">
        <f t="shared" si="0"/>
        <v>Mai</v>
      </c>
      <c r="I7" s="666" t="str">
        <f t="shared" si="0"/>
        <v>Juni</v>
      </c>
      <c r="J7" s="666" t="str">
        <f t="shared" si="0"/>
        <v>Juli</v>
      </c>
      <c r="K7" s="666" t="str">
        <f t="shared" si="0"/>
        <v>Aug.</v>
      </c>
      <c r="L7" s="666" t="str">
        <f t="shared" si="0"/>
        <v>Sept.</v>
      </c>
      <c r="M7" s="666" t="str">
        <f t="shared" si="0"/>
        <v>Okt.</v>
      </c>
      <c r="N7" s="666" t="str">
        <f t="shared" si="0"/>
        <v>Nov.</v>
      </c>
      <c r="O7" s="666" t="str">
        <f t="shared" si="0"/>
        <v>Dez.</v>
      </c>
      <c r="P7" s="667" t="str">
        <f t="shared" ca="1" si="0"/>
        <v>Jahr 2017</v>
      </c>
      <c r="Q7" s="315"/>
      <c r="R7" s="315"/>
      <c r="S7" s="668" t="str">
        <f>IF(C3="English",T5,T4)</f>
        <v>Aufgaben und/oder Kommentar</v>
      </c>
      <c r="T7" s="315"/>
      <c r="U7" s="315"/>
      <c r="V7" s="315"/>
      <c r="W7" s="315"/>
      <c r="X7" s="315"/>
      <c r="Y7" s="315"/>
      <c r="Z7" s="315"/>
      <c r="AA7" s="315"/>
      <c r="AB7" s="315"/>
      <c r="AC7" s="315"/>
      <c r="AD7" s="315"/>
      <c r="AE7" s="315"/>
      <c r="AF7" s="315"/>
      <c r="AG7" s="315"/>
      <c r="AH7" s="315"/>
      <c r="AI7" s="315"/>
      <c r="AJ7" s="315"/>
      <c r="AK7" s="315"/>
      <c r="AL7" s="315"/>
      <c r="AM7" s="315"/>
      <c r="AN7" s="315"/>
      <c r="AO7" s="315"/>
      <c r="AP7" s="315"/>
      <c r="AQ7" s="315"/>
      <c r="AR7" s="315"/>
      <c r="AS7" s="315"/>
      <c r="AT7" s="315"/>
      <c r="AU7" s="315"/>
      <c r="AV7" s="315"/>
      <c r="AW7" s="315"/>
      <c r="AX7" s="315"/>
      <c r="AY7" s="315"/>
      <c r="AZ7" s="315"/>
      <c r="BA7" s="315"/>
      <c r="BB7" s="315"/>
      <c r="BC7" s="315"/>
      <c r="BD7" s="315"/>
      <c r="BE7" s="315"/>
      <c r="BF7" s="315"/>
      <c r="BG7" s="315"/>
      <c r="BH7" s="315"/>
      <c r="BI7" s="315"/>
      <c r="BJ7" s="315"/>
      <c r="BK7" s="315"/>
      <c r="BL7" s="315"/>
      <c r="BM7" s="315"/>
      <c r="BN7" s="315"/>
      <c r="BO7" s="315"/>
      <c r="BP7" s="315"/>
      <c r="BQ7" s="315"/>
      <c r="BR7" s="315"/>
      <c r="BS7" s="315"/>
      <c r="BT7" s="315"/>
      <c r="BU7" s="315"/>
      <c r="BV7" s="315"/>
      <c r="BW7" s="315"/>
      <c r="BX7" s="315"/>
      <c r="BY7" s="315"/>
      <c r="BZ7" s="315"/>
      <c r="CA7" s="315"/>
      <c r="CB7" s="315"/>
      <c r="CC7" s="315"/>
      <c r="CD7" s="315"/>
      <c r="CE7" s="315"/>
      <c r="CF7" s="315"/>
      <c r="CG7" s="315"/>
      <c r="CH7" s="315"/>
      <c r="CI7" s="315"/>
      <c r="CJ7" s="315"/>
      <c r="CK7" s="315"/>
      <c r="CL7" s="315"/>
      <c r="CM7" s="315"/>
      <c r="CN7" s="315"/>
      <c r="CO7" s="315"/>
      <c r="CP7" s="315"/>
      <c r="CQ7" s="315"/>
      <c r="CR7" s="315"/>
      <c r="CS7" s="315"/>
      <c r="CT7" s="315"/>
      <c r="CU7" s="315"/>
      <c r="CV7" s="39" t="s">
        <v>145</v>
      </c>
      <c r="CW7" s="717" t="s">
        <v>346</v>
      </c>
      <c r="DL7" s="314"/>
      <c r="DM7" s="314"/>
      <c r="DN7" s="314"/>
      <c r="DO7" s="314"/>
      <c r="DP7" s="314"/>
      <c r="DQ7" s="314"/>
    </row>
    <row r="8" spans="1:131" ht="15" x14ac:dyDescent="0.2">
      <c r="B8" s="670">
        <v>1</v>
      </c>
      <c r="C8" s="1068" t="str">
        <f>IF($C$3="English",CW8,CV8)</f>
        <v>Konto / flüss. Mittel / Liquiditätssaldo</v>
      </c>
      <c r="D8" s="1179"/>
      <c r="E8" s="1179">
        <f>D37</f>
        <v>0</v>
      </c>
      <c r="F8" s="1179">
        <f t="shared" ref="F8:O8" si="1">E37</f>
        <v>0</v>
      </c>
      <c r="G8" s="1179">
        <f t="shared" si="1"/>
        <v>0</v>
      </c>
      <c r="H8" s="1179">
        <f t="shared" si="1"/>
        <v>0</v>
      </c>
      <c r="I8" s="1179">
        <f t="shared" si="1"/>
        <v>0</v>
      </c>
      <c r="J8" s="1179">
        <f t="shared" si="1"/>
        <v>0</v>
      </c>
      <c r="K8" s="1179">
        <f t="shared" si="1"/>
        <v>0</v>
      </c>
      <c r="L8" s="1179">
        <f t="shared" si="1"/>
        <v>0</v>
      </c>
      <c r="M8" s="1179">
        <f t="shared" si="1"/>
        <v>0</v>
      </c>
      <c r="N8" s="1179">
        <f t="shared" si="1"/>
        <v>0</v>
      </c>
      <c r="O8" s="1179">
        <f t="shared" si="1"/>
        <v>0</v>
      </c>
      <c r="P8" s="1169"/>
      <c r="S8" s="122"/>
      <c r="CV8" s="951" t="s">
        <v>71</v>
      </c>
      <c r="CW8" s="717" t="s">
        <v>347</v>
      </c>
    </row>
    <row r="9" spans="1:131" ht="15" thickBot="1" x14ac:dyDescent="0.25">
      <c r="B9" s="670"/>
      <c r="C9" s="672" t="str">
        <f>IF($C$3="English",CW9,CV9)</f>
        <v>Startguthaben (= Eigenkapital und -leistung aus Tab. 7a)</v>
      </c>
      <c r="D9" s="1168">
        <f>IF('7 Finanzierung|Financing'!$E$10=D6,'7 Finanzierung|Financing'!$D$10,0)+IF('7 Finanzierung|Financing'!$E$12=D6,'7 Finanzierung|Financing'!$D$12,0)</f>
        <v>0</v>
      </c>
      <c r="E9" s="1168">
        <f>IF('7 Finanzierung|Financing'!$E$10=E6,'7 Finanzierung|Financing'!$D$10,0)+IF('7 Finanzierung|Financing'!$E$12=E6,'7 Finanzierung|Financing'!$D$12,0)</f>
        <v>0</v>
      </c>
      <c r="F9" s="1168">
        <f>IF('7 Finanzierung|Financing'!$E$10=F6,'7 Finanzierung|Financing'!$D$10,0)+IF('7 Finanzierung|Financing'!$E$12=F6,'7 Finanzierung|Financing'!$D$12,0)</f>
        <v>0</v>
      </c>
      <c r="G9" s="1168">
        <f>IF('7 Finanzierung|Financing'!$E$10=G6,'7 Finanzierung|Financing'!$D$10,0)+IF('7 Finanzierung|Financing'!$E$12=G6,'7 Finanzierung|Financing'!$D$12,0)</f>
        <v>0</v>
      </c>
      <c r="H9" s="1168">
        <f>IF('7 Finanzierung|Financing'!$E$10=H6,'7 Finanzierung|Financing'!$D$10,0)+IF('7 Finanzierung|Financing'!$E$12=H6,'7 Finanzierung|Financing'!$D$12,0)</f>
        <v>0</v>
      </c>
      <c r="I9" s="1168">
        <f>IF('7 Finanzierung|Financing'!$E$10=I6,'7 Finanzierung|Financing'!$D$10,0)+IF('7 Finanzierung|Financing'!$E$12=I6,'7 Finanzierung|Financing'!$D$12,0)</f>
        <v>0</v>
      </c>
      <c r="J9" s="1168">
        <f>IF('7 Finanzierung|Financing'!$E$10=J6,'7 Finanzierung|Financing'!$D$10,0)+IF('7 Finanzierung|Financing'!$E$12=J6,'7 Finanzierung|Financing'!$D$12,0)</f>
        <v>0</v>
      </c>
      <c r="K9" s="1168">
        <f>IF('7 Finanzierung|Financing'!$E$10=K6,'7 Finanzierung|Financing'!$D$10,0)+IF('7 Finanzierung|Financing'!$E$12=K6,'7 Finanzierung|Financing'!$D$12,0)</f>
        <v>0</v>
      </c>
      <c r="L9" s="1168">
        <f>IF('7 Finanzierung|Financing'!$E$10=L6,'7 Finanzierung|Financing'!$D$10,0)+IF('7 Finanzierung|Financing'!$E$12=L6,'7 Finanzierung|Financing'!$D$12,0)</f>
        <v>0</v>
      </c>
      <c r="M9" s="1168">
        <f>IF('7 Finanzierung|Financing'!$E$10=M6,'7 Finanzierung|Financing'!$D$10,0)+IF('7 Finanzierung|Financing'!$E$12=M6,'7 Finanzierung|Financing'!$D$12,0)</f>
        <v>0</v>
      </c>
      <c r="N9" s="1168">
        <f>IF('7 Finanzierung|Financing'!$E$10=N6,'7 Finanzierung|Financing'!$D$10,0)+IF('7 Finanzierung|Financing'!$E$12=N6,'7 Finanzierung|Financing'!$D$12,0)</f>
        <v>0</v>
      </c>
      <c r="O9" s="1168">
        <f>IF('7 Finanzierung|Financing'!$E$10=O6,'7 Finanzierung|Financing'!$D$10,0)+IF('7 Finanzierung|Financing'!$E$12=O6,'7 Finanzierung|Financing'!$D$12,0)</f>
        <v>0</v>
      </c>
      <c r="P9" s="1169">
        <f>SUM(D9:O9)</f>
        <v>0</v>
      </c>
      <c r="S9" s="122"/>
      <c r="CV9" s="951" t="s">
        <v>228</v>
      </c>
      <c r="CW9" s="717" t="s">
        <v>671</v>
      </c>
    </row>
    <row r="10" spans="1:131" ht="15" thickTop="1" x14ac:dyDescent="0.2">
      <c r="B10" s="673">
        <v>2</v>
      </c>
      <c r="C10" s="674" t="str">
        <f>IF($C$3="English",CW10,CV10)</f>
        <v>Einnahmen / Einzahlungen</v>
      </c>
      <c r="D10" s="1170"/>
      <c r="E10" s="1170"/>
      <c r="F10" s="1170"/>
      <c r="G10" s="1170"/>
      <c r="H10" s="1170"/>
      <c r="I10" s="1170"/>
      <c r="J10" s="1170"/>
      <c r="K10" s="1170"/>
      <c r="L10" s="1170"/>
      <c r="M10" s="1170"/>
      <c r="N10" s="1170"/>
      <c r="O10" s="1170"/>
      <c r="P10" s="1171"/>
      <c r="S10" s="122"/>
      <c r="CV10" s="951" t="s">
        <v>52</v>
      </c>
      <c r="CW10" s="717" t="s">
        <v>348</v>
      </c>
    </row>
    <row r="11" spans="1:131" x14ac:dyDescent="0.2">
      <c r="B11" s="675"/>
      <c r="C11" s="671" t="str">
        <f t="shared" ref="C11:C18" si="2">IF($C$3="English",CW11,CV11)</f>
        <v>Umsatzerlöse (ohne MwSt) (aus Tab 2a)</v>
      </c>
      <c r="D11" s="1168">
        <f>IF($F$3=0,IF(OR($C$4=0,$C$4=1,$C$4=3),'2 Umsatz|Sales'!E34,'2 Umsatz|Sales'!E34-D25-D26),IF($F$3=0.5,IF(OR($C$4=0,$C$4=1,$C$4=3),'2 Umsatz|Sales'!E34/2,('2 Umsatz|Sales'!E34-D25-D26)/2),0))</f>
        <v>0</v>
      </c>
      <c r="E11" s="1168">
        <f>IF($F$3=0,IF(OR($C$4=0,$C$4=1,$C$4=3),'2 Umsatz|Sales'!F34,'2 Umsatz|Sales'!F34-E25-E26),IF($F$3=0.5,IF(OR($C$4=0,$C$4=1,$C$4=3),('2 Umsatz|Sales'!E34+'2 Umsatz|Sales'!F34)/2,('2 Umsatz|Sales'!E34+'2 Umsatz|Sales'!F34-(D25+D26+E25+E26))/2),IF($F$3=1,IF(OR($C$4=0,$C$4=1,$C$4=3),'2 Umsatz|Sales'!E34,'2 Umsatz|Sales'!E34-D25-D26),0)))</f>
        <v>0</v>
      </c>
      <c r="F11" s="1168">
        <f>IF($F$3=0,IF(OR($C$4=0,$C$4=1,$C$4=3),'2 Umsatz|Sales'!G34,'2 Umsatz|Sales'!G34-F25-F26),IF($F$3=0.5,IF(OR($C$4=0,$C$4=1,$C$4=3),('2 Umsatz|Sales'!F34+'2 Umsatz|Sales'!G34)/2,('2 Umsatz|Sales'!F34+'2 Umsatz|Sales'!G34-(E25+E26+F25+F26))/2),IF($F$3=1,IF(OR($C$4=0,$C$4=1,$C$4=3),'2 Umsatz|Sales'!F34,'2 Umsatz|Sales'!F34-E25-E26),IF($F$3=2,IF(OR($C$4=0,$C$4=1,$C$4=3),'2 Umsatz|Sales'!E34,'2 Umsatz|Sales'!E34-D25-D26),0))))</f>
        <v>0</v>
      </c>
      <c r="G11" s="1168">
        <f>IF($F$3=0,IF(OR($C$4=0,$C$4=1,$C$4=3),'2 Umsatz|Sales'!H34,'2 Umsatz|Sales'!H34-G25-G26),IF($F$3=0.5,IF(OR($C$4=0,$C$4=1,$C$4=3),('2 Umsatz|Sales'!G34+'2 Umsatz|Sales'!H34)/2,('2 Umsatz|Sales'!G34+'2 Umsatz|Sales'!H34-(F25+F26+G25+G26))/2),IF($F$3=1,IF(OR($C$4=0,$C$4=1,$C$4=3),'2 Umsatz|Sales'!G34,'2 Umsatz|Sales'!G34-F25-F26),IF($F$3=2,IF(OR($C$4=0,$C$4=1,$C$4=3),'2 Umsatz|Sales'!F34,'2 Umsatz|Sales'!F34-E25-E26),IF($F$3=3,IF(OR($C$4=0,$C$4=1,$C$4=3),'2 Umsatz|Sales'!E34,'2 Umsatz|Sales'!E34-D25-D26),0)))))</f>
        <v>0</v>
      </c>
      <c r="H11" s="1168">
        <f>IF($F$3=0,IF(OR($C$4=0,$C$4=1,$C$4=3),'2 Umsatz|Sales'!I34,'2 Umsatz|Sales'!I34-H25-H26),IF($F$3=0.5,IF(OR($C$4=0,$C$4=1,$C$4=3),('2 Umsatz|Sales'!H34+'2 Umsatz|Sales'!I34)/2,('2 Umsatz|Sales'!H34+'2 Umsatz|Sales'!I34-(G25+G26+H25+H26))/2),IF($F$3=1,IF(OR($C$4=0,$C$4=1,$C$4=3),'2 Umsatz|Sales'!H34,'2 Umsatz|Sales'!H34-G25-G26),IF($F$3=2,IF(OR($C$4=0,$C$4=1,$C$4=3),'2 Umsatz|Sales'!G34,'2 Umsatz|Sales'!G34-F25-F26),IF($F$3=3,IF(OR($C$4=0,$C$4=1,$C$4=3),'2 Umsatz|Sales'!F34,'2 Umsatz|Sales'!F34-E25-E26),0)))))</f>
        <v>0</v>
      </c>
      <c r="I11" s="1168">
        <f>IF($F$3=0,IF(OR($C$4=0,$C$4=1,$C$4=3),'2 Umsatz|Sales'!J34,'2 Umsatz|Sales'!J34-I25-I26),IF($F$3=0.5,IF(OR($C$4=0,$C$4=1,$C$4=3),('2 Umsatz|Sales'!I34+'2 Umsatz|Sales'!J34)/2,('2 Umsatz|Sales'!I34+'2 Umsatz|Sales'!J34-(H25+H26+I25+I26))/2),IF($F$3=1,IF(OR($C$4=0,$C$4=1,$C$4=3),'2 Umsatz|Sales'!I34,'2 Umsatz|Sales'!I34-H25-H26),IF($F$3=2,IF(OR($C$4=0,$C$4=1,$C$4=3),'2 Umsatz|Sales'!H34,'2 Umsatz|Sales'!H34-G25-G26),IF($F$3=3,IF(OR($C$4=0,$C$4=1,$C$4=3),'2 Umsatz|Sales'!G34,'2 Umsatz|Sales'!G34-F25-F26),0)))))</f>
        <v>0</v>
      </c>
      <c r="J11" s="1168">
        <f>IF($F$3=0,IF(OR($C$4=0,$C$4=1,$C$4=3),'2 Umsatz|Sales'!K34,'2 Umsatz|Sales'!K34-J25-J26),IF($F$3=0.5,IF(OR($C$4=0,$C$4=1,$C$4=3),('2 Umsatz|Sales'!J34+'2 Umsatz|Sales'!K34)/2,('2 Umsatz|Sales'!J34+'2 Umsatz|Sales'!K34-(I25+I26+J25+J26))/2),IF($F$3=1,IF(OR($C$4=0,$C$4=1,$C$4=3),'2 Umsatz|Sales'!J34,'2 Umsatz|Sales'!J34-I25-I26),IF($F$3=2,IF(OR($C$4=0,$C$4=1,$C$4=3),'2 Umsatz|Sales'!I34,'2 Umsatz|Sales'!I34-H25-H26),IF($F$3=3,IF(OR($C$4=0,$C$4=1,$C$4=3),'2 Umsatz|Sales'!H34,'2 Umsatz|Sales'!H34-G25-G26),0)))))</f>
        <v>0</v>
      </c>
      <c r="K11" s="1168">
        <f>IF($F$3=0,IF(OR($C$4=0,$C$4=1,$C$4=3),'2 Umsatz|Sales'!L34,'2 Umsatz|Sales'!L34-K25-K26),IF($F$3=0.5,IF(OR($C$4=0,$C$4=1,$C$4=3),('2 Umsatz|Sales'!K34+'2 Umsatz|Sales'!L34)/2,('2 Umsatz|Sales'!K34+'2 Umsatz|Sales'!L34-(J25+J26+K25+K26))/2),IF($F$3=1,IF(OR($C$4=0,$C$4=1,$C$4=3),'2 Umsatz|Sales'!K34,'2 Umsatz|Sales'!K34-J25-J26),IF($F$3=2,IF(OR($C$4=0,$C$4=1,$C$4=3),'2 Umsatz|Sales'!J34,'2 Umsatz|Sales'!J34-I25-I26),IF($F$3=3,IF(OR($C$4=0,$C$4=1,$C$4=3),'2 Umsatz|Sales'!I34,'2 Umsatz|Sales'!I34-H25-H26),0)))))</f>
        <v>0</v>
      </c>
      <c r="L11" s="1168">
        <f>IF($F$3=0,IF(OR($C$4=0,$C$4=1,$C$4=3),'2 Umsatz|Sales'!M34,'2 Umsatz|Sales'!M34-L25-L26),IF($F$3=0.5,IF(OR($C$4=0,$C$4=1,$C$4=3),('2 Umsatz|Sales'!L34+'2 Umsatz|Sales'!M34)/2,('2 Umsatz|Sales'!L34+'2 Umsatz|Sales'!M34-(K25+K26+L25+L26))/2),IF($F$3=1,IF(OR($C$4=0,$C$4=1,$C$4=3),'2 Umsatz|Sales'!L34,'2 Umsatz|Sales'!L34-K25-K26),IF($F$3=2,IF(OR($C$4=0,$C$4=1,$C$4=3),'2 Umsatz|Sales'!K34,'2 Umsatz|Sales'!K34-J25-J26),IF($F$3=3,IF(OR($C$4=0,$C$4=1,$C$4=3),'2 Umsatz|Sales'!J34,'2 Umsatz|Sales'!J34-I25-I26),0)))))</f>
        <v>0</v>
      </c>
      <c r="M11" s="1168">
        <f>IF($F$3=0,IF(OR($C$4=0,$C$4=1,$C$4=3),'2 Umsatz|Sales'!N34,'2 Umsatz|Sales'!N34-M25-M26),IF($F$3=0.5,IF(OR($C$4=0,$C$4=1,$C$4=3),('2 Umsatz|Sales'!M34+'2 Umsatz|Sales'!N34)/2,('2 Umsatz|Sales'!M34+'2 Umsatz|Sales'!N34-(L25+L26+M25+M26))/2),IF($F$3=1,IF(OR($C$4=0,$C$4=1,$C$4=3),'2 Umsatz|Sales'!M34,'2 Umsatz|Sales'!M34-L25-L26),IF($F$3=2,IF(OR($C$4=0,$C$4=1,$C$4=3),'2 Umsatz|Sales'!L34,'2 Umsatz|Sales'!L34-K25-K26),IF($F$3=3,IF(OR($C$4=0,$C$4=1,$C$4=3),'2 Umsatz|Sales'!K34,'2 Umsatz|Sales'!K34-J25-J26),0)))))</f>
        <v>0</v>
      </c>
      <c r="N11" s="1168">
        <f>IF($F$3=0,IF(OR($C$4=0,$C$4=1,$C$4=3),'2 Umsatz|Sales'!O34,'2 Umsatz|Sales'!O34-N25-N26),IF($F$3=0.5,IF(OR($C$4=0,$C$4=1,$C$4=3),('2 Umsatz|Sales'!N34+'2 Umsatz|Sales'!O34)/2,('2 Umsatz|Sales'!N34+'2 Umsatz|Sales'!O34-(M25+M26+N25+N26))/2),IF($F$3=1,IF(OR($C$4=0,$C$4=1,$C$4=3),'2 Umsatz|Sales'!N34,'2 Umsatz|Sales'!N34-M25-M26),IF($F$3=2,IF(OR($C$4=0,$C$4=1,$C$4=3),'2 Umsatz|Sales'!M34,'2 Umsatz|Sales'!M34-L25-L26),IF($F$3=3,IF(OR($C$4=0,$C$4=1,$C$4=3),'2 Umsatz|Sales'!L34,'2 Umsatz|Sales'!L34-K25-K26),0)))))</f>
        <v>0</v>
      </c>
      <c r="O11" s="1168">
        <f>IF($F$3=0,IF(OR($C$4=0,$C$4=1,$C$4=3),'2 Umsatz|Sales'!P34,'2 Umsatz|Sales'!P34-O25-O26),IF($F$3=0.5,IF(OR($C$4=0,$C$4=1,$C$4=3),('2 Umsatz|Sales'!O34+'2 Umsatz|Sales'!P34)/2,('2 Umsatz|Sales'!O34+'2 Umsatz|Sales'!P34-(N25+N26+O25+O26))/2),IF($F$3=1,IF(OR($C$4=0,$C$4=1,$C$4=3),'2 Umsatz|Sales'!O34,'2 Umsatz|Sales'!O34-N25-N26),IF($F$3=2,IF(OR($C$4=0,$C$4=1,$C$4=3),'2 Umsatz|Sales'!N34,'2 Umsatz|Sales'!N34-M25-M26),IF($F$3=3,IF(OR($C$4=0,$C$4=1,$C$4=3),'2 Umsatz|Sales'!M34,'2 Umsatz|Sales'!M34-L25-L26),0)))))</f>
        <v>0</v>
      </c>
      <c r="P11" s="1169">
        <f>SUM(D11:O11)</f>
        <v>0</v>
      </c>
      <c r="S11" s="122"/>
      <c r="CV11" s="39" t="str">
        <f>"Umsatzerlöse "&amp;IF($C$6=0,"(ohne MwSt)","(mit MwSt)")&amp; " (aus Tab 2a)"</f>
        <v>Umsatzerlöse (ohne MwSt) (aus Tab 2a)</v>
      </c>
      <c r="CW11" s="58" t="str">
        <f>"Sales "&amp;IF($C$6=0,"(w/o VAT)","(includ. VAT)")&amp; " (from tab 2a)"</f>
        <v>Sales (w/o VAT) (from tab 2a)</v>
      </c>
    </row>
    <row r="12" spans="1:131" x14ac:dyDescent="0.2">
      <c r="B12" s="675"/>
      <c r="C12" s="671" t="str">
        <f>IF($C$3="English",CW12,CV12)</f>
        <v>in Rechnung gestellte MwSt. auf Umsatzerlöse (Zeile 24+25  Tab 6a)</v>
      </c>
      <c r="D12" s="1168">
        <f>IF($C$4=1,"",IF($F$3=0,D25+D26,IF($F$3=0.5,(D25+D26)/2,0)))</f>
        <v>0</v>
      </c>
      <c r="E12" s="1168">
        <f>IF($C$4=1,"",IF($F$3=0,E25+E26,IF($F$3=0.5,(D25+E25+D26+E26)/2,IF($F$3=1,D25+D26,0))))</f>
        <v>0</v>
      </c>
      <c r="F12" s="1168">
        <f>IF($C$4=1,"",IF($F$3=0,F25+F26,IF($F$3=0.5,(E25+F25+E26+F26)/2,IF($F$3=1,E25+E26,IF($F$3=2,D25+D26,0)))))</f>
        <v>0</v>
      </c>
      <c r="G12" s="1168">
        <f>IF($C$4=1,"",IF($F$3=0,G25+G26,IF($F$3=0.5,(F25+G25+F26+G26)/2,IF($F$3=1,F25+F26,IF($F$3=2,E25+E26,IF($F$3=3,D25+D26,0))))))</f>
        <v>0</v>
      </c>
      <c r="H12" s="1168">
        <f t="shared" ref="H12:O12" si="3">IF($C$4=1,"",IF($F$3=0,H25+H26,IF($F$3=0.5,(G25+H25+G26+H26)/2,IF($F$3=1,G25+G26,IF($F$3=2,F25+F26,IF($F$3=3,E25+E26,0))))))</f>
        <v>0</v>
      </c>
      <c r="I12" s="1168">
        <f t="shared" si="3"/>
        <v>0</v>
      </c>
      <c r="J12" s="1168">
        <f t="shared" si="3"/>
        <v>0</v>
      </c>
      <c r="K12" s="1168">
        <f t="shared" si="3"/>
        <v>0</v>
      </c>
      <c r="L12" s="1168">
        <f t="shared" si="3"/>
        <v>0</v>
      </c>
      <c r="M12" s="1168">
        <f t="shared" si="3"/>
        <v>0</v>
      </c>
      <c r="N12" s="1168">
        <f t="shared" si="3"/>
        <v>0</v>
      </c>
      <c r="O12" s="1168">
        <f t="shared" si="3"/>
        <v>0</v>
      </c>
      <c r="P12" s="1169">
        <f t="shared" ref="P12:P17" si="4">IF(C12="","",SUM(D12:O12))</f>
        <v>0</v>
      </c>
      <c r="S12" s="122"/>
      <c r="CV12" s="39" t="str">
        <f>IF($C$4=1,"","in Rechnung gestellte MwSt. auf Umsatzerlöse (Zeile 24+25  Tab 6a)")</f>
        <v>in Rechnung gestellte MwSt. auf Umsatzerlöse (Zeile 24+25  Tab 6a)</v>
      </c>
      <c r="CW12" s="717" t="str">
        <f>IF($C$4=1,"","Charged  VAT for sales (line 24+25 tab 6a)")</f>
        <v>Charged  VAT for sales (line 24+25 tab 6a)</v>
      </c>
    </row>
    <row r="13" spans="1:131" x14ac:dyDescent="0.2">
      <c r="B13" s="675"/>
      <c r="C13" s="671" t="str">
        <f t="shared" si="2"/>
        <v>Finanzierung (aus Tab. 7a o. Eigenanteil)</v>
      </c>
      <c r="D13" s="1168">
        <f>IF(D6='7 Finanzierung|Financing'!F131,'7 Finanzierung|Financing'!F129,"")</f>
        <v>0</v>
      </c>
      <c r="E13" s="1168">
        <f>IF(E6='7 Finanzierung|Financing'!G131,'7 Finanzierung|Financing'!G129,"")</f>
        <v>0</v>
      </c>
      <c r="F13" s="1168">
        <f>IF(F6='7 Finanzierung|Financing'!H131,'7 Finanzierung|Financing'!H129,"")</f>
        <v>0</v>
      </c>
      <c r="G13" s="1168">
        <f>IF(G6='7 Finanzierung|Financing'!I131,'7 Finanzierung|Financing'!I129,"")</f>
        <v>0</v>
      </c>
      <c r="H13" s="1168">
        <f>IF(H6='7 Finanzierung|Financing'!J131,'7 Finanzierung|Financing'!J129,"")</f>
        <v>0</v>
      </c>
      <c r="I13" s="1168">
        <f>IF(I6='7 Finanzierung|Financing'!K131,'7 Finanzierung|Financing'!K129,"")</f>
        <v>0</v>
      </c>
      <c r="J13" s="1168">
        <f>IF(J6='7 Finanzierung|Financing'!L131,'7 Finanzierung|Financing'!L129,"")</f>
        <v>0</v>
      </c>
      <c r="K13" s="1168">
        <f>IF(K6='7 Finanzierung|Financing'!M131,'7 Finanzierung|Financing'!M129,"")</f>
        <v>0</v>
      </c>
      <c r="L13" s="1168">
        <f>IF(L6='7 Finanzierung|Financing'!N131,'7 Finanzierung|Financing'!N129,"")</f>
        <v>0</v>
      </c>
      <c r="M13" s="1168">
        <f>IF(M6='7 Finanzierung|Financing'!O131,'7 Finanzierung|Financing'!O129,"")</f>
        <v>0</v>
      </c>
      <c r="N13" s="1168">
        <f>IF(N6='7 Finanzierung|Financing'!P131,'7 Finanzierung|Financing'!P129,"")</f>
        <v>0</v>
      </c>
      <c r="O13" s="1168">
        <f>IF(O6='7 Finanzierung|Financing'!Q131,'7 Finanzierung|Financing'!Q129,"")</f>
        <v>0</v>
      </c>
      <c r="P13" s="1169">
        <f t="shared" si="4"/>
        <v>0</v>
      </c>
      <c r="S13" s="705"/>
      <c r="CV13" s="39" t="str">
        <f>"Finanzierung (aus Tab. 7a o. Eigenanteil)"</f>
        <v>Finanzierung (aus Tab. 7a o. Eigenanteil)</v>
      </c>
      <c r="CW13" s="283" t="s">
        <v>349</v>
      </c>
    </row>
    <row r="14" spans="1:131" x14ac:dyDescent="0.2">
      <c r="B14" s="675"/>
      <c r="C14" s="671" t="str">
        <f>IF($C$3="English",CW14,CV14)</f>
        <v>MwSt-Rückerstattung aus Betriebsausgaben (Zeilen 22+23 Tab. 6a)</v>
      </c>
      <c r="D14" s="1168">
        <f>IF($C$4=1,"",D23+D24)</f>
        <v>0</v>
      </c>
      <c r="E14" s="1168">
        <f t="shared" ref="E14:O14" si="5">IF($C$4=1,"",E23+E24)</f>
        <v>0</v>
      </c>
      <c r="F14" s="1168">
        <f t="shared" si="5"/>
        <v>0</v>
      </c>
      <c r="G14" s="1168">
        <f t="shared" si="5"/>
        <v>0</v>
      </c>
      <c r="H14" s="1168">
        <f t="shared" si="5"/>
        <v>0</v>
      </c>
      <c r="I14" s="1168">
        <f t="shared" si="5"/>
        <v>0</v>
      </c>
      <c r="J14" s="1168">
        <f t="shared" si="5"/>
        <v>0</v>
      </c>
      <c r="K14" s="1168">
        <f t="shared" si="5"/>
        <v>0</v>
      </c>
      <c r="L14" s="1168">
        <f t="shared" si="5"/>
        <v>0</v>
      </c>
      <c r="M14" s="1168">
        <f t="shared" si="5"/>
        <v>0</v>
      </c>
      <c r="N14" s="1168">
        <f t="shared" si="5"/>
        <v>0</v>
      </c>
      <c r="O14" s="1168">
        <f t="shared" si="5"/>
        <v>0</v>
      </c>
      <c r="P14" s="1169">
        <f t="shared" si="4"/>
        <v>0</v>
      </c>
      <c r="S14" s="122"/>
      <c r="CV14" s="39" t="str">
        <f>IF(C4=1,"","MwSt-Rückerstattung aus Betriebsausgaben (Zeilen 22+23 Tab. 6a)")</f>
        <v>MwSt-Rückerstattung aus Betriebsausgaben (Zeilen 22+23 Tab. 6a)</v>
      </c>
      <c r="CW14" s="58" t="str">
        <f>IF(C4=1,"","VAT credits from business expenses (lines 22+23 tab. 6a)")</f>
        <v>VAT credits from business expenses (lines 22+23 tab. 6a)</v>
      </c>
    </row>
    <row r="15" spans="1:131" x14ac:dyDescent="0.2">
      <c r="B15" s="675"/>
      <c r="C15" s="671" t="str">
        <f t="shared" si="2"/>
        <v>MwSt-Rückerstattung aus Anschaffungen (Zeile 18 Tab. 6a)</v>
      </c>
      <c r="D15" s="1168">
        <f>D21</f>
        <v>0</v>
      </c>
      <c r="E15" s="1168">
        <f t="shared" ref="E15:O15" si="6">E21</f>
        <v>0</v>
      </c>
      <c r="F15" s="1168">
        <f t="shared" si="6"/>
        <v>0</v>
      </c>
      <c r="G15" s="1168">
        <f t="shared" si="6"/>
        <v>0</v>
      </c>
      <c r="H15" s="1168">
        <f t="shared" si="6"/>
        <v>0</v>
      </c>
      <c r="I15" s="1168">
        <f t="shared" si="6"/>
        <v>0</v>
      </c>
      <c r="J15" s="1168">
        <f t="shared" si="6"/>
        <v>0</v>
      </c>
      <c r="K15" s="1168">
        <f t="shared" si="6"/>
        <v>0</v>
      </c>
      <c r="L15" s="1168">
        <f t="shared" si="6"/>
        <v>0</v>
      </c>
      <c r="M15" s="1168">
        <f t="shared" si="6"/>
        <v>0</v>
      </c>
      <c r="N15" s="1168">
        <f t="shared" si="6"/>
        <v>0</v>
      </c>
      <c r="O15" s="1168">
        <f t="shared" si="6"/>
        <v>0</v>
      </c>
      <c r="P15" s="1169">
        <f t="shared" si="4"/>
        <v>0</v>
      </c>
      <c r="S15" s="122"/>
      <c r="CV15" s="39" t="str">
        <f>IF(C4=1,"","MwSt-Rückerstattung aus Anschaffungen (Zeile 18 Tab. 6a)")</f>
        <v>MwSt-Rückerstattung aus Anschaffungen (Zeile 18 Tab. 6a)</v>
      </c>
      <c r="CW15" s="58" t="str">
        <f>IF($C$4=1,"","VAT credits from investments (line 18 tab. 6a)")</f>
        <v>VAT credits from investments (line 18 tab. 6a)</v>
      </c>
    </row>
    <row r="16" spans="1:131" x14ac:dyDescent="0.2">
      <c r="B16" s="1429"/>
      <c r="C16" s="1430" t="str">
        <f t="shared" si="2"/>
        <v>Forderungsausgleich</v>
      </c>
      <c r="D16" s="1431"/>
      <c r="E16" s="1431"/>
      <c r="F16" s="1431"/>
      <c r="G16" s="1431"/>
      <c r="H16" s="1431"/>
      <c r="I16" s="1431"/>
      <c r="J16" s="1431"/>
      <c r="K16" s="1431"/>
      <c r="L16" s="1431"/>
      <c r="M16" s="1431"/>
      <c r="N16" s="1431"/>
      <c r="O16" s="1431"/>
      <c r="P16" s="1432">
        <f t="shared" si="4"/>
        <v>0</v>
      </c>
      <c r="S16" s="1546"/>
      <c r="CV16" s="39" t="s">
        <v>60</v>
      </c>
      <c r="CW16" s="283" t="s">
        <v>350</v>
      </c>
    </row>
    <row r="17" spans="2:101" x14ac:dyDescent="0.2">
      <c r="B17" s="1429"/>
      <c r="C17" s="1433" t="s">
        <v>232</v>
      </c>
      <c r="D17" s="1434"/>
      <c r="E17" s="1434"/>
      <c r="F17" s="1434"/>
      <c r="G17" s="1434"/>
      <c r="H17" s="1434"/>
      <c r="I17" s="1434"/>
      <c r="J17" s="1434"/>
      <c r="K17" s="1434"/>
      <c r="L17" s="1434"/>
      <c r="M17" s="1434"/>
      <c r="N17" s="1434"/>
      <c r="O17" s="1434"/>
      <c r="P17" s="1435">
        <f t="shared" si="4"/>
        <v>0</v>
      </c>
      <c r="S17" s="1546"/>
      <c r="CV17" s="484" t="s">
        <v>232</v>
      </c>
      <c r="CW17" s="717" t="s">
        <v>672</v>
      </c>
    </row>
    <row r="18" spans="2:101" ht="15.75" thickBot="1" x14ac:dyDescent="0.25">
      <c r="B18" s="676"/>
      <c r="C18" s="1065" t="str">
        <f t="shared" si="2"/>
        <v>Summe Liquiditätszugang</v>
      </c>
      <c r="D18" s="1172">
        <f t="shared" ref="D18:P18" si="7">SUM(D11:D17)</f>
        <v>0</v>
      </c>
      <c r="E18" s="1172">
        <f t="shared" si="7"/>
        <v>0</v>
      </c>
      <c r="F18" s="1172">
        <f t="shared" si="7"/>
        <v>0</v>
      </c>
      <c r="G18" s="1172">
        <f t="shared" si="7"/>
        <v>0</v>
      </c>
      <c r="H18" s="1172">
        <f t="shared" si="7"/>
        <v>0</v>
      </c>
      <c r="I18" s="1172">
        <f t="shared" si="7"/>
        <v>0</v>
      </c>
      <c r="J18" s="1172">
        <f t="shared" si="7"/>
        <v>0</v>
      </c>
      <c r="K18" s="1172">
        <f t="shared" si="7"/>
        <v>0</v>
      </c>
      <c r="L18" s="1172">
        <f t="shared" si="7"/>
        <v>0</v>
      </c>
      <c r="M18" s="1172">
        <f t="shared" si="7"/>
        <v>0</v>
      </c>
      <c r="N18" s="1172">
        <f t="shared" si="7"/>
        <v>0</v>
      </c>
      <c r="O18" s="1172">
        <f t="shared" si="7"/>
        <v>0</v>
      </c>
      <c r="P18" s="1173">
        <f t="shared" si="7"/>
        <v>0</v>
      </c>
      <c r="S18" s="122"/>
      <c r="CV18" s="39" t="s">
        <v>53</v>
      </c>
      <c r="CW18" s="717" t="s">
        <v>673</v>
      </c>
    </row>
    <row r="19" spans="2:101" ht="15" thickTop="1" x14ac:dyDescent="0.2">
      <c r="B19" s="670">
        <v>3</v>
      </c>
      <c r="C19" s="674" t="str">
        <f t="shared" ref="C19:C24" si="8">IF($C$3="English",CW19,CV19)</f>
        <v>Ausgaben / Auszahlungen</v>
      </c>
      <c r="D19" s="1168"/>
      <c r="E19" s="1168"/>
      <c r="F19" s="1168"/>
      <c r="G19" s="1168"/>
      <c r="H19" s="1168"/>
      <c r="I19" s="1168"/>
      <c r="J19" s="1168"/>
      <c r="K19" s="1168"/>
      <c r="L19" s="1168"/>
      <c r="M19" s="1168"/>
      <c r="N19" s="1168"/>
      <c r="O19" s="1168"/>
      <c r="P19" s="1169"/>
      <c r="S19" s="122"/>
      <c r="CV19" s="39" t="s">
        <v>54</v>
      </c>
      <c r="CW19" s="717" t="s">
        <v>674</v>
      </c>
    </row>
    <row r="20" spans="2:101" x14ac:dyDescent="0.2">
      <c r="B20" s="670"/>
      <c r="C20" s="672" t="str">
        <f t="shared" si="8"/>
        <v>Anschaffungen ohne MwSt (aus Tab 3a)</v>
      </c>
      <c r="D20" s="1168">
        <f>'3 Anschaffungen|Investment'!H375</f>
        <v>0</v>
      </c>
      <c r="E20" s="1168">
        <f>'3 Anschaffungen|Investment'!I375</f>
        <v>0</v>
      </c>
      <c r="F20" s="1168">
        <f>'3 Anschaffungen|Investment'!J375</f>
        <v>0</v>
      </c>
      <c r="G20" s="1168">
        <f>'3 Anschaffungen|Investment'!K375</f>
        <v>0</v>
      </c>
      <c r="H20" s="1168">
        <f>'3 Anschaffungen|Investment'!L375</f>
        <v>0</v>
      </c>
      <c r="I20" s="1168">
        <f>'3 Anschaffungen|Investment'!M375</f>
        <v>0</v>
      </c>
      <c r="J20" s="1168">
        <f>'3 Anschaffungen|Investment'!N375</f>
        <v>0</v>
      </c>
      <c r="K20" s="1168">
        <f>'3 Anschaffungen|Investment'!O375</f>
        <v>0</v>
      </c>
      <c r="L20" s="1168">
        <f>'3 Anschaffungen|Investment'!P375</f>
        <v>0</v>
      </c>
      <c r="M20" s="1168">
        <f>'3 Anschaffungen|Investment'!R375</f>
        <v>0</v>
      </c>
      <c r="N20" s="1168">
        <f>'3 Anschaffungen|Investment'!S375</f>
        <v>0</v>
      </c>
      <c r="O20" s="1168">
        <f>'3 Anschaffungen|Investment'!T375</f>
        <v>0</v>
      </c>
      <c r="P20" s="1169">
        <f t="shared" ref="P20:P27" si="9">IF(C20="","",SUM(D20:O20))</f>
        <v>0</v>
      </c>
      <c r="S20" s="122"/>
      <c r="CV20" s="39" t="str">
        <f>"Anschaffungen"&amp;IF(C4&lt;&gt;1," ohne MwSt", " mit MwSt") &amp;" (aus Tab 3a)"</f>
        <v>Anschaffungen ohne MwSt (aus Tab 3a)</v>
      </c>
      <c r="CW20" s="58" t="str">
        <f>"Acquirements"&amp;IF(C4&lt;&gt;1," w/o VAT", " incl VAT") &amp;" (out of tab 3a)"</f>
        <v>Acquirements w/o VAT (out of tab 3a)</v>
      </c>
    </row>
    <row r="21" spans="2:101" x14ac:dyDescent="0.2">
      <c r="B21" s="670"/>
      <c r="C21" s="672" t="str">
        <f t="shared" si="8"/>
        <v>auf Anschaffungen bezahlte 19% MwSt.</v>
      </c>
      <c r="D21" s="1168">
        <f>IF('Deckblatt Gruender|Data Founder'!$I$13='Deckblatt Gruender|Data Founder'!$G$1,"",D20*IF('3 Anschaffungen|Investment'!W13&gt;0,0,$B$2))</f>
        <v>0</v>
      </c>
      <c r="E21" s="1168">
        <f>IF('Deckblatt Gruender|Data Founder'!$I$13='Deckblatt Gruender|Data Founder'!$G$1,"",E20*IF('3 Anschaffungen|Investment'!W14&gt;0,0,$B$2))</f>
        <v>0</v>
      </c>
      <c r="F21" s="1168">
        <f>IF('Deckblatt Gruender|Data Founder'!$I$13='Deckblatt Gruender|Data Founder'!$G$1,"",F20*IF('3 Anschaffungen|Investment'!W15&gt;0,0,$B$2))</f>
        <v>0</v>
      </c>
      <c r="G21" s="1168">
        <f>IF('Deckblatt Gruender|Data Founder'!$I$13='Deckblatt Gruender|Data Founder'!$G$1,"",G20*IF('3 Anschaffungen|Investment'!W16&gt;0,0,$B$2))</f>
        <v>0</v>
      </c>
      <c r="H21" s="1168">
        <f>IF('Deckblatt Gruender|Data Founder'!$I$13='Deckblatt Gruender|Data Founder'!$G$1,"",H20*IF('3 Anschaffungen|Investment'!W17&gt;0,0,$B$2))</f>
        <v>0</v>
      </c>
      <c r="I21" s="1168">
        <f>IF('Deckblatt Gruender|Data Founder'!$I$13='Deckblatt Gruender|Data Founder'!$G$1,"",I20*IF('3 Anschaffungen|Investment'!W18&gt;0,0,$B$2))</f>
        <v>0</v>
      </c>
      <c r="J21" s="1168">
        <f>IF('Deckblatt Gruender|Data Founder'!$I$13='Deckblatt Gruender|Data Founder'!$G$1,"",J20*IF('3 Anschaffungen|Investment'!W19&gt;0,0,$B$2))</f>
        <v>0</v>
      </c>
      <c r="K21" s="1168">
        <f>IF('Deckblatt Gruender|Data Founder'!$I$13='Deckblatt Gruender|Data Founder'!$G$1,"",K20*IF('3 Anschaffungen|Investment'!W20&gt;0,0,$B$2))</f>
        <v>0</v>
      </c>
      <c r="L21" s="1168">
        <f>IF('Deckblatt Gruender|Data Founder'!$I$13='Deckblatt Gruender|Data Founder'!$G$1,"",L20*IF('3 Anschaffungen|Investment'!W21&gt;0,0,$B$2))</f>
        <v>0</v>
      </c>
      <c r="M21" s="1168">
        <f>IF('Deckblatt Gruender|Data Founder'!$I$13='Deckblatt Gruender|Data Founder'!$G$1,"",M20*IF('3 Anschaffungen|Investment'!W22&gt;0,0,$B$2))</f>
        <v>0</v>
      </c>
      <c r="N21" s="1168">
        <f>IF('Deckblatt Gruender|Data Founder'!$I$13='Deckblatt Gruender|Data Founder'!$G$1,"",N20*IF('3 Anschaffungen|Investment'!W23&gt;0,0,$B$2))</f>
        <v>0</v>
      </c>
      <c r="O21" s="1168">
        <f>IF('Deckblatt Gruender|Data Founder'!$I$13='Deckblatt Gruender|Data Founder'!$G$1,"",O20*IF('3 Anschaffungen|Investment'!W24&gt;0,0,$B$2))</f>
        <v>0</v>
      </c>
      <c r="P21" s="1169">
        <f t="shared" si="9"/>
        <v>0</v>
      </c>
      <c r="S21" s="122"/>
      <c r="CV21" s="39" t="str">
        <f>IF(C4=1,"","auf Anschaffungen bezahlte " &amp; $B$2*100 &amp; "% MwSt.")</f>
        <v>auf Anschaffungen bezahlte 19% MwSt.</v>
      </c>
      <c r="CW21" s="58" t="str">
        <f>IF($C$4=1,"","For acquirements paid " &amp; $B$2*100 &amp; "% VAT")</f>
        <v>For acquirements paid 19% VAT</v>
      </c>
    </row>
    <row r="22" spans="2:101" x14ac:dyDescent="0.2">
      <c r="B22" s="670"/>
      <c r="C22" s="672" t="str">
        <f>IF($C$3="English",CW22,CV22)</f>
        <v>Betriebskosten I ohne MwSt (Übernahme aus Tab. 4a)</v>
      </c>
      <c r="D22" s="1168">
        <f>IF(OR($C$4=0,$C$4=1,$C$4=3),'4 Betriebskosten|Operation Ex'!D67,'4 Betriebskosten|Operation Ex'!D67-D23-D24)</f>
        <v>0</v>
      </c>
      <c r="E22" s="1168">
        <f>IF(OR($C$4=0,$C$4=1,$C$4=3),'4 Betriebskosten|Operation Ex'!E67,'4 Betriebskosten|Operation Ex'!E67-E23-E24)</f>
        <v>0</v>
      </c>
      <c r="F22" s="1168">
        <f>IF(OR($C$4=0,$C$4=1,$C$4=3),'4 Betriebskosten|Operation Ex'!F67,'4 Betriebskosten|Operation Ex'!F67-F23-F24)</f>
        <v>0</v>
      </c>
      <c r="G22" s="1168">
        <f>IF(OR($C$4=0,$C$4=1,$C$4=3),'4 Betriebskosten|Operation Ex'!G67,'4 Betriebskosten|Operation Ex'!G67-G23-G24)</f>
        <v>0</v>
      </c>
      <c r="H22" s="1168">
        <f>IF(OR($C$4=0,$C$4=1,$C$4=3),'4 Betriebskosten|Operation Ex'!H67,'4 Betriebskosten|Operation Ex'!H67-H23-H24)</f>
        <v>0</v>
      </c>
      <c r="I22" s="1168">
        <f>IF(OR($C$4=0,$C$4=1,$C$4=3),'4 Betriebskosten|Operation Ex'!I67,'4 Betriebskosten|Operation Ex'!I67-I23-I24)</f>
        <v>0</v>
      </c>
      <c r="J22" s="1168">
        <f>IF(OR($C$4=0,$C$4=1,$C$4=3),'4 Betriebskosten|Operation Ex'!J67,'4 Betriebskosten|Operation Ex'!J67-J23-J24)</f>
        <v>0</v>
      </c>
      <c r="K22" s="1168">
        <f>IF(OR($C$4=0,$C$4=1,$C$4=3),'4 Betriebskosten|Operation Ex'!K67,'4 Betriebskosten|Operation Ex'!K67-K23-K24)</f>
        <v>0</v>
      </c>
      <c r="L22" s="1168">
        <f>IF(OR($C$4=0,$C$4=1,$C$4=3),'4 Betriebskosten|Operation Ex'!L67,'4 Betriebskosten|Operation Ex'!L67-L23-L24)</f>
        <v>0</v>
      </c>
      <c r="M22" s="1168">
        <f>IF(OR($C$4=0,$C$4=1,$C$4=3),'4 Betriebskosten|Operation Ex'!M67,'4 Betriebskosten|Operation Ex'!M67-M23-M24)</f>
        <v>0</v>
      </c>
      <c r="N22" s="1168">
        <f>IF(OR($C$4=0,$C$4=1,$C$4=3),'4 Betriebskosten|Operation Ex'!N67,'4 Betriebskosten|Operation Ex'!N67-N23-N24)</f>
        <v>0</v>
      </c>
      <c r="O22" s="1168">
        <f>IF(OR($C$4=0,$C$4=1,$C$4=3),'4 Betriebskosten|Operation Ex'!O67,'4 Betriebskosten|Operation Ex'!O67-O23-O24)</f>
        <v>0</v>
      </c>
      <c r="P22" s="1169">
        <f t="shared" si="9"/>
        <v>0</v>
      </c>
      <c r="S22" s="122"/>
      <c r="CV22" s="39" t="str">
        <f>IF($C$4=1,"Betriebskosten I mit MwSt (Übernahme aus Tab. 4a)","Betriebskosten I ohne MwSt (Übernahme aus Tab. 4" &amp; IF(C$4&gt;0,"c","a") &amp; ")")</f>
        <v>Betriebskosten I ohne MwSt (Übernahme aus Tab. 4a)</v>
      </c>
      <c r="CW22" s="58" t="str">
        <f>IF($C$4=1,"Opereting Costs I inculding VAT (from tab. 4a)","Operating Costs I w/o VAT (from Tab. 4" &amp; IF($C4&gt;0,"c","a") &amp; ")")</f>
        <v>Operating Costs I w/o VAT (from Tab. 4a)</v>
      </c>
    </row>
    <row r="23" spans="2:101" x14ac:dyDescent="0.2">
      <c r="B23" s="670"/>
      <c r="C23" s="672" t="str">
        <f t="shared" si="8"/>
        <v>auf Betriebskosten bezahlte MwSt 19% (aus Tab. 4a Anhang)</v>
      </c>
      <c r="D23" s="1168">
        <f>IF($C$4&lt;&gt;1,'4 Betriebskosten|Operation Ex'!D73,"")</f>
        <v>0</v>
      </c>
      <c r="E23" s="1168">
        <f>IF($C$4&lt;&gt;1,'4 Betriebskosten|Operation Ex'!E73,"")</f>
        <v>0</v>
      </c>
      <c r="F23" s="1168">
        <f>IF($C$4&lt;&gt;1,'4 Betriebskosten|Operation Ex'!F73,"")</f>
        <v>0</v>
      </c>
      <c r="G23" s="1168">
        <f>IF($C$4&lt;&gt;1,'4 Betriebskosten|Operation Ex'!G73,"")</f>
        <v>0</v>
      </c>
      <c r="H23" s="1168">
        <f>IF($C$4&lt;&gt;1,'4 Betriebskosten|Operation Ex'!H73,"")</f>
        <v>0</v>
      </c>
      <c r="I23" s="1168">
        <f>IF($C$4&lt;&gt;1,'4 Betriebskosten|Operation Ex'!I73,"")</f>
        <v>0</v>
      </c>
      <c r="J23" s="1168">
        <f>IF($C$4&lt;&gt;1,'4 Betriebskosten|Operation Ex'!J73,"")</f>
        <v>0</v>
      </c>
      <c r="K23" s="1168">
        <f>IF($C$4&lt;&gt;1,'4 Betriebskosten|Operation Ex'!K73,"")</f>
        <v>0</v>
      </c>
      <c r="L23" s="1168">
        <f>IF($C$4&lt;&gt;1,'4 Betriebskosten|Operation Ex'!L73,"")</f>
        <v>0</v>
      </c>
      <c r="M23" s="1168">
        <f>IF($C$4&lt;&gt;1,'4 Betriebskosten|Operation Ex'!M73,"")</f>
        <v>0</v>
      </c>
      <c r="N23" s="1168">
        <f>IF($C$4&lt;&gt;1,'4 Betriebskosten|Operation Ex'!N73,"")</f>
        <v>0</v>
      </c>
      <c r="O23" s="1168">
        <f>IF($C$4&lt;&gt;1,'4 Betriebskosten|Operation Ex'!O73,"")</f>
        <v>0</v>
      </c>
      <c r="P23" s="1169">
        <f t="shared" si="9"/>
        <v>0</v>
      </c>
      <c r="S23" s="122"/>
      <c r="CV23" s="952" t="str">
        <f>IF($C$4=1,"","auf Betriebskosten bezahlte MwSt "&amp;$B$2*100 &amp;"% (aus Tab. 4a Anhang)")</f>
        <v>auf Betriebskosten bezahlte MwSt 19% (aus Tab. 4a Anhang)</v>
      </c>
      <c r="CW23" s="58" t="str">
        <f>IF(C4=1,"","Payed VAT "&amp;$B$2*100 &amp;"%  for Costs of Operating (from tab. 4a annex)")</f>
        <v>Payed VAT 19%  for Costs of Operating (from tab. 4a annex)</v>
      </c>
    </row>
    <row r="24" spans="2:101" x14ac:dyDescent="0.2">
      <c r="B24" s="670"/>
      <c r="C24" s="672" t="str">
        <f t="shared" si="8"/>
        <v>auf Betriebskosten bezahlte MwSt 7% (aus Tab. 4a Anhang)</v>
      </c>
      <c r="D24" s="1168">
        <f>IF($C$4&lt;&gt;1,'4 Betriebskosten|Operation Ex'!D74,"")</f>
        <v>0</v>
      </c>
      <c r="E24" s="1168">
        <f>IF($C$4&lt;&gt;1,'4 Betriebskosten|Operation Ex'!E74,"")</f>
        <v>0</v>
      </c>
      <c r="F24" s="1168">
        <f>IF($C$4&lt;&gt;1,'4 Betriebskosten|Operation Ex'!F74,"")</f>
        <v>0</v>
      </c>
      <c r="G24" s="1168">
        <f>IF($C$4&lt;&gt;1,'4 Betriebskosten|Operation Ex'!G74,"")</f>
        <v>0</v>
      </c>
      <c r="H24" s="1168">
        <f>IF($C$4&lt;&gt;1,'4 Betriebskosten|Operation Ex'!H74,"")</f>
        <v>0</v>
      </c>
      <c r="I24" s="1168">
        <f>IF($C$4&lt;&gt;1,'4 Betriebskosten|Operation Ex'!I74,"")</f>
        <v>0</v>
      </c>
      <c r="J24" s="1168">
        <f>IF($C$4&lt;&gt;1,'4 Betriebskosten|Operation Ex'!J74,"")</f>
        <v>0</v>
      </c>
      <c r="K24" s="1168">
        <f>IF($C$4&lt;&gt;1,'4 Betriebskosten|Operation Ex'!K74,"")</f>
        <v>0</v>
      </c>
      <c r="L24" s="1168">
        <f>IF($C$4&lt;&gt;1,'4 Betriebskosten|Operation Ex'!L74,"")</f>
        <v>0</v>
      </c>
      <c r="M24" s="1168">
        <f>IF($C$4&lt;&gt;1,'4 Betriebskosten|Operation Ex'!M74,"")</f>
        <v>0</v>
      </c>
      <c r="N24" s="1168">
        <f>IF($C$4&lt;&gt;1,'4 Betriebskosten|Operation Ex'!N74,"")</f>
        <v>0</v>
      </c>
      <c r="O24" s="1168">
        <f>IF($C$4&lt;&gt;1,'4 Betriebskosten|Operation Ex'!O74,"")</f>
        <v>0</v>
      </c>
      <c r="P24" s="1169">
        <f t="shared" si="9"/>
        <v>0</v>
      </c>
      <c r="S24" s="122"/>
      <c r="CV24" s="952" t="str">
        <f>IF($C$4=1,"","auf Betriebskosten bezahlte MwSt "&amp;$C$2*100&amp;"% (aus Tab. 4a Anhang)")</f>
        <v>auf Betriebskosten bezahlte MwSt 7% (aus Tab. 4a Anhang)</v>
      </c>
      <c r="CW24" s="58" t="str">
        <f>IF(C4=1,"","Payed VAT "&amp;$C$2*100 &amp;"%  for Costs of Operating (from tab. 4a annex)")</f>
        <v>Payed VAT 7%  for Costs of Operating (from tab. 4a annex)</v>
      </c>
    </row>
    <row r="25" spans="2:101" x14ac:dyDescent="0.2">
      <c r="B25" s="675"/>
      <c r="C25" s="672" t="str">
        <f t="shared" ref="C25:C37" si="10">IF($C$3="English",CW25,CV25)</f>
        <v>ans Finanzamt abzuführende 19% MwSt. aus Umsätzen (aus Tab. 2a)</v>
      </c>
      <c r="D25" s="1168">
        <f>IF($C$4&lt;&gt;1,'2 Umsatz|Sales'!E33,"")</f>
        <v>0</v>
      </c>
      <c r="E25" s="1168">
        <f>IF($C$4&lt;&gt;1,'2 Umsatz|Sales'!F33,"")</f>
        <v>0</v>
      </c>
      <c r="F25" s="1168">
        <f>IF($C$4&lt;&gt;1,'2 Umsatz|Sales'!G33,"")</f>
        <v>0</v>
      </c>
      <c r="G25" s="1168">
        <f>IF($C$4&lt;&gt;1,'2 Umsatz|Sales'!H33,"")</f>
        <v>0</v>
      </c>
      <c r="H25" s="1168">
        <f>IF($C$4&lt;&gt;1,'2 Umsatz|Sales'!I33,"")</f>
        <v>0</v>
      </c>
      <c r="I25" s="1168">
        <f>IF($C$4&lt;&gt;1,'2 Umsatz|Sales'!J33,"")</f>
        <v>0</v>
      </c>
      <c r="J25" s="1168">
        <f>IF($C$4&lt;&gt;1,'2 Umsatz|Sales'!K33,"")</f>
        <v>0</v>
      </c>
      <c r="K25" s="1168">
        <f>IF($C$4&lt;&gt;1,'2 Umsatz|Sales'!L33,"")</f>
        <v>0</v>
      </c>
      <c r="L25" s="1168">
        <f>IF($C$4&lt;&gt;1,'2 Umsatz|Sales'!M33,"")</f>
        <v>0</v>
      </c>
      <c r="M25" s="1168">
        <f>IF($C$4&lt;&gt;1,'2 Umsatz|Sales'!N33,"")</f>
        <v>0</v>
      </c>
      <c r="N25" s="1168">
        <f>IF($C$4&lt;&gt;1,'2 Umsatz|Sales'!O33,"")</f>
        <v>0</v>
      </c>
      <c r="O25" s="1168">
        <f>IF($C$4&lt;&gt;1,'2 Umsatz|Sales'!P33,"")</f>
        <v>0</v>
      </c>
      <c r="P25" s="1169">
        <f t="shared" si="9"/>
        <v>0</v>
      </c>
      <c r="S25" s="122"/>
      <c r="CV25" s="952" t="str">
        <f>IF($C$4=1,"","ans Finanzamt abzuführende "&amp;$B$2*100&amp;"% MwSt. aus Umsätzen (aus Tab. 2a)")</f>
        <v>ans Finanzamt abzuführende 19% MwSt. aus Umsätzen (aus Tab. 2a)</v>
      </c>
      <c r="CW25" s="58" t="str">
        <f>IF($C$4=1,"","Payed VAT " &amp; $B$2*100 &amp; "% from Sales to Tax Office (tab. 2a)")</f>
        <v>Payed VAT 19% from Sales to Tax Office (tab. 2a)</v>
      </c>
    </row>
    <row r="26" spans="2:101" x14ac:dyDescent="0.2">
      <c r="B26" s="675"/>
      <c r="C26" s="672" t="str">
        <f t="shared" si="10"/>
        <v>ans Finanzamt abzuführende 7% MwSt. aus Umsätzen (aus Tab. 2a)</v>
      </c>
      <c r="D26" s="1168">
        <f>IF($C$4&lt;&gt;1,'2 Umsatz|Sales'!E32,0)</f>
        <v>0</v>
      </c>
      <c r="E26" s="1168">
        <f>IF($C$4&lt;&gt;1,'2 Umsatz|Sales'!F32,"")</f>
        <v>0</v>
      </c>
      <c r="F26" s="1168">
        <f>IF($C$4&lt;&gt;1,'2 Umsatz|Sales'!G32,"")</f>
        <v>0</v>
      </c>
      <c r="G26" s="1168">
        <f>IF($C$4&lt;&gt;1,'2 Umsatz|Sales'!H32,"")</f>
        <v>0</v>
      </c>
      <c r="H26" s="1168">
        <f>IF($C$4&lt;&gt;1,'2 Umsatz|Sales'!I32,"")</f>
        <v>0</v>
      </c>
      <c r="I26" s="1168">
        <f>IF($C$4&lt;&gt;1,'2 Umsatz|Sales'!J32,"")</f>
        <v>0</v>
      </c>
      <c r="J26" s="1168">
        <f>IF($C$4&lt;&gt;1,'2 Umsatz|Sales'!K32,"")</f>
        <v>0</v>
      </c>
      <c r="K26" s="1168">
        <f>IF($C$4&lt;&gt;1,'2 Umsatz|Sales'!L32,"")</f>
        <v>0</v>
      </c>
      <c r="L26" s="1168">
        <f>IF($C$4&lt;&gt;1,'2 Umsatz|Sales'!M32,"")</f>
        <v>0</v>
      </c>
      <c r="M26" s="1168">
        <f>IF($C$4&lt;&gt;1,'2 Umsatz|Sales'!N32,"")</f>
        <v>0</v>
      </c>
      <c r="N26" s="1168">
        <f>IF($C$4&lt;&gt;1,'2 Umsatz|Sales'!O32,"")</f>
        <v>0</v>
      </c>
      <c r="O26" s="1168">
        <f>IF($C$4&lt;&gt;1,'2 Umsatz|Sales'!P32,"")</f>
        <v>0</v>
      </c>
      <c r="P26" s="1169">
        <f t="shared" si="9"/>
        <v>0</v>
      </c>
      <c r="S26" s="122"/>
      <c r="CV26" s="952" t="str">
        <f>IF($C$4=1,"","ans Finanzamt abzuführende "&amp;$C$2*100&amp;"% MwSt. aus Umsätzen (aus Tab. 2a)")</f>
        <v>ans Finanzamt abzuführende 7% MwSt. aus Umsätzen (aus Tab. 2a)</v>
      </c>
      <c r="CW26" s="58" t="str">
        <f>IF($C$4=1,"","Payed VAT " &amp; $C$2*100 &amp; "% from Sales to Tax Office (tab. 2a)")</f>
        <v>Payed VAT 7% from Sales to Tax Office (tab. 2a)</v>
      </c>
    </row>
    <row r="27" spans="2:101" x14ac:dyDescent="0.2">
      <c r="B27" s="675"/>
      <c r="C27" s="672" t="str">
        <f t="shared" si="10"/>
        <v>Kapitaldienst Tilgung (aus Tab. 7b-1)</v>
      </c>
      <c r="D27" s="1168">
        <f>'7 Finanzierung|Financing'!D38</f>
        <v>0</v>
      </c>
      <c r="E27" s="1168">
        <f>'7 Finanzierung|Financing'!E38</f>
        <v>0</v>
      </c>
      <c r="F27" s="1168">
        <f>'7 Finanzierung|Financing'!F38</f>
        <v>0</v>
      </c>
      <c r="G27" s="1168">
        <f>'7 Finanzierung|Financing'!G38</f>
        <v>0</v>
      </c>
      <c r="H27" s="1168">
        <f>'7 Finanzierung|Financing'!H38</f>
        <v>0</v>
      </c>
      <c r="I27" s="1168">
        <f>'7 Finanzierung|Financing'!I38</f>
        <v>0</v>
      </c>
      <c r="J27" s="1168">
        <f>'7 Finanzierung|Financing'!J38</f>
        <v>0</v>
      </c>
      <c r="K27" s="1168">
        <f>'7 Finanzierung|Financing'!K38</f>
        <v>0</v>
      </c>
      <c r="L27" s="1168">
        <f>'7 Finanzierung|Financing'!L38</f>
        <v>0</v>
      </c>
      <c r="M27" s="1168">
        <f>'7 Finanzierung|Financing'!M38</f>
        <v>0</v>
      </c>
      <c r="N27" s="1168">
        <f>'7 Finanzierung|Financing'!N38</f>
        <v>0</v>
      </c>
      <c r="O27" s="1168">
        <f>'7 Finanzierung|Financing'!O38</f>
        <v>0</v>
      </c>
      <c r="P27" s="1169">
        <f t="shared" si="9"/>
        <v>0</v>
      </c>
      <c r="S27" s="122"/>
      <c r="CV27" s="952" t="s">
        <v>258</v>
      </c>
      <c r="CW27" s="717" t="s">
        <v>675</v>
      </c>
    </row>
    <row r="28" spans="2:101" x14ac:dyDescent="0.2">
      <c r="B28" s="675"/>
      <c r="C28" s="672" t="str">
        <f t="shared" si="10"/>
        <v>Gewerbesteuer (Übernahme aus Tab. 5c)</v>
      </c>
      <c r="D28" s="1168">
        <f>IF('Deckblatt Gruender|Data Founder'!$X$1&lt;=D$6,'5 Rentabilitaet|Profit'!$D$50/(13-'Deckblatt Gruender|Data Founder'!$X$1),0)</f>
        <v>0</v>
      </c>
      <c r="E28" s="1168">
        <f>IF('Deckblatt Gruender|Data Founder'!$X$1&lt;=E$6,'5 Rentabilitaet|Profit'!$D$50/(13-'Deckblatt Gruender|Data Founder'!$X$1),0)</f>
        <v>0</v>
      </c>
      <c r="F28" s="1168">
        <f>IF('Deckblatt Gruender|Data Founder'!$X$1&lt;=F$6,'5 Rentabilitaet|Profit'!$D$50/(13-'Deckblatt Gruender|Data Founder'!$X$1),0)</f>
        <v>0</v>
      </c>
      <c r="G28" s="1168">
        <f>IF('Deckblatt Gruender|Data Founder'!$X$1&lt;=G$6,'5 Rentabilitaet|Profit'!$D$50/(13-'Deckblatt Gruender|Data Founder'!$X$1),0)</f>
        <v>0</v>
      </c>
      <c r="H28" s="1168">
        <f>IF('Deckblatt Gruender|Data Founder'!$X$1&lt;=H$6,'5 Rentabilitaet|Profit'!$D$50/(13-'Deckblatt Gruender|Data Founder'!$X$1),0)</f>
        <v>0</v>
      </c>
      <c r="I28" s="1168">
        <f>IF('Deckblatt Gruender|Data Founder'!$X$1&lt;=I$6,'5 Rentabilitaet|Profit'!$D$50/(13-'Deckblatt Gruender|Data Founder'!$X$1),0)</f>
        <v>0</v>
      </c>
      <c r="J28" s="1168">
        <f>IF('Deckblatt Gruender|Data Founder'!$X$1&lt;=J$6,'5 Rentabilitaet|Profit'!$D$50/(13-'Deckblatt Gruender|Data Founder'!$X$1),0)</f>
        <v>0</v>
      </c>
      <c r="K28" s="1168">
        <f>IF('Deckblatt Gruender|Data Founder'!$X$1&lt;=K$6,'5 Rentabilitaet|Profit'!$D$50/(13-'Deckblatt Gruender|Data Founder'!$X$1),0)</f>
        <v>0</v>
      </c>
      <c r="L28" s="1168">
        <f>IF('Deckblatt Gruender|Data Founder'!$X$1&lt;=L$6,'5 Rentabilitaet|Profit'!$D$50/(13-'Deckblatt Gruender|Data Founder'!$X$1),0)</f>
        <v>0</v>
      </c>
      <c r="M28" s="1168">
        <f>IF('Deckblatt Gruender|Data Founder'!$X$1&lt;=M$6,'5 Rentabilitaet|Profit'!$D$50/(13-'Deckblatt Gruender|Data Founder'!$X$1),0)</f>
        <v>0</v>
      </c>
      <c r="N28" s="1168">
        <f>IF('Deckblatt Gruender|Data Founder'!$X$1&lt;=N$6,'5 Rentabilitaet|Profit'!$D$50/(13-'Deckblatt Gruender|Data Founder'!$X$1),0)</f>
        <v>0</v>
      </c>
      <c r="O28" s="1168">
        <f>IF('Deckblatt Gruender|Data Founder'!$X$1&lt;=O$6,'5 Rentabilitaet|Profit'!$D$50/(13-'Deckblatt Gruender|Data Founder'!$X$1),0)</f>
        <v>0</v>
      </c>
      <c r="P28" s="1169">
        <f>SUM(D28:O28)</f>
        <v>0</v>
      </c>
      <c r="S28" s="122"/>
      <c r="CV28" s="39" t="s">
        <v>164</v>
      </c>
      <c r="CW28" s="717" t="s">
        <v>543</v>
      </c>
    </row>
    <row r="29" spans="2:101" x14ac:dyDescent="0.2">
      <c r="B29" s="675"/>
      <c r="C29" s="672" t="str">
        <f t="shared" si="10"/>
        <v>Einkommensteuer (Übernahme aus Tab. 5b; Jahreswert gezwölftelt)</v>
      </c>
      <c r="D29" s="1168">
        <f>IF('Deckblatt Gruender|Data Founder'!$X$1&lt;=D$6,'5 Rentabilitaet|Profit'!$D$52/(13-'Deckblatt Gruender|Data Founder'!$X$1),0)</f>
        <v>0</v>
      </c>
      <c r="E29" s="1168">
        <f>IF('Deckblatt Gruender|Data Founder'!$X$1&lt;=E$6,'5 Rentabilitaet|Profit'!$D$52/(13-'Deckblatt Gruender|Data Founder'!$X$1),0)</f>
        <v>0</v>
      </c>
      <c r="F29" s="1168">
        <f>IF('Deckblatt Gruender|Data Founder'!$X$1&lt;=F$6,'5 Rentabilitaet|Profit'!$D$52/(13-'Deckblatt Gruender|Data Founder'!$X$1),0)</f>
        <v>0</v>
      </c>
      <c r="G29" s="1168">
        <f>IF('Deckblatt Gruender|Data Founder'!$X$1&lt;=G$6,'5 Rentabilitaet|Profit'!$D$52/(13-'Deckblatt Gruender|Data Founder'!$X$1),0)</f>
        <v>0</v>
      </c>
      <c r="H29" s="1168">
        <f>IF('Deckblatt Gruender|Data Founder'!$X$1&lt;=H$6,'5 Rentabilitaet|Profit'!$D$52/(13-'Deckblatt Gruender|Data Founder'!$X$1),0)</f>
        <v>0</v>
      </c>
      <c r="I29" s="1168">
        <f>IF('Deckblatt Gruender|Data Founder'!$X$1&lt;=I$6,'5 Rentabilitaet|Profit'!$D$52/(13-'Deckblatt Gruender|Data Founder'!$X$1),0)</f>
        <v>0</v>
      </c>
      <c r="J29" s="1168">
        <f>IF('Deckblatt Gruender|Data Founder'!$X$1&lt;=J$6,'5 Rentabilitaet|Profit'!$D$52/(13-'Deckblatt Gruender|Data Founder'!$X$1),0)</f>
        <v>0</v>
      </c>
      <c r="K29" s="1168">
        <f>IF('Deckblatt Gruender|Data Founder'!$X$1&lt;=K$6,'5 Rentabilitaet|Profit'!$D$52/(13-'Deckblatt Gruender|Data Founder'!$X$1),0)</f>
        <v>0</v>
      </c>
      <c r="L29" s="1168">
        <f>IF('Deckblatt Gruender|Data Founder'!$X$1&lt;=L$6,'5 Rentabilitaet|Profit'!$D$52/(13-'Deckblatt Gruender|Data Founder'!$X$1),0)</f>
        <v>0</v>
      </c>
      <c r="M29" s="1168">
        <f>IF('Deckblatt Gruender|Data Founder'!$X$1&lt;=M$6,'5 Rentabilitaet|Profit'!$D$52/(13-'Deckblatt Gruender|Data Founder'!$X$1),0)</f>
        <v>0</v>
      </c>
      <c r="N29" s="1168">
        <f>IF('Deckblatt Gruender|Data Founder'!$X$1&lt;=N$6,'5 Rentabilitaet|Profit'!$D$52/(13-'Deckblatt Gruender|Data Founder'!$X$1),0)</f>
        <v>0</v>
      </c>
      <c r="O29" s="1168">
        <f>IF('Deckblatt Gruender|Data Founder'!$X$1&lt;=O$6,'5 Rentabilitaet|Profit'!$D$52/(13-'Deckblatt Gruender|Data Founder'!$X$1),0)</f>
        <v>0</v>
      </c>
      <c r="P29" s="1169">
        <f>SUM(D29:O29)</f>
        <v>0</v>
      </c>
      <c r="S29" s="122"/>
      <c r="CV29" s="39" t="str">
        <f>IF('6 Liquiditaet|Liquidity'!$C$4&lt;&gt;3,"Einkommensteuer (Übernahme aus Tab. 5b; Jahreswert gezwölftelt)","Körperschaftsteuer (Übernahme aus Tab. 5b)")</f>
        <v>Einkommensteuer (Übernahme aus Tab. 5b; Jahreswert gezwölftelt)</v>
      </c>
      <c r="CW29" s="58" t="str">
        <f>IF($C$4&lt;&gt;3,"Income Tax (from tab. 5b; annual value partitioned into twelve) ","Corporate Tax (from tab. 5b)")</f>
        <v xml:space="preserve">Income Tax (from tab. 5b; annual value partitioned into twelve) </v>
      </c>
    </row>
    <row r="30" spans="2:101" x14ac:dyDescent="0.2">
      <c r="B30" s="675"/>
      <c r="C30" s="672" t="str">
        <f>IF($C$3="English",CW30,CV30)</f>
        <v/>
      </c>
      <c r="D30" s="1168">
        <f>IF($C$4&lt;=1,IF(D6&gt;='Deckblatt Gruender|Data Founder'!$X$1,'1 Pers.Ausgaben|Pers Expenses'!$D$104/(13-'Deckblatt Gruender|Data Founder'!$X$1),""),"")</f>
        <v>0</v>
      </c>
      <c r="E30" s="1168">
        <f>IF($C$4&lt;=1,IF(E6&gt;='Deckblatt Gruender|Data Founder'!$X$1,'1 Pers.Ausgaben|Pers Expenses'!$D$104/(13-'Deckblatt Gruender|Data Founder'!$X$1),""),"")</f>
        <v>0</v>
      </c>
      <c r="F30" s="1168">
        <f>IF($C$4&lt;=1,IF(F6&gt;='Deckblatt Gruender|Data Founder'!$X$1,'1 Pers.Ausgaben|Pers Expenses'!$D$104/(13-'Deckblatt Gruender|Data Founder'!$X$1),""),"")</f>
        <v>0</v>
      </c>
      <c r="G30" s="1168">
        <f>IF($C$4&lt;=1,IF(G6&gt;='Deckblatt Gruender|Data Founder'!$X$1,'1 Pers.Ausgaben|Pers Expenses'!$D$104/(13-'Deckblatt Gruender|Data Founder'!$X$1),""),"")</f>
        <v>0</v>
      </c>
      <c r="H30" s="1168">
        <f>IF($C$4&lt;=1,IF(H6&gt;='Deckblatt Gruender|Data Founder'!$X$1,'1 Pers.Ausgaben|Pers Expenses'!$D$104/(13-'Deckblatt Gruender|Data Founder'!$X$1),""),"")</f>
        <v>0</v>
      </c>
      <c r="I30" s="1168">
        <f>IF($C$4&lt;=1,IF(I6&gt;='Deckblatt Gruender|Data Founder'!$X$1,'1 Pers.Ausgaben|Pers Expenses'!$D$104/(13-'Deckblatt Gruender|Data Founder'!$X$1),""),"")</f>
        <v>0</v>
      </c>
      <c r="J30" s="1168">
        <f>IF($C$4&lt;=1,IF(J6&gt;='Deckblatt Gruender|Data Founder'!$X$1,'1 Pers.Ausgaben|Pers Expenses'!$D$104/(13-'Deckblatt Gruender|Data Founder'!$X$1),""),"")</f>
        <v>0</v>
      </c>
      <c r="K30" s="1168">
        <f>IF($C$4&lt;=1,IF(K6&gt;='Deckblatt Gruender|Data Founder'!$X$1,'1 Pers.Ausgaben|Pers Expenses'!$D$104/(13-'Deckblatt Gruender|Data Founder'!$X$1),""),"")</f>
        <v>0</v>
      </c>
      <c r="L30" s="1168">
        <f>IF($C$4&lt;=1,IF(L6&gt;='Deckblatt Gruender|Data Founder'!$X$1,'1 Pers.Ausgaben|Pers Expenses'!$D$104/(13-'Deckblatt Gruender|Data Founder'!$X$1),""),"")</f>
        <v>0</v>
      </c>
      <c r="M30" s="1168">
        <f>IF($C$4&lt;=1,IF(M6&gt;='Deckblatt Gruender|Data Founder'!$X$1,'1 Pers.Ausgaben|Pers Expenses'!$D$104/(13-'Deckblatt Gruender|Data Founder'!$X$1),""),"")</f>
        <v>0</v>
      </c>
      <c r="N30" s="1168">
        <f>IF($C$4&lt;=1,IF(N6&gt;='Deckblatt Gruender|Data Founder'!$X$1,'1 Pers.Ausgaben|Pers Expenses'!$D$104/(13-'Deckblatt Gruender|Data Founder'!$X$1),""),"")</f>
        <v>0</v>
      </c>
      <c r="O30" s="1168">
        <f>IF($C$4&lt;=1,IF(O6&gt;='Deckblatt Gruender|Data Founder'!$X$1,'1 Pers.Ausgaben|Pers Expenses'!$D$104/(13-'Deckblatt Gruender|Data Founder'!$X$1),""),"")</f>
        <v>0</v>
      </c>
      <c r="P30" s="1169">
        <f>SUM(D30:O30)</f>
        <v>0</v>
      </c>
      <c r="S30" s="122"/>
      <c r="CV30" s="39" t="str">
        <f>IF(OR('Deckblatt Gruender|Data Founder'!$D$13='Deckblatt Gruender|Data Founder'!$C$3,'Deckblatt Gruender|Data Founder'!$D$13='Deckblatt Gruender|Data Founder'!$C$2,'Deckblatt Gruender|Data Founder'!$D$13='Deckblatt Gruender|Data Founder'!$C$1),"Privatentnahmen Lebensunterhalt (aus Tab. 1b; siehe Kommentar)","")</f>
        <v/>
      </c>
      <c r="CW30" s="58" t="str">
        <f>IF(OR('Deckblatt Gruender|Data Founder'!$D$13='Deckblatt Gruender|Data Founder'!$C$3,'Deckblatt Gruender|Data Founder'!$D$13='Deckblatt Gruender|Data Founder'!$C$2,'Deckblatt Gruender|Data Founder'!$D$13='Deckblatt Gruender|Data Founder'!$C$1),"Personal Draw for Living (from Tab. 1b; see annotation)","")</f>
        <v/>
      </c>
    </row>
    <row r="31" spans="2:101" x14ac:dyDescent="0.2">
      <c r="B31" s="675"/>
      <c r="C31" s="1436" t="s">
        <v>55</v>
      </c>
      <c r="D31" s="1434"/>
      <c r="E31" s="1434"/>
      <c r="F31" s="1434"/>
      <c r="G31" s="1434"/>
      <c r="H31" s="1434"/>
      <c r="I31" s="1434"/>
      <c r="J31" s="1434"/>
      <c r="K31" s="1434"/>
      <c r="L31" s="1434"/>
      <c r="M31" s="1434"/>
      <c r="N31" s="1434"/>
      <c r="O31" s="1434"/>
      <c r="P31" s="1435">
        <f>SUM(D31:O31)</f>
        <v>0</v>
      </c>
      <c r="S31" s="1546"/>
      <c r="CV31" s="484" t="s">
        <v>55</v>
      </c>
      <c r="CW31" s="717" t="s">
        <v>351</v>
      </c>
    </row>
    <row r="32" spans="2:101" ht="15.75" thickBot="1" x14ac:dyDescent="0.25">
      <c r="B32" s="676"/>
      <c r="C32" s="1065" t="str">
        <f t="shared" si="10"/>
        <v>Summe Liquiditätsabgang</v>
      </c>
      <c r="D32" s="1172">
        <f t="shared" ref="D32:P32" si="11">SUM(D20:D31)</f>
        <v>0</v>
      </c>
      <c r="E32" s="1172">
        <f t="shared" si="11"/>
        <v>0</v>
      </c>
      <c r="F32" s="1172">
        <f t="shared" si="11"/>
        <v>0</v>
      </c>
      <c r="G32" s="1172">
        <f t="shared" si="11"/>
        <v>0</v>
      </c>
      <c r="H32" s="1172">
        <f t="shared" si="11"/>
        <v>0</v>
      </c>
      <c r="I32" s="1172">
        <f t="shared" si="11"/>
        <v>0</v>
      </c>
      <c r="J32" s="1172">
        <f t="shared" si="11"/>
        <v>0</v>
      </c>
      <c r="K32" s="1172">
        <f t="shared" si="11"/>
        <v>0</v>
      </c>
      <c r="L32" s="1172">
        <f t="shared" si="11"/>
        <v>0</v>
      </c>
      <c r="M32" s="1172">
        <f t="shared" si="11"/>
        <v>0</v>
      </c>
      <c r="N32" s="1172">
        <f t="shared" si="11"/>
        <v>0</v>
      </c>
      <c r="O32" s="1172">
        <f t="shared" si="11"/>
        <v>0</v>
      </c>
      <c r="P32" s="1173">
        <f t="shared" si="11"/>
        <v>0</v>
      </c>
      <c r="S32" s="122"/>
      <c r="CV32" s="39" t="s">
        <v>56</v>
      </c>
      <c r="CW32" s="717" t="s">
        <v>352</v>
      </c>
    </row>
    <row r="33" spans="1:121" ht="15" thickTop="1" x14ac:dyDescent="0.2">
      <c r="B33" s="670">
        <v>4</v>
      </c>
      <c r="C33" s="677" t="str">
        <f t="shared" si="10"/>
        <v>Liquiditätssaldo</v>
      </c>
      <c r="D33" s="1168"/>
      <c r="E33" s="1168"/>
      <c r="F33" s="1168"/>
      <c r="G33" s="1168"/>
      <c r="H33" s="1168"/>
      <c r="I33" s="1168"/>
      <c r="J33" s="1168"/>
      <c r="K33" s="1168"/>
      <c r="L33" s="1168"/>
      <c r="M33" s="1168"/>
      <c r="N33" s="1168"/>
      <c r="O33" s="1168"/>
      <c r="P33" s="1174"/>
      <c r="CV33" s="39" t="s">
        <v>57</v>
      </c>
      <c r="CW33" s="717" t="s">
        <v>353</v>
      </c>
    </row>
    <row r="34" spans="1:121" x14ac:dyDescent="0.2">
      <c r="B34" s="670"/>
      <c r="C34" s="671" t="str">
        <f t="shared" si="10"/>
        <v xml:space="preserve">Konto/flüss. Mittel/ Liquiditätssaldo/Startg. </v>
      </c>
      <c r="D34" s="1168">
        <f>D9</f>
        <v>0</v>
      </c>
      <c r="E34" s="1168">
        <f t="shared" ref="E34:O34" si="12">E8+E9</f>
        <v>0</v>
      </c>
      <c r="F34" s="1168">
        <f t="shared" si="12"/>
        <v>0</v>
      </c>
      <c r="G34" s="1168">
        <f t="shared" si="12"/>
        <v>0</v>
      </c>
      <c r="H34" s="1168">
        <f t="shared" si="12"/>
        <v>0</v>
      </c>
      <c r="I34" s="1168">
        <f t="shared" si="12"/>
        <v>0</v>
      </c>
      <c r="J34" s="1168">
        <f t="shared" si="12"/>
        <v>0</v>
      </c>
      <c r="K34" s="1168">
        <f t="shared" si="12"/>
        <v>0</v>
      </c>
      <c r="L34" s="1168">
        <f t="shared" si="12"/>
        <v>0</v>
      </c>
      <c r="M34" s="1168">
        <f t="shared" si="12"/>
        <v>0</v>
      </c>
      <c r="N34" s="1168">
        <f t="shared" si="12"/>
        <v>0</v>
      </c>
      <c r="O34" s="1168">
        <f t="shared" si="12"/>
        <v>0</v>
      </c>
      <c r="P34" s="1174"/>
      <c r="Q34" s="95"/>
      <c r="R34" s="95"/>
      <c r="S34" s="95"/>
      <c r="CV34" s="39" t="s">
        <v>72</v>
      </c>
      <c r="CW34" s="717" t="s">
        <v>347</v>
      </c>
    </row>
    <row r="35" spans="1:121" x14ac:dyDescent="0.2">
      <c r="B35" s="670"/>
      <c r="C35" s="671" t="str">
        <f t="shared" si="10"/>
        <v>(+) Summe Liquiditätszugang</v>
      </c>
      <c r="D35" s="1168">
        <f t="shared" ref="D35:O35" si="13">D18</f>
        <v>0</v>
      </c>
      <c r="E35" s="1168">
        <f t="shared" si="13"/>
        <v>0</v>
      </c>
      <c r="F35" s="1168">
        <f t="shared" si="13"/>
        <v>0</v>
      </c>
      <c r="G35" s="1168">
        <f t="shared" si="13"/>
        <v>0</v>
      </c>
      <c r="H35" s="1168">
        <f t="shared" si="13"/>
        <v>0</v>
      </c>
      <c r="I35" s="1168">
        <f t="shared" si="13"/>
        <v>0</v>
      </c>
      <c r="J35" s="1168">
        <f t="shared" si="13"/>
        <v>0</v>
      </c>
      <c r="K35" s="1168">
        <f t="shared" si="13"/>
        <v>0</v>
      </c>
      <c r="L35" s="1168">
        <f t="shared" si="13"/>
        <v>0</v>
      </c>
      <c r="M35" s="1168">
        <f t="shared" si="13"/>
        <v>0</v>
      </c>
      <c r="N35" s="1168">
        <f t="shared" si="13"/>
        <v>0</v>
      </c>
      <c r="O35" s="1168">
        <f t="shared" si="13"/>
        <v>0</v>
      </c>
      <c r="P35" s="1174"/>
      <c r="CV35" s="39" t="s">
        <v>58</v>
      </c>
      <c r="CW35" s="717" t="s">
        <v>676</v>
      </c>
    </row>
    <row r="36" spans="1:121" x14ac:dyDescent="0.2">
      <c r="B36" s="675"/>
      <c r="C36" s="671" t="str">
        <f t="shared" si="10"/>
        <v>(-) Summe Liquiditätsabgang</v>
      </c>
      <c r="D36" s="1168">
        <f t="shared" ref="D36:O36" si="14">D32</f>
        <v>0</v>
      </c>
      <c r="E36" s="1168">
        <f t="shared" si="14"/>
        <v>0</v>
      </c>
      <c r="F36" s="1168">
        <f t="shared" si="14"/>
        <v>0</v>
      </c>
      <c r="G36" s="1168">
        <f t="shared" si="14"/>
        <v>0</v>
      </c>
      <c r="H36" s="1168">
        <f t="shared" si="14"/>
        <v>0</v>
      </c>
      <c r="I36" s="1168">
        <f t="shared" si="14"/>
        <v>0</v>
      </c>
      <c r="J36" s="1168">
        <f t="shared" si="14"/>
        <v>0</v>
      </c>
      <c r="K36" s="1168">
        <f t="shared" si="14"/>
        <v>0</v>
      </c>
      <c r="L36" s="1168">
        <f t="shared" si="14"/>
        <v>0</v>
      </c>
      <c r="M36" s="1168">
        <f t="shared" si="14"/>
        <v>0</v>
      </c>
      <c r="N36" s="1168">
        <f t="shared" si="14"/>
        <v>0</v>
      </c>
      <c r="O36" s="1168">
        <f t="shared" si="14"/>
        <v>0</v>
      </c>
      <c r="P36" s="1174"/>
      <c r="CV36" s="39" t="s">
        <v>59</v>
      </c>
      <c r="CW36" s="717" t="s">
        <v>354</v>
      </c>
    </row>
    <row r="37" spans="1:121" ht="15.75" thickBot="1" x14ac:dyDescent="0.25">
      <c r="B37" s="678"/>
      <c r="C37" s="1064" t="str">
        <f t="shared" si="10"/>
        <v>Liquiditätssaldo</v>
      </c>
      <c r="D37" s="1175">
        <f t="shared" ref="D37:O37" si="15">D35-D36+D34</f>
        <v>0</v>
      </c>
      <c r="E37" s="1175">
        <f>E35-E36+E34</f>
        <v>0</v>
      </c>
      <c r="F37" s="1175">
        <f t="shared" si="15"/>
        <v>0</v>
      </c>
      <c r="G37" s="1175">
        <f t="shared" si="15"/>
        <v>0</v>
      </c>
      <c r="H37" s="1175">
        <f t="shared" si="15"/>
        <v>0</v>
      </c>
      <c r="I37" s="1175">
        <f t="shared" si="15"/>
        <v>0</v>
      </c>
      <c r="J37" s="1175">
        <f t="shared" si="15"/>
        <v>0</v>
      </c>
      <c r="K37" s="1175">
        <f t="shared" si="15"/>
        <v>0</v>
      </c>
      <c r="L37" s="1175">
        <f t="shared" si="15"/>
        <v>0</v>
      </c>
      <c r="M37" s="1175">
        <f t="shared" si="15"/>
        <v>0</v>
      </c>
      <c r="N37" s="1175">
        <f t="shared" si="15"/>
        <v>0</v>
      </c>
      <c r="O37" s="1175">
        <f t="shared" si="15"/>
        <v>0</v>
      </c>
      <c r="P37" s="1176"/>
      <c r="CV37" s="39" t="s">
        <v>57</v>
      </c>
      <c r="CW37" s="717" t="s">
        <v>353</v>
      </c>
    </row>
    <row r="38" spans="1:121" s="55" customFormat="1" ht="19.5" x14ac:dyDescent="0.2">
      <c r="D38" s="679"/>
      <c r="E38" s="679"/>
      <c r="F38" s="679"/>
      <c r="G38" s="679"/>
      <c r="H38" s="679"/>
      <c r="I38" s="679"/>
      <c r="J38" s="679"/>
      <c r="L38" s="680"/>
      <c r="M38" s="680"/>
      <c r="N38" s="679"/>
      <c r="O38" s="679"/>
      <c r="P38" s="679"/>
      <c r="CV38" s="39"/>
      <c r="CW38" s="717"/>
      <c r="DL38" s="96"/>
      <c r="DM38" s="96"/>
      <c r="DN38" s="96"/>
      <c r="DO38" s="96"/>
      <c r="DP38" s="96"/>
      <c r="DQ38" s="96"/>
    </row>
    <row r="39" spans="1:121" s="55" customFormat="1" ht="24.75" x14ac:dyDescent="0.2">
      <c r="B39" s="644" t="str">
        <f ca="1">IF($C$3="English",CW39,CV39)</f>
        <v>6b  Ermittlung der Liquidität und des Kapitalbedarfes für die Jahre 2017 - 2021 in EURO</v>
      </c>
      <c r="D39" s="659"/>
      <c r="E39" s="659"/>
      <c r="F39" s="659"/>
      <c r="G39" s="659"/>
      <c r="H39" s="659"/>
      <c r="I39" s="659"/>
      <c r="J39" s="659"/>
      <c r="L39" s="681"/>
      <c r="M39" s="249" t="str">
        <f ca="1">IF($C$3="English","Liquidity Balance for the Year ","Liquiditätssaldo für das Jahr ") &amp; '1 Pers.Ausgaben|Pers Expenses'!C4&amp;" (EUR)"</f>
        <v>Liquiditätssaldo für das Jahr 2017 (EUR)</v>
      </c>
      <c r="N39" s="659"/>
      <c r="O39" s="659"/>
      <c r="P39" s="659"/>
      <c r="CV39" s="39" t="str">
        <f ca="1">"6b  Ermittlung der Liquidität und des Kapitalbedarfes für die Jahre "&amp;'1 Pers.Ausgaben|Pers Expenses'!$C$4 &amp;" - "&amp; '1 Pers.Ausgaben|Pers Expenses'!$C$4+4&amp;" in EURO"</f>
        <v>6b  Ermittlung der Liquidität und des Kapitalbedarfes für die Jahre 2017 - 2021 in EURO</v>
      </c>
      <c r="CW39" s="55" t="str">
        <f ca="1">"6b Evaluation of liquidity and capital requirement for the years "&amp;'1 Pers.Ausgaben|Pers Expenses'!$C$4 &amp;" - "&amp; '1 Pers.Ausgaben|Pers Expenses'!$C$4+4&amp;" in EURO"</f>
        <v>6b Evaluation of liquidity and capital requirement for the years 2017 - 2021 in EURO</v>
      </c>
      <c r="DL39" s="96"/>
      <c r="DM39" s="96"/>
      <c r="DN39" s="96"/>
      <c r="DO39" s="96"/>
      <c r="DP39" s="96"/>
      <c r="DQ39" s="96"/>
    </row>
    <row r="40" spans="1:121" s="96" customFormat="1" ht="20.25" thickBot="1" x14ac:dyDescent="0.25">
      <c r="B40" s="682" t="str">
        <f ca="1">IF(C3="English","Liquidity Balance for the Years ","Liquiditätssaldo für die Jahre ")&amp;'1 Pers.Ausgaben|Pers Expenses'!C4&amp;" - "&amp;'1 Pers.Ausgaben|Pers Expenses'!C4+4&amp;" (EUR)"</f>
        <v>Liquiditätssaldo für die Jahre 2017 - 2021 (EUR)</v>
      </c>
      <c r="D40" s="646"/>
      <c r="E40" s="646"/>
      <c r="F40" s="646"/>
      <c r="G40" s="646"/>
      <c r="H40" s="646"/>
      <c r="I40" s="646"/>
      <c r="J40" s="646"/>
      <c r="L40" s="683"/>
      <c r="N40" s="646"/>
      <c r="O40" s="646"/>
      <c r="P40" s="646"/>
      <c r="CV40" s="39"/>
      <c r="CW40" s="55"/>
      <c r="CX40" s="55"/>
      <c r="CY40" s="55"/>
      <c r="CZ40" s="55"/>
      <c r="DA40" s="55"/>
      <c r="DB40" s="55"/>
      <c r="DC40" s="55"/>
      <c r="DD40" s="55"/>
      <c r="DE40" s="55"/>
      <c r="DF40" s="55"/>
      <c r="DG40" s="55"/>
      <c r="DH40" s="55"/>
      <c r="DI40" s="55"/>
      <c r="DJ40" s="55"/>
      <c r="DK40" s="55"/>
    </row>
    <row r="41" spans="1:121" s="669" customFormat="1" ht="15.75" thickBot="1" x14ac:dyDescent="0.25">
      <c r="A41" s="315"/>
      <c r="B41" s="664" t="str">
        <f>B7</f>
        <v>No.</v>
      </c>
      <c r="C41" s="665" t="str">
        <f>C7</f>
        <v>Einzahlungen/Auszahlungen (MwSt-Satz s. Tab.2 und Tab.4)</v>
      </c>
      <c r="D41" s="684">
        <f ca="1">'1 Pers.Ausgaben|Pers Expenses'!C4</f>
        <v>2017</v>
      </c>
      <c r="E41" s="684">
        <f ca="1">D41+1</f>
        <v>2018</v>
      </c>
      <c r="F41" s="684">
        <f ca="1">E41+1</f>
        <v>2019</v>
      </c>
      <c r="G41" s="684">
        <f ca="1">F41+1</f>
        <v>2020</v>
      </c>
      <c r="H41" s="685">
        <f ca="1">G41+1</f>
        <v>2021</v>
      </c>
      <c r="I41" s="686"/>
      <c r="J41" s="687"/>
      <c r="K41" s="688"/>
      <c r="L41" s="689"/>
      <c r="N41" s="687"/>
      <c r="O41" s="687"/>
      <c r="P41" s="687"/>
      <c r="Q41" s="315"/>
      <c r="R41" s="315"/>
      <c r="S41" s="315"/>
      <c r="T41" s="315"/>
      <c r="U41" s="315"/>
      <c r="V41" s="315"/>
      <c r="W41" s="315"/>
      <c r="X41" s="315"/>
      <c r="Y41" s="315"/>
      <c r="Z41" s="315"/>
      <c r="AA41" s="315"/>
      <c r="AB41" s="315"/>
      <c r="AC41" s="315"/>
      <c r="AD41" s="315"/>
      <c r="AE41" s="315"/>
      <c r="AF41" s="315"/>
      <c r="AG41" s="315"/>
      <c r="AH41" s="315"/>
      <c r="AI41" s="315"/>
      <c r="AJ41" s="315"/>
      <c r="AK41" s="315"/>
      <c r="AL41" s="315"/>
      <c r="AM41" s="315"/>
      <c r="AN41" s="315"/>
      <c r="AO41" s="315"/>
      <c r="AP41" s="315"/>
      <c r="AQ41" s="315"/>
      <c r="AR41" s="315"/>
      <c r="AS41" s="315"/>
      <c r="AT41" s="315"/>
      <c r="AU41" s="315"/>
      <c r="AV41" s="315"/>
      <c r="AW41" s="315"/>
      <c r="AX41" s="315"/>
      <c r="AY41" s="315"/>
      <c r="AZ41" s="315"/>
      <c r="BA41" s="315"/>
      <c r="BB41" s="315"/>
      <c r="BC41" s="315"/>
      <c r="BD41" s="315"/>
      <c r="BE41" s="315"/>
      <c r="BF41" s="315"/>
      <c r="BG41" s="315"/>
      <c r="BH41" s="315"/>
      <c r="BI41" s="315"/>
      <c r="BJ41" s="315"/>
      <c r="BK41" s="315"/>
      <c r="BL41" s="315"/>
      <c r="BM41" s="315"/>
      <c r="BN41" s="315"/>
      <c r="BO41" s="315"/>
      <c r="BP41" s="315"/>
      <c r="BQ41" s="315"/>
      <c r="BR41" s="315"/>
      <c r="BS41" s="315"/>
      <c r="BT41" s="315"/>
      <c r="BU41" s="315"/>
      <c r="BV41" s="315"/>
      <c r="BW41" s="315"/>
      <c r="BX41" s="315"/>
      <c r="BY41" s="315"/>
      <c r="BZ41" s="315"/>
      <c r="CA41" s="315"/>
      <c r="CB41" s="315"/>
      <c r="CC41" s="315"/>
      <c r="CD41" s="315"/>
      <c r="CE41" s="315"/>
      <c r="CF41" s="315"/>
      <c r="CG41" s="315"/>
      <c r="CH41" s="315"/>
      <c r="CI41" s="315"/>
      <c r="CJ41" s="315"/>
      <c r="CK41" s="315"/>
      <c r="CL41" s="315"/>
      <c r="CM41" s="315"/>
      <c r="CN41" s="315"/>
      <c r="CO41" s="315"/>
      <c r="CP41" s="315"/>
      <c r="CQ41" s="315"/>
      <c r="CR41" s="315"/>
      <c r="CS41" s="315"/>
      <c r="CT41" s="315"/>
      <c r="CU41" s="315"/>
      <c r="CV41" s="39" t="s">
        <v>145</v>
      </c>
      <c r="CW41" s="717" t="str">
        <f>CW7</f>
        <v>Receipts / pay offs (VAT rate s. tab.2 and tab. 4)</v>
      </c>
      <c r="DL41" s="314"/>
      <c r="DM41" s="314"/>
      <c r="DN41" s="314"/>
      <c r="DO41" s="314"/>
      <c r="DP41" s="314"/>
      <c r="DQ41" s="314"/>
    </row>
    <row r="42" spans="1:121" ht="15" x14ac:dyDescent="0.2">
      <c r="B42" s="670">
        <v>1</v>
      </c>
      <c r="C42" s="1068" t="str">
        <f>IF($C$3="English",CW42,CV42)</f>
        <v>Konto / flüss. Mittel / Liquiditätssaldo</v>
      </c>
      <c r="D42" s="1179"/>
      <c r="E42" s="1179">
        <f>D71</f>
        <v>0</v>
      </c>
      <c r="F42" s="1179">
        <f>E71</f>
        <v>0</v>
      </c>
      <c r="G42" s="1179">
        <f>F71</f>
        <v>0</v>
      </c>
      <c r="H42" s="1179">
        <f>G71</f>
        <v>0</v>
      </c>
      <c r="I42" s="690"/>
      <c r="J42" s="659"/>
      <c r="K42" s="659"/>
      <c r="L42" s="659"/>
      <c r="M42" s="659"/>
      <c r="N42" s="659"/>
      <c r="O42" s="659"/>
      <c r="P42" s="659"/>
      <c r="S42" s="122"/>
      <c r="CV42" s="951" t="s">
        <v>71</v>
      </c>
      <c r="CW42" s="717" t="str">
        <f t="shared" ref="CW42:CW44" si="16">CW8</f>
        <v>Account / liquid resources / liquidity balance / opening balance</v>
      </c>
    </row>
    <row r="43" spans="1:121" ht="15" thickBot="1" x14ac:dyDescent="0.25">
      <c r="B43" s="1062"/>
      <c r="C43" s="1063" t="str">
        <f>IF($C$3="English",CW43,CV43)</f>
        <v>Startguthaben (= Eigenkapital und -leistung aus Tab. 7a)</v>
      </c>
      <c r="D43" s="1180">
        <f>P9</f>
        <v>0</v>
      </c>
      <c r="E43" s="1177"/>
      <c r="F43" s="1177"/>
      <c r="G43" s="1177"/>
      <c r="H43" s="1178"/>
      <c r="I43" s="690"/>
      <c r="J43" s="691"/>
      <c r="K43" s="691"/>
      <c r="L43" s="691"/>
      <c r="M43" s="691"/>
      <c r="N43" s="691"/>
      <c r="O43" s="691"/>
      <c r="P43" s="691"/>
      <c r="S43" s="122"/>
      <c r="CV43" s="951" t="s">
        <v>228</v>
      </c>
      <c r="CW43" s="717" t="str">
        <f t="shared" si="16"/>
        <v>Opening balance (= own capital, personal contribution from tab. 7a)</v>
      </c>
    </row>
    <row r="44" spans="1:121" ht="15" thickTop="1" x14ac:dyDescent="0.2">
      <c r="B44" s="670">
        <v>2</v>
      </c>
      <c r="C44" s="1061" t="str">
        <f>IF($C$3="English",CW44,CV44)</f>
        <v>Einnahmen / Einzahlungen</v>
      </c>
      <c r="D44" s="1168"/>
      <c r="E44" s="1168"/>
      <c r="F44" s="1168"/>
      <c r="G44" s="1168"/>
      <c r="H44" s="1169"/>
      <c r="I44" s="690"/>
      <c r="J44" s="691"/>
      <c r="K44" s="691"/>
      <c r="L44" s="691"/>
      <c r="M44" s="691"/>
      <c r="N44" s="691"/>
      <c r="O44" s="691"/>
      <c r="P44" s="691"/>
      <c r="S44" s="122"/>
      <c r="CV44" s="951" t="s">
        <v>52</v>
      </c>
      <c r="CW44" s="717" t="str">
        <f t="shared" si="16"/>
        <v>Receipts / payments-in</v>
      </c>
    </row>
    <row r="45" spans="1:121" x14ac:dyDescent="0.2">
      <c r="B45" s="675"/>
      <c r="C45" s="671" t="str">
        <f t="shared" ref="C45:C71" si="17">IF($C$3="English",CW45,CV45)</f>
        <v>Umsatzerlöse (ohne MwSt) (aus Tab 2b)</v>
      </c>
      <c r="D45" s="1168">
        <f>P11</f>
        <v>0</v>
      </c>
      <c r="E45" s="1168">
        <f>IF($F$3=0,IF(OR($C$4=0,$C$4=1,$C$4=3),'2 Umsatz|Sales'!F68,'2 Umsatz|Sales'!F68-E59-E60),IF($F$3=0.5,IF(OR($C$4=0,$C$4=1,$C$4=3),'2 Umsatz|Sales'!F68*23/24+'2 Umsatz|Sales'!P34/2,'2 Umsatz|Sales'!F68*23/24+'2 Umsatz|Sales'!P34/2-(O25+O26)/2-(E59+E60)*23/24),IF($F$3=1,IF(OR($C$4=0,$C$4=1,$C$4=3),'2 Umsatz|Sales'!F68*11/12+'2 Umsatz|Sales'!P34,'2 Umsatz|Sales'!F68*11/12+'2 Umsatz|Sales'!P34-(E59+E60)*11/12-(O25+O26)),IF($F$3=2,IF(OR($C$4=0,$C$4=1,$C$4=3),'2 Umsatz|Sales'!F68*10/12+'2 Umsatz|Sales'!O34+'2 Umsatz|Sales'!P34,'2 Umsatz|Sales'!F68*10/12+'2 Umsatz|Sales'!O34+'2 Umsatz|Sales'!P34-(N25+N26+O25+O26)-(E59+E60)*10/12),IF($F$3=3,IF(OR($C$4=0,$C$4=1,$C$4=3),'2 Umsatz|Sales'!F68*9/12+'2 Umsatz|Sales'!N34+'2 Umsatz|Sales'!O34+'2 Umsatz|Sales'!P34,'2 Umsatz|Sales'!F68*9/12+'2 Umsatz|Sales'!N34+'2 Umsatz|Sales'!O34+'2 Umsatz|Sales'!P34-(M25+M26+N25+N26+O25+O26)-(E59+E60)*9/12))))))</f>
        <v>0</v>
      </c>
      <c r="F45" s="1168">
        <f>IF($F$3=0,IF(OR($C$4=0,$C$4=1,$C$4=3),'2 Umsatz|Sales'!G68,'2 Umsatz|Sales'!G68-F59-F60),IF($F$3=0.5,IF(OR($C$4=0,$C$4=1,$C$4=3),'2 Umsatz|Sales'!F68*1/24+'2 Umsatz|Sales'!G68*23/24,'2 Umsatz|Sales'!F68*1/24+'2 Umsatz|Sales'!G68*23/24-(F59+F60)*1/24-(G59+G60)*23/24),IF($F$3=1,IF(OR($C$4=0,$C$4=1,$C$4=3),'2 Umsatz|Sales'!F68*1/12+'2 Umsatz|Sales'!G68*11/12,'2 Umsatz|Sales'!F68*1/12+'2 Umsatz|Sales'!G68*11/12-(F59+F60)*1/12-(G59+G60)*11/12),IF($F$3=2,IF(OR($C$4=0,$C$4=1,$C$4=3),'2 Umsatz|Sales'!F68*2/12+'2 Umsatz|Sales'!G68*10/12,'2 Umsatz|Sales'!F68*2/12+'2 Umsatz|Sales'!G68*10/12-(F59+F60)*2/12-(G59+G60)*10/12),IF($F$3=3,IF(OR($C$4=0,$C$4=1,$C$4=3),'2 Umsatz|Sales'!F68*3/12+'2 Umsatz|Sales'!G68*9/12,'2 Umsatz|Sales'!F68*3/12+'2 Umsatz|Sales'!G68*9/12-(F59+F60)*3/12-(G59+G60)*9/12))))))</f>
        <v>0</v>
      </c>
      <c r="G45" s="1168">
        <f>IF($F$3=0,IF(OR($C$4=0,$C$4=1,$C$4=3),'2 Umsatz|Sales'!H68,'2 Umsatz|Sales'!H68-G59-G60),IF($F$3=0.5,IF(OR($C$4=0,$C$4=1,$C$4=3),'2 Umsatz|Sales'!G68*1/24+'2 Umsatz|Sales'!H68*23/24,'2 Umsatz|Sales'!G68*1/24+'2 Umsatz|Sales'!H68*23/24-(G59+G60)*1/24-(H59+H60)*23/24),IF($F$3=1,IF(OR($C$4=0,$C$4=1,$C$4=3),'2 Umsatz|Sales'!G68*1/12+'2 Umsatz|Sales'!H68*11/12,'2 Umsatz|Sales'!G68*1/12+'2 Umsatz|Sales'!H68*11/12-(G59+G60)*1/12-(H59+H60)*11/12),IF($F$3=2,IF(OR($C$4=0,$C$4=1,$C$4=3),'2 Umsatz|Sales'!G68*2/12+'2 Umsatz|Sales'!H68*10/12,'2 Umsatz|Sales'!G68*2/12+'2 Umsatz|Sales'!H68*10/12-(G59+G60)*2/12-(H59+H60)*10/12),IF($F$3=3,IF(OR($C$4=0,$C$4=1,$C$4=3),'2 Umsatz|Sales'!G68*3/12+'2 Umsatz|Sales'!H68*9/12,'2 Umsatz|Sales'!G68*3/12+'2 Umsatz|Sales'!H68*9/12-(G59+G60)*3/12-(H59+H60)*9/12))))))</f>
        <v>0</v>
      </c>
      <c r="H45" s="1168">
        <f>IF($F$3=0,IF(OR($C$4=0,$C$4=1,$C$4=3),'2 Umsatz|Sales'!I68,'2 Umsatz|Sales'!I68-H59-H60),IF($F$3=0.5,IF(OR($C$4=0,$C$4=1,$C$4=3),'2 Umsatz|Sales'!H68*1/24+'2 Umsatz|Sales'!I68*23/24,'2 Umsatz|Sales'!H68*1/24+'2 Umsatz|Sales'!I68*23/24-(H59+H60)*1/24-(I59+I60)*23/24),IF($F$3=1,IF(OR($C$4=0,$C$4=1,$C$4=3),'2 Umsatz|Sales'!H68*1/12+'2 Umsatz|Sales'!I68*11/12,'2 Umsatz|Sales'!H68*1/12+'2 Umsatz|Sales'!I68*11/12-(H59+H60)*1/12-(I59+I60)*11/12),IF($F$3=2,IF(OR($C$4=0,$C$4=1,$C$4=3),'2 Umsatz|Sales'!H68*2/12+'2 Umsatz|Sales'!I68*10/12,'2 Umsatz|Sales'!H68*2/12+'2 Umsatz|Sales'!I68*10/12-(H59+H60)*2/12-(I59+I60)*10/12),IF($F$3=3,IF(OR($C$4=0,$C$4=1,$C$4=3),'2 Umsatz|Sales'!H68*3/12+'2 Umsatz|Sales'!I68*9/12,'2 Umsatz|Sales'!H68*3/12+'2 Umsatz|Sales'!I68*9/12-(H59+H60)*3/12-(I59+I60)*9/12))))))</f>
        <v>0</v>
      </c>
      <c r="I45" s="690"/>
      <c r="J45" s="691"/>
      <c r="K45" s="691"/>
      <c r="L45" s="691"/>
      <c r="M45" s="691"/>
      <c r="N45" s="691"/>
      <c r="O45" s="691"/>
      <c r="P45" s="691"/>
      <c r="S45" s="122"/>
      <c r="CV45" s="39" t="str">
        <f>"Umsatzerlöse "&amp;IF($C$6=0,"(ohne MwSt)","(mit MwSt)")&amp; " (aus Tab 2b)"</f>
        <v>Umsatzerlöse (ohne MwSt) (aus Tab 2b)</v>
      </c>
      <c r="CW45" s="58" t="str">
        <f>"Sales "&amp;IF($C$6=0,"(w/o VAT)","(includ. VAT)")&amp; " (from tab 2b)"</f>
        <v>Sales (w/o VAT) (from tab 2b)</v>
      </c>
    </row>
    <row r="46" spans="1:121" x14ac:dyDescent="0.2">
      <c r="B46" s="675"/>
      <c r="C46" s="671" t="str">
        <f>IF($C$3="English",CW46,CV46)</f>
        <v>in Rechnung gestellte MwSt. auf Umsatzerlöse (Zeile 58+59  Tab 6b)</v>
      </c>
      <c r="D46" s="1168">
        <f>P12</f>
        <v>0</v>
      </c>
      <c r="E46" s="1168">
        <f>IF(C46="","",IF($F$3=0,E59+E60,IF($F$3=0.5,(O25+O26)/2+(E59+E60)*(1-$F$3/12),IF($F$3=1,(O25+O26)+(E59+E60)*(1-$F$3/12),IF($F$3=2,(N25+N26+O25+O26)+(E59+E60)*(1-$F$3/12),IF($F$3=3,(M25+M26+N25+N26+O25+O26)+(E59+E60)*(1-$F$3/12)))))))</f>
        <v>0</v>
      </c>
      <c r="F46" s="1168">
        <f>IF(C46="","",(E59+E60)*$F$3/12+(F59+F60)*(1-$F$3/12))</f>
        <v>0</v>
      </c>
      <c r="G46" s="1168">
        <f>IF(D46="","",(F59+F60)*$F$3/12+(G59+G60)*(1-$F$3/12))</f>
        <v>0</v>
      </c>
      <c r="H46" s="1168">
        <f>IF(E46="","",(G59+G60)*$F$3/12+(H59+H60)*(1-$F$3/12))</f>
        <v>0</v>
      </c>
      <c r="I46" s="690"/>
      <c r="J46" s="691"/>
      <c r="K46" s="691"/>
      <c r="L46" s="691"/>
      <c r="M46" s="691"/>
      <c r="N46" s="691"/>
      <c r="O46" s="691"/>
      <c r="P46" s="691"/>
      <c r="S46" s="122"/>
      <c r="CV46" s="39" t="str">
        <f>IF($C$4=1,"","in Rechnung gestellte MwSt. auf Umsatzerlöse (Zeile 58+59  Tab 6b)")</f>
        <v>in Rechnung gestellte MwSt. auf Umsatzerlöse (Zeile 58+59  Tab 6b)</v>
      </c>
      <c r="CW46" s="717" t="str">
        <f>IF($C$4=1,"","Charged  VAT for sales (line 58+59  tab 6b)")</f>
        <v>Charged  VAT for sales (line 58+59  tab 6b)</v>
      </c>
    </row>
    <row r="47" spans="1:121" x14ac:dyDescent="0.2">
      <c r="B47" s="675"/>
      <c r="C47" s="671" t="str">
        <f t="shared" si="17"/>
        <v>Finanzierung (aus Tab. 7a o. Eigenanteil)</v>
      </c>
      <c r="D47" s="1168">
        <f>P13</f>
        <v>0</v>
      </c>
      <c r="E47" s="1168">
        <f>'7 Finanzierung|Financing'!F30</f>
        <v>0</v>
      </c>
      <c r="F47" s="1168">
        <f>'7 Finanzierung|Financing'!H30</f>
        <v>0</v>
      </c>
      <c r="G47" s="1168">
        <f>'7 Finanzierung|Financing'!J30</f>
        <v>0</v>
      </c>
      <c r="H47" s="1168">
        <f>'7 Finanzierung|Financing'!L30</f>
        <v>0</v>
      </c>
      <c r="I47" s="690"/>
      <c r="J47" s="691"/>
      <c r="K47" s="691"/>
      <c r="L47" s="691"/>
      <c r="M47" s="691"/>
      <c r="N47" s="691"/>
      <c r="O47" s="691"/>
      <c r="P47" s="691"/>
      <c r="S47" s="122"/>
      <c r="CV47" s="39" t="str">
        <f>"Finanzierung (aus Tab. 7a o. Eigenanteil)"</f>
        <v>Finanzierung (aus Tab. 7a o. Eigenanteil)</v>
      </c>
      <c r="CW47" s="283" t="s">
        <v>349</v>
      </c>
    </row>
    <row r="48" spans="1:121" x14ac:dyDescent="0.2">
      <c r="B48" s="675"/>
      <c r="C48" s="671" t="str">
        <f>IF($C$3="English",CW48,CV48)</f>
        <v>MwSt-Rückerstattung aus Betriebsausgaben (Zeilen 56+57 Tab. 6b)</v>
      </c>
      <c r="D48" s="1168">
        <f>IF(C48="","",P14)</f>
        <v>0</v>
      </c>
      <c r="E48" s="1168">
        <f>IF($C$4=1,"",E57+E58)</f>
        <v>0</v>
      </c>
      <c r="F48" s="1168">
        <f>IF($C$4=1,"",F57+F58)</f>
        <v>0</v>
      </c>
      <c r="G48" s="1168">
        <f>IF($C$4=1,"",G57+G58)</f>
        <v>0</v>
      </c>
      <c r="H48" s="1168">
        <f>IF($C$4=1,"",H57+H58)</f>
        <v>0</v>
      </c>
      <c r="I48" s="690"/>
      <c r="J48" s="691"/>
      <c r="K48" s="691"/>
      <c r="L48" s="691"/>
      <c r="M48" s="691"/>
      <c r="N48" s="691"/>
      <c r="O48" s="691"/>
      <c r="P48" s="691"/>
      <c r="S48" s="122"/>
      <c r="CV48" s="39" t="str">
        <f>IF(C4=1,"","MwSt-Rückerstattung aus Betriebsausgaben (Zeilen 56+57 Tab. 6b)")</f>
        <v>MwSt-Rückerstattung aus Betriebsausgaben (Zeilen 56+57 Tab. 6b)</v>
      </c>
      <c r="CW48" s="58" t="str">
        <f>IF($C$4=1,"","VAT credits from business expenses (lines 56+57 tab. 6b)")</f>
        <v>VAT credits from business expenses (lines 56+57 tab. 6b)</v>
      </c>
    </row>
    <row r="49" spans="2:101" x14ac:dyDescent="0.2">
      <c r="B49" s="675"/>
      <c r="C49" s="671" t="str">
        <f t="shared" si="17"/>
        <v>MwSt-Rückerstattung aus Anschaffungen (Zeile 54 Tab. 6b)</v>
      </c>
      <c r="D49" s="1168">
        <f>IF(C49="","",P15)</f>
        <v>0</v>
      </c>
      <c r="E49" s="1168">
        <f>E55</f>
        <v>0</v>
      </c>
      <c r="F49" s="1168">
        <f t="shared" ref="F49:H49" si="18">F55</f>
        <v>0</v>
      </c>
      <c r="G49" s="1168">
        <f t="shared" si="18"/>
        <v>0</v>
      </c>
      <c r="H49" s="1168">
        <f t="shared" si="18"/>
        <v>0</v>
      </c>
      <c r="I49" s="690"/>
      <c r="J49" s="691"/>
      <c r="K49" s="691"/>
      <c r="L49" s="691"/>
      <c r="M49" s="691"/>
      <c r="N49" s="691"/>
      <c r="O49" s="691"/>
      <c r="P49" s="691"/>
      <c r="S49" s="1546"/>
      <c r="CV49" s="39" t="str">
        <f>IF(C4=1,"","MwSt-Rückerstattung aus Anschaffungen (Zeile 54 Tab. 6b)")</f>
        <v>MwSt-Rückerstattung aus Anschaffungen (Zeile 54 Tab. 6b)</v>
      </c>
      <c r="CW49" s="58" t="str">
        <f>IF($C$4=1,"","VAT credits from investments (line 54 Tab. 6b)")</f>
        <v>VAT credits from investments (line 54 Tab. 6b)</v>
      </c>
    </row>
    <row r="50" spans="2:101" x14ac:dyDescent="0.2">
      <c r="B50" s="675"/>
      <c r="C50" s="1437" t="str">
        <f t="shared" si="17"/>
        <v>Forderungsausgleich</v>
      </c>
      <c r="D50" s="1438">
        <f>P16</f>
        <v>0</v>
      </c>
      <c r="E50" s="1431"/>
      <c r="F50" s="1431"/>
      <c r="G50" s="1431"/>
      <c r="H50" s="1439"/>
      <c r="I50" s="690"/>
      <c r="J50" s="691"/>
      <c r="K50" s="691"/>
      <c r="L50" s="691"/>
      <c r="M50" s="691"/>
      <c r="N50" s="691"/>
      <c r="O50" s="691"/>
      <c r="P50" s="691"/>
      <c r="S50" s="1546"/>
      <c r="CV50" s="39" t="s">
        <v>60</v>
      </c>
      <c r="CW50" s="283" t="str">
        <f>CW16</f>
        <v>Payments of outstanding bills</v>
      </c>
    </row>
    <row r="51" spans="2:101" x14ac:dyDescent="0.2">
      <c r="B51" s="675"/>
      <c r="C51" s="1436" t="s">
        <v>232</v>
      </c>
      <c r="D51" s="1440">
        <f>P17</f>
        <v>0</v>
      </c>
      <c r="E51" s="1434"/>
      <c r="F51" s="1434"/>
      <c r="G51" s="1434"/>
      <c r="H51" s="1441"/>
      <c r="I51" s="690"/>
      <c r="J51" s="691"/>
      <c r="K51" s="691"/>
      <c r="L51" s="691"/>
      <c r="M51" s="691"/>
      <c r="N51" s="691"/>
      <c r="O51" s="691"/>
      <c r="P51" s="691"/>
      <c r="S51" s="276"/>
      <c r="CV51" s="484" t="s">
        <v>232</v>
      </c>
      <c r="CW51" s="283" t="str">
        <f t="shared" ref="CW51:CW55" si="19">CW17</f>
        <v>Other earnings e.g. vouchers, grants</v>
      </c>
    </row>
    <row r="52" spans="2:101" ht="15.75" thickBot="1" x14ac:dyDescent="0.25">
      <c r="B52" s="676"/>
      <c r="C52" s="1065" t="str">
        <f t="shared" si="17"/>
        <v>Summe Liquiditätszugang</v>
      </c>
      <c r="D52" s="1172">
        <f>SUM(D44:D51)</f>
        <v>0</v>
      </c>
      <c r="E52" s="1172">
        <f>SUM(E44:E51)</f>
        <v>0</v>
      </c>
      <c r="F52" s="1172">
        <f>SUM(F44:F51)</f>
        <v>0</v>
      </c>
      <c r="G52" s="1172">
        <f>SUM(G44:G51)</f>
        <v>0</v>
      </c>
      <c r="H52" s="1173">
        <f>SUM(H44:H51)</f>
        <v>0</v>
      </c>
      <c r="I52" s="690"/>
      <c r="J52" s="691"/>
      <c r="K52" s="691"/>
      <c r="L52" s="691"/>
      <c r="M52" s="691"/>
      <c r="N52" s="691"/>
      <c r="O52" s="691"/>
      <c r="P52" s="691"/>
      <c r="S52" s="122"/>
      <c r="CV52" s="39" t="s">
        <v>53</v>
      </c>
      <c r="CW52" s="283" t="str">
        <f t="shared" si="19"/>
        <v>Sum liquidity access</v>
      </c>
    </row>
    <row r="53" spans="2:101" ht="18.75" thickTop="1" x14ac:dyDescent="0.2">
      <c r="B53" s="670">
        <v>3</v>
      </c>
      <c r="C53" s="674" t="str">
        <f t="shared" si="17"/>
        <v>Ausgaben / Auszahlungen</v>
      </c>
      <c r="D53" s="1168"/>
      <c r="E53" s="1168"/>
      <c r="F53" s="1168"/>
      <c r="G53" s="1168"/>
      <c r="H53" s="1169"/>
      <c r="I53" s="690"/>
      <c r="L53" s="693"/>
      <c r="M53" s="694"/>
      <c r="N53" s="695"/>
      <c r="O53" s="691"/>
      <c r="P53" s="691"/>
      <c r="S53" s="122"/>
      <c r="CV53" s="39" t="s">
        <v>54</v>
      </c>
      <c r="CW53" s="283" t="str">
        <f t="shared" si="19"/>
        <v>Expenses / outgoings</v>
      </c>
    </row>
    <row r="54" spans="2:101" ht="22.5" x14ac:dyDescent="0.2">
      <c r="B54" s="670"/>
      <c r="C54" s="672" t="str">
        <f t="shared" si="17"/>
        <v>Anschaffungen ohne MwSt (aus Tab 3a)</v>
      </c>
      <c r="D54" s="1168">
        <f>P20</f>
        <v>0</v>
      </c>
      <c r="E54" s="1168">
        <f>'3 Anschaffungen|Investment'!G14</f>
        <v>0</v>
      </c>
      <c r="F54" s="1168">
        <f>'3 Anschaffungen|Investment'!I14</f>
        <v>0</v>
      </c>
      <c r="G54" s="1168">
        <f>'3 Anschaffungen|Investment'!K14</f>
        <v>0</v>
      </c>
      <c r="H54" s="1168">
        <f>'3 Anschaffungen|Investment'!M14</f>
        <v>0</v>
      </c>
      <c r="I54" s="690"/>
      <c r="J54" s="1649" t="str">
        <f ca="1">B40</f>
        <v>Liquiditätssaldo für die Jahre 2017 - 2021 (EUR)</v>
      </c>
      <c r="K54" s="1649"/>
      <c r="L54" s="1649"/>
      <c r="M54" s="1649"/>
      <c r="N54" s="1649"/>
      <c r="O54" s="1649"/>
      <c r="P54" s="1649"/>
      <c r="S54" s="122"/>
      <c r="CV54" s="39" t="str">
        <f>"Anschaffungen"&amp;IF(C4=0," ohne MwSt", " mit MwSt") &amp;" (aus Tab 3a)"</f>
        <v>Anschaffungen ohne MwSt (aus Tab 3a)</v>
      </c>
      <c r="CW54" s="283" t="str">
        <f t="shared" si="19"/>
        <v>Acquirements w/o VAT (out of tab 3a)</v>
      </c>
    </row>
    <row r="55" spans="2:101" x14ac:dyDescent="0.2">
      <c r="B55" s="670"/>
      <c r="C55" s="672" t="str">
        <f t="shared" si="17"/>
        <v>auf Anschaffungen bezahlte 19% MwSt.</v>
      </c>
      <c r="D55" s="1168">
        <f>IF(C55="","",P21)</f>
        <v>0</v>
      </c>
      <c r="E55" s="1168">
        <f>IF(C55="","",(E54-'3 Anschaffungen|Investment'!Z25)*$B$2)</f>
        <v>0</v>
      </c>
      <c r="F55" s="1168">
        <f>IF(C55="","",(F54-'3 Anschaffungen|Investment'!Y25)*$B$2)</f>
        <v>0</v>
      </c>
      <c r="G55" s="1168">
        <f>IF(C55="","",(G54-'3 Anschaffungen|Investment'!AC25)*$B$2)</f>
        <v>0</v>
      </c>
      <c r="H55" s="1169">
        <f>IF(C55="","",(H54-'3 Anschaffungen|Investment'!AE25)*$B$2)</f>
        <v>0</v>
      </c>
      <c r="I55" s="690"/>
      <c r="S55" s="122"/>
      <c r="CV55" s="39" t="str">
        <f>IF($C$4=1,"","auf Anschaffungen bezahlte " &amp; $B$2*100 &amp; "% MwSt.")</f>
        <v>auf Anschaffungen bezahlte 19% MwSt.</v>
      </c>
      <c r="CW55" s="283" t="str">
        <f t="shared" si="19"/>
        <v>For acquirements paid 19% VAT</v>
      </c>
    </row>
    <row r="56" spans="2:101" ht="14.25" customHeight="1" x14ac:dyDescent="0.2">
      <c r="B56" s="670"/>
      <c r="C56" s="672" t="str">
        <f>IF($C$3="English",CW56,CV56)</f>
        <v>Betriebskosten I ohne MwSt (Übernahme aus Tab. 4b)</v>
      </c>
      <c r="D56" s="1168">
        <f>P22</f>
        <v>0</v>
      </c>
      <c r="E56" s="1168">
        <f>IF(OR($C$4=0,$C$4=1,$C$4=3),'4 Betriebskosten|Operation Ex'!E143,'4 Betriebskosten|Operation Ex'!E143-E57-E58)</f>
        <v>0</v>
      </c>
      <c r="F56" s="1168">
        <f>IF(OR($C$4=0,$C$4=1,$C$4=3),'4 Betriebskosten|Operation Ex'!F143,'4 Betriebskosten|Operation Ex'!F143-F57-F58)</f>
        <v>0</v>
      </c>
      <c r="G56" s="1168">
        <f>IF(OR($C$4=0,$C$4=1,$C$4=3),'4 Betriebskosten|Operation Ex'!G143,'4 Betriebskosten|Operation Ex'!G143-G57-G58)</f>
        <v>0</v>
      </c>
      <c r="H56" s="1168">
        <f>IF(OR($C$4=0,$C$4=1,$C$4=3),'4 Betriebskosten|Operation Ex'!H143,'4 Betriebskosten|Operation Ex'!H143-H57-H58)</f>
        <v>0</v>
      </c>
      <c r="I56" s="690"/>
      <c r="J56" s="691"/>
      <c r="K56" s="1255"/>
      <c r="L56" s="1255"/>
      <c r="M56" s="1255"/>
      <c r="N56" s="1255"/>
      <c r="O56" s="1255"/>
      <c r="P56" s="691"/>
      <c r="S56" s="122"/>
      <c r="CV56" s="39" t="str">
        <f>IF($C$4&gt;0,"Betriebskosten I mit MwSt (Übernahme aus Tab. 4b)","Betriebskosten I ohne MwSt (Übernahme aus Tab. 4" &amp; IF($C$4&gt;0,"d","b") &amp; ")")</f>
        <v>Betriebskosten I ohne MwSt (Übernahme aus Tab. 4b)</v>
      </c>
      <c r="CW56" s="58" t="str">
        <f>IF($C$4&gt;0,"Operatign Costs I inculding VAT (from tab. 4a)","Operating Costs I w/o VAT (from tab. 4" &amp; IF($C$4&gt;0,"d","b") &amp; ")")</f>
        <v>Operating Costs I w/o VAT (from tab. 4b)</v>
      </c>
    </row>
    <row r="57" spans="2:101" x14ac:dyDescent="0.2">
      <c r="B57" s="670"/>
      <c r="C57" s="672" t="str">
        <f t="shared" si="17"/>
        <v>auf Betriebskosten bezahlte MwSt 19% (aus Tab. 4b Anhang)</v>
      </c>
      <c r="D57" s="1168">
        <f>P23</f>
        <v>0</v>
      </c>
      <c r="E57" s="1168">
        <f>IF($C$4&lt;&gt;1,'4 Betriebskosten|Operation Ex'!E149,"")</f>
        <v>0</v>
      </c>
      <c r="F57" s="1168">
        <f>IF($C$4&lt;&gt;1,'4 Betriebskosten|Operation Ex'!F149,"")</f>
        <v>0</v>
      </c>
      <c r="G57" s="1168">
        <f>IF($C$4&lt;&gt;1,'4 Betriebskosten|Operation Ex'!G149,"")</f>
        <v>0</v>
      </c>
      <c r="H57" s="1168">
        <f>IF($C$4&lt;&gt;1,'4 Betriebskosten|Operation Ex'!H149,"")</f>
        <v>0</v>
      </c>
      <c r="I57" s="690"/>
      <c r="J57" s="691"/>
      <c r="N57" s="696"/>
      <c r="O57" s="691"/>
      <c r="P57" s="691"/>
      <c r="S57" s="122"/>
      <c r="CV57" s="952" t="str">
        <f>IF($C$4=1,"","auf Betriebskosten bezahlte MwSt "&amp;$B$2*100 &amp;"% (aus Tab. 4b Anhang)")</f>
        <v>auf Betriebskosten bezahlte MwSt 19% (aus Tab. 4b Anhang)</v>
      </c>
      <c r="CW57" s="58" t="str">
        <f>CW23</f>
        <v>Payed VAT 19%  for Costs of Operating (from tab. 4a annex)</v>
      </c>
    </row>
    <row r="58" spans="2:101" x14ac:dyDescent="0.2">
      <c r="B58" s="670"/>
      <c r="C58" s="672" t="str">
        <f t="shared" si="17"/>
        <v>auf Betriebskosten bezahlte MwSt 7% (aus Tab. 4b Anhang)</v>
      </c>
      <c r="D58" s="1168">
        <f>P24</f>
        <v>0</v>
      </c>
      <c r="E58" s="1168">
        <f>IF($C$4&lt;&gt;1,'4 Betriebskosten|Operation Ex'!E150,"")</f>
        <v>0</v>
      </c>
      <c r="F58" s="1168">
        <f>IF($C$4&lt;&gt;1,'4 Betriebskosten|Operation Ex'!F150,"")</f>
        <v>0</v>
      </c>
      <c r="G58" s="1168">
        <f>IF($C$4&lt;&gt;1,'4 Betriebskosten|Operation Ex'!G150,"")</f>
        <v>0</v>
      </c>
      <c r="H58" s="1168">
        <f>IF($C$4&lt;&gt;1,'4 Betriebskosten|Operation Ex'!H150,"")</f>
        <v>0</v>
      </c>
      <c r="I58" s="690"/>
      <c r="J58" s="691"/>
      <c r="L58" s="696"/>
      <c r="M58" s="696"/>
      <c r="N58" s="696"/>
      <c r="O58" s="691"/>
      <c r="P58" s="691"/>
      <c r="S58" s="122"/>
      <c r="CV58" s="952" t="str">
        <f>IF($C$4=1,"","auf Betriebskosten bezahlte MwSt "&amp;$C$2*100&amp;"% (aus Tab. 4b Anhang)")</f>
        <v>auf Betriebskosten bezahlte MwSt 7% (aus Tab. 4b Anhang)</v>
      </c>
      <c r="CW58" s="58" t="str">
        <f>CW24</f>
        <v>Payed VAT 7%  for Costs of Operating (from tab. 4a annex)</v>
      </c>
    </row>
    <row r="59" spans="2:101" x14ac:dyDescent="0.2">
      <c r="B59" s="670"/>
      <c r="C59" s="672" t="str">
        <f t="shared" si="17"/>
        <v>ans Finanzamt abzuführende 19% MwSt. aus Umsätzen (aus Tab. 2b)</v>
      </c>
      <c r="D59" s="1168">
        <f>IF($C$59="","",'2 Umsatz|Sales'!E67)</f>
        <v>0</v>
      </c>
      <c r="E59" s="1168">
        <f>IF($C$4=1,"",'2 Umsatz|Sales'!F67)</f>
        <v>0</v>
      </c>
      <c r="F59" s="1168">
        <f>IF($C$4=1,"",'2 Umsatz|Sales'!G67)</f>
        <v>0</v>
      </c>
      <c r="G59" s="1168">
        <f>IF($C$4=1,"",'2 Umsatz|Sales'!H67)</f>
        <v>0</v>
      </c>
      <c r="H59" s="1168">
        <f>IF($C$4=1,"",'2 Umsatz|Sales'!I67)</f>
        <v>0</v>
      </c>
      <c r="I59" s="690"/>
      <c r="J59" s="691"/>
      <c r="K59" s="691"/>
      <c r="L59" s="691"/>
      <c r="M59" s="691"/>
      <c r="N59" s="691"/>
      <c r="O59" s="691"/>
      <c r="P59" s="691"/>
      <c r="S59" s="122"/>
      <c r="CV59" s="952" t="str">
        <f>IF($C$4=1,"","ans Finanzamt abzuführende "&amp;$B$2*100&amp;"% MwSt. aus Umsätzen (aus Tab. 2b)")</f>
        <v>ans Finanzamt abzuführende 19% MwSt. aus Umsätzen (aus Tab. 2b)</v>
      </c>
      <c r="CW59" s="58" t="str">
        <f>IF($C$4=1,"","Payed VAT " &amp; $B$2*100 &amp; "% from Sales to Tax Office (tab. 2b)")</f>
        <v>Payed VAT 19% from Sales to Tax Office (tab. 2b)</v>
      </c>
    </row>
    <row r="60" spans="2:101" x14ac:dyDescent="0.2">
      <c r="B60" s="675"/>
      <c r="C60" s="672" t="str">
        <f t="shared" si="17"/>
        <v>ans Finanzamt abzuführende 7% MwSt. aus Umsätzen (aus Tab. 2b)</v>
      </c>
      <c r="D60" s="1168">
        <f>IF($C$60="","",'2 Umsatz|Sales'!E66)</f>
        <v>0</v>
      </c>
      <c r="E60" s="1168">
        <f>IF($C$4=1,"",'2 Umsatz|Sales'!F66)</f>
        <v>0</v>
      </c>
      <c r="F60" s="1168">
        <f>IF($C$4=1,"",'2 Umsatz|Sales'!G66)</f>
        <v>0</v>
      </c>
      <c r="G60" s="1168">
        <f>IF($C$4=1,"",'2 Umsatz|Sales'!H66)</f>
        <v>0</v>
      </c>
      <c r="H60" s="1168">
        <f>IF($C$4=1,"",'2 Umsatz|Sales'!I66)</f>
        <v>0</v>
      </c>
      <c r="I60" s="690"/>
      <c r="J60" s="691"/>
      <c r="K60" s="691"/>
      <c r="L60" s="691"/>
      <c r="M60" s="691"/>
      <c r="N60" s="691"/>
      <c r="O60" s="691"/>
      <c r="P60" s="691"/>
      <c r="S60" s="122"/>
      <c r="CV60" s="952" t="str">
        <f>IF($C$4=1,"","ans Finanzamt abzuführende "&amp;$C$2*100&amp;"% MwSt. aus Umsätzen (aus Tab. 2b)")</f>
        <v>ans Finanzamt abzuführende 7% MwSt. aus Umsätzen (aus Tab. 2b)</v>
      </c>
      <c r="CW60" s="58" t="str">
        <f>IF($C$4=1,"","Payed VAT " &amp; $C$2*100 &amp; "% from Sales to Tax Office (tab. 2b)")</f>
        <v>Payed VAT 7% from Sales to Tax Office (tab. 2b)</v>
      </c>
    </row>
    <row r="61" spans="2:101" x14ac:dyDescent="0.2">
      <c r="B61" s="675"/>
      <c r="C61" s="672" t="str">
        <f t="shared" si="17"/>
        <v>Kapitaldienst Tilgung (aus Tab. 7b-1)</v>
      </c>
      <c r="D61" s="1168">
        <f>'7 Finanzierung|Financing'!D57</f>
        <v>0</v>
      </c>
      <c r="E61" s="1168">
        <f>'7 Finanzierung|Financing'!E57</f>
        <v>0</v>
      </c>
      <c r="F61" s="1168">
        <f>'7 Finanzierung|Financing'!F57</f>
        <v>0</v>
      </c>
      <c r="G61" s="1168">
        <f>'7 Finanzierung|Financing'!G57</f>
        <v>0</v>
      </c>
      <c r="H61" s="1168">
        <f>'7 Finanzierung|Financing'!H57</f>
        <v>0</v>
      </c>
      <c r="I61" s="690"/>
      <c r="J61" s="659"/>
      <c r="K61" s="691"/>
      <c r="L61" s="691"/>
      <c r="M61" s="691"/>
      <c r="N61" s="691"/>
      <c r="O61" s="691"/>
      <c r="P61" s="691"/>
      <c r="S61" s="122"/>
      <c r="CV61" s="952" t="s">
        <v>258</v>
      </c>
      <c r="CW61" s="717" t="s">
        <v>675</v>
      </c>
    </row>
    <row r="62" spans="2:101" x14ac:dyDescent="0.2">
      <c r="B62" s="670"/>
      <c r="C62" s="672" t="str">
        <f t="shared" si="17"/>
        <v>Gewerbesteuer (Übernahme aus Tab. 5c)</v>
      </c>
      <c r="D62" s="1168">
        <f>'5 Rentabilitaet|Profit'!D50</f>
        <v>0</v>
      </c>
      <c r="E62" s="1168">
        <f>'5 Rentabilitaet|Profit'!E50</f>
        <v>0</v>
      </c>
      <c r="F62" s="1168">
        <f>'5 Rentabilitaet|Profit'!F50</f>
        <v>0</v>
      </c>
      <c r="G62" s="1168">
        <f>'5 Rentabilitaet|Profit'!G50</f>
        <v>0</v>
      </c>
      <c r="H62" s="1168">
        <f>'5 Rentabilitaet|Profit'!H50</f>
        <v>0</v>
      </c>
      <c r="I62" s="690"/>
      <c r="K62" s="691"/>
      <c r="L62" s="691"/>
      <c r="M62" s="691"/>
      <c r="N62" s="691"/>
      <c r="O62" s="691"/>
      <c r="P62" s="691"/>
      <c r="S62" s="122"/>
      <c r="CV62" s="39" t="s">
        <v>164</v>
      </c>
      <c r="CW62" s="717" t="str">
        <f>CW28</f>
        <v>Business tax (from tab. 5c)</v>
      </c>
    </row>
    <row r="63" spans="2:101" x14ac:dyDescent="0.2">
      <c r="B63" s="675"/>
      <c r="C63" s="672" t="str">
        <f t="shared" si="17"/>
        <v>Einkommensteuer (Übernahme aus Tab. 5b; Jahreswert gezwölftelt)</v>
      </c>
      <c r="D63" s="1168">
        <f>'5 Rentabilitaet|Profit'!D52</f>
        <v>0</v>
      </c>
      <c r="E63" s="1168">
        <f>'5 Rentabilitaet|Profit'!E52</f>
        <v>0</v>
      </c>
      <c r="F63" s="1168">
        <f>'5 Rentabilitaet|Profit'!F52</f>
        <v>0</v>
      </c>
      <c r="G63" s="1168">
        <f>'5 Rentabilitaet|Profit'!G52</f>
        <v>0</v>
      </c>
      <c r="H63" s="1168">
        <f>'5 Rentabilitaet|Profit'!H52</f>
        <v>0</v>
      </c>
      <c r="I63" s="690"/>
      <c r="J63" s="691"/>
      <c r="K63" s="697"/>
      <c r="L63" s="697"/>
      <c r="M63" s="697"/>
      <c r="N63" s="697"/>
      <c r="O63" s="697"/>
      <c r="P63" s="697"/>
      <c r="S63" s="122"/>
      <c r="CV63" s="39" t="str">
        <f>IF($C$4&lt;&gt;3,"Einkommensteuer (Übernahme aus Tab. 5b; Jahreswert gezwölftelt)","Körperschaftsteuer (Übernahme aus Tab. 5b)")</f>
        <v>Einkommensteuer (Übernahme aus Tab. 5b; Jahreswert gezwölftelt)</v>
      </c>
      <c r="CW63" s="717" t="str">
        <f t="shared" ref="CW63:CW71" si="20">CW29</f>
        <v xml:space="preserve">Income Tax (from tab. 5b; annual value partitioned into twelve) </v>
      </c>
    </row>
    <row r="64" spans="2:101" x14ac:dyDescent="0.2">
      <c r="B64" s="675"/>
      <c r="C64" s="672" t="str">
        <f>C30</f>
        <v/>
      </c>
      <c r="D64" s="1168" t="str">
        <f>IF(P30=0,"",P30)</f>
        <v/>
      </c>
      <c r="E64" s="1168">
        <f>IF($C$4&lt;=1,'1 Pers.Ausgaben|Pers Expenses'!E104,"")</f>
        <v>0</v>
      </c>
      <c r="F64" s="1168">
        <f>IF($C$4&lt;=1,'1 Pers.Ausgaben|Pers Expenses'!F104,"")</f>
        <v>0</v>
      </c>
      <c r="G64" s="1168">
        <f>IF($C$4&lt;=1,'1 Pers.Ausgaben|Pers Expenses'!G104,"")</f>
        <v>0</v>
      </c>
      <c r="H64" s="1168">
        <f>IF($C$4&lt;=1,'1 Pers.Ausgaben|Pers Expenses'!H104,"")</f>
        <v>0</v>
      </c>
      <c r="I64" s="690"/>
      <c r="J64" s="697"/>
      <c r="K64" s="697"/>
      <c r="L64" s="697"/>
      <c r="M64" s="697"/>
      <c r="N64" s="697"/>
      <c r="O64" s="697"/>
      <c r="P64" s="697"/>
      <c r="S64" s="122"/>
      <c r="CV64" s="39" t="str">
        <f>IF(OR('Deckblatt Gruender|Data Founder'!$D$13='Deckblatt Gruender|Data Founder'!$C$2,'Deckblatt Gruender|Data Founder'!$D$13='Deckblatt Gruender|Data Founder'!$C$1),"Privatentnahmen Lebensunterhalt (aus Tab. 1b; siehe Kommentar)","")</f>
        <v/>
      </c>
      <c r="CW64" s="717" t="str">
        <f t="shared" si="20"/>
        <v/>
      </c>
    </row>
    <row r="65" spans="2:101" x14ac:dyDescent="0.2">
      <c r="B65" s="675"/>
      <c r="C65" s="1436" t="s">
        <v>55</v>
      </c>
      <c r="D65" s="1440">
        <f>P31</f>
        <v>0</v>
      </c>
      <c r="E65" s="1434"/>
      <c r="F65" s="1434"/>
      <c r="G65" s="1434"/>
      <c r="H65" s="1441"/>
      <c r="I65" s="690"/>
      <c r="J65" s="697"/>
      <c r="K65" s="697"/>
      <c r="L65" s="697"/>
      <c r="M65" s="697"/>
      <c r="N65" s="697"/>
      <c r="O65" s="697"/>
      <c r="P65" s="697"/>
      <c r="S65" s="1546"/>
      <c r="CV65" s="484" t="s">
        <v>55</v>
      </c>
      <c r="CW65" s="717" t="str">
        <f t="shared" si="20"/>
        <v>Other pay offs</v>
      </c>
    </row>
    <row r="66" spans="2:101" ht="15.75" thickBot="1" x14ac:dyDescent="0.25">
      <c r="B66" s="676"/>
      <c r="C66" s="1065" t="str">
        <f t="shared" si="17"/>
        <v>Summe Liquiditätsabgang</v>
      </c>
      <c r="D66" s="1172">
        <f>SUM(D54:D65)</f>
        <v>0</v>
      </c>
      <c r="E66" s="1172">
        <f>SUM(E54:E65)</f>
        <v>0</v>
      </c>
      <c r="F66" s="1172">
        <f>SUM(F54:F65)</f>
        <v>0</v>
      </c>
      <c r="G66" s="1172">
        <f>SUM(G54:G65)</f>
        <v>0</v>
      </c>
      <c r="H66" s="1173">
        <f>SUM(H54:H65)</f>
        <v>0</v>
      </c>
      <c r="I66" s="690"/>
      <c r="J66" s="697"/>
      <c r="K66" s="697"/>
      <c r="L66" s="697"/>
      <c r="M66" s="697"/>
      <c r="N66" s="697"/>
      <c r="O66" s="697"/>
      <c r="P66" s="697"/>
      <c r="S66" s="96" t="s">
        <v>251</v>
      </c>
      <c r="CV66" s="39" t="s">
        <v>56</v>
      </c>
      <c r="CW66" s="717" t="str">
        <f t="shared" si="20"/>
        <v>Sum liquidity outflow</v>
      </c>
    </row>
    <row r="67" spans="2:101" ht="15" thickTop="1" x14ac:dyDescent="0.2">
      <c r="B67" s="670">
        <v>4</v>
      </c>
      <c r="C67" s="677" t="str">
        <f t="shared" si="17"/>
        <v>Liquiditätssaldo</v>
      </c>
      <c r="D67" s="1168"/>
      <c r="E67" s="1168"/>
      <c r="F67" s="1168"/>
      <c r="G67" s="1168"/>
      <c r="H67" s="1169"/>
      <c r="I67" s="690"/>
      <c r="J67" s="697"/>
      <c r="K67" s="697"/>
      <c r="L67" s="697"/>
      <c r="M67" s="697"/>
      <c r="N67" s="697"/>
      <c r="O67" s="697"/>
      <c r="P67" s="697"/>
      <c r="CV67" s="39" t="s">
        <v>57</v>
      </c>
      <c r="CW67" s="717" t="str">
        <f t="shared" si="20"/>
        <v xml:space="preserve">Liquidity balance </v>
      </c>
    </row>
    <row r="68" spans="2:101" x14ac:dyDescent="0.2">
      <c r="B68" s="670"/>
      <c r="C68" s="671" t="str">
        <f t="shared" si="17"/>
        <v xml:space="preserve">Konto/flüss. Mittel/ Liquiditätssaldo/Startg. </v>
      </c>
      <c r="D68" s="1168">
        <f>D43</f>
        <v>0</v>
      </c>
      <c r="E68" s="1168">
        <f>E42</f>
        <v>0</v>
      </c>
      <c r="F68" s="1168">
        <f>F42</f>
        <v>0</v>
      </c>
      <c r="G68" s="1168">
        <f>G42</f>
        <v>0</v>
      </c>
      <c r="H68" s="1169">
        <f>H42</f>
        <v>0</v>
      </c>
      <c r="I68" s="690"/>
      <c r="J68" s="697"/>
      <c r="K68" s="697"/>
      <c r="L68" s="697"/>
      <c r="M68" s="697"/>
      <c r="N68" s="697"/>
      <c r="O68" s="697"/>
      <c r="P68" s="697"/>
      <c r="CV68" s="39" t="s">
        <v>72</v>
      </c>
      <c r="CW68" s="717" t="str">
        <f t="shared" si="20"/>
        <v>Account / liquid resources / liquidity balance / opening balance</v>
      </c>
    </row>
    <row r="69" spans="2:101" x14ac:dyDescent="0.2">
      <c r="B69" s="670"/>
      <c r="C69" s="671" t="str">
        <f t="shared" si="17"/>
        <v>(+) Summe Liquiditätszugang</v>
      </c>
      <c r="D69" s="1168">
        <f>P18</f>
        <v>0</v>
      </c>
      <c r="E69" s="1168">
        <f>E52</f>
        <v>0</v>
      </c>
      <c r="F69" s="1168">
        <f>F52</f>
        <v>0</v>
      </c>
      <c r="G69" s="1168">
        <f>G52</f>
        <v>0</v>
      </c>
      <c r="H69" s="1169">
        <f>H52</f>
        <v>0</v>
      </c>
      <c r="I69" s="690"/>
      <c r="J69" s="697"/>
      <c r="K69" s="697"/>
      <c r="L69" s="697"/>
      <c r="M69" s="697"/>
      <c r="N69" s="697"/>
      <c r="O69" s="697"/>
      <c r="P69" s="697"/>
      <c r="CV69" s="39" t="s">
        <v>58</v>
      </c>
      <c r="CW69" s="717" t="str">
        <f t="shared" si="20"/>
        <v>(+) Sum liquidity access</v>
      </c>
    </row>
    <row r="70" spans="2:101" x14ac:dyDescent="0.2">
      <c r="B70" s="675"/>
      <c r="C70" s="671" t="str">
        <f t="shared" si="17"/>
        <v>(-) Summe Liquiditätsabgang</v>
      </c>
      <c r="D70" s="1168">
        <f>P32</f>
        <v>0</v>
      </c>
      <c r="E70" s="1168">
        <f>E66</f>
        <v>0</v>
      </c>
      <c r="F70" s="1168">
        <f>F66</f>
        <v>0</v>
      </c>
      <c r="G70" s="1168">
        <f>G66</f>
        <v>0</v>
      </c>
      <c r="H70" s="1169">
        <f>H66</f>
        <v>0</v>
      </c>
      <c r="I70" s="690"/>
      <c r="J70" s="697"/>
      <c r="K70" s="697"/>
      <c r="L70" s="697"/>
      <c r="M70" s="697"/>
      <c r="N70" s="697"/>
      <c r="O70" s="697"/>
      <c r="P70" s="697"/>
      <c r="CV70" s="39" t="s">
        <v>59</v>
      </c>
      <c r="CW70" s="717" t="str">
        <f t="shared" si="20"/>
        <v>(-)Sum liquidity outflow</v>
      </c>
    </row>
    <row r="71" spans="2:101" ht="15.75" thickBot="1" x14ac:dyDescent="0.25">
      <c r="B71" s="678"/>
      <c r="C71" s="1064" t="str">
        <f t="shared" si="17"/>
        <v>Liquiditätssaldo</v>
      </c>
      <c r="D71" s="1175">
        <f>D68+D69-D70</f>
        <v>0</v>
      </c>
      <c r="E71" s="1175">
        <f>E68+E69-E70</f>
        <v>0</v>
      </c>
      <c r="F71" s="1175">
        <f>F68+F69-F70</f>
        <v>0</v>
      </c>
      <c r="G71" s="1175">
        <f>G68+G69-G70</f>
        <v>0</v>
      </c>
      <c r="H71" s="1181">
        <f>H68+H69-H70</f>
        <v>0</v>
      </c>
      <c r="I71" s="690"/>
      <c r="J71" s="697"/>
      <c r="K71" s="697"/>
      <c r="L71" s="697"/>
      <c r="M71" s="697"/>
      <c r="N71" s="697"/>
      <c r="O71" s="697"/>
      <c r="P71" s="697"/>
      <c r="CV71" s="39" t="s">
        <v>57</v>
      </c>
      <c r="CW71" s="717" t="str">
        <f t="shared" si="20"/>
        <v xml:space="preserve">Liquidity balance </v>
      </c>
    </row>
    <row r="72" spans="2:101" x14ac:dyDescent="0.2">
      <c r="B72" s="55"/>
      <c r="C72" s="55"/>
      <c r="D72" s="55"/>
      <c r="E72" s="55"/>
      <c r="F72" s="55"/>
      <c r="G72" s="55"/>
      <c r="H72" s="55"/>
      <c r="I72" s="55"/>
      <c r="J72" s="697"/>
      <c r="K72" s="697"/>
      <c r="L72" s="697"/>
      <c r="M72" s="697"/>
      <c r="N72" s="697"/>
      <c r="O72" s="697"/>
      <c r="P72" s="697"/>
    </row>
    <row r="73" spans="2:101" ht="18.75" thickBot="1" x14ac:dyDescent="0.25">
      <c r="B73" s="343" t="str">
        <f>IF($C$3="English",CW73,CV73)</f>
        <v>Anmerkungen</v>
      </c>
      <c r="D73" s="55"/>
      <c r="E73" s="55"/>
      <c r="F73" s="55"/>
      <c r="G73" s="55"/>
      <c r="H73" s="55"/>
      <c r="I73" s="55"/>
      <c r="J73" s="659"/>
      <c r="K73" s="659"/>
      <c r="L73" s="659"/>
      <c r="M73" s="659"/>
      <c r="N73" s="659"/>
      <c r="O73" s="659"/>
      <c r="P73" s="659"/>
      <c r="CV73" s="39" t="s">
        <v>119</v>
      </c>
      <c r="CW73" s="58" t="s">
        <v>392</v>
      </c>
    </row>
    <row r="74" spans="2:101" x14ac:dyDescent="0.2">
      <c r="B74" s="1640"/>
      <c r="C74" s="1641"/>
      <c r="D74" s="1641"/>
      <c r="E74" s="1641"/>
      <c r="F74" s="1641"/>
      <c r="G74" s="1641"/>
      <c r="H74" s="1641"/>
      <c r="I74" s="1641"/>
      <c r="J74" s="1641"/>
      <c r="K74" s="1641"/>
      <c r="L74" s="1641"/>
      <c r="M74" s="1641"/>
      <c r="N74" s="1641"/>
      <c r="O74" s="1641"/>
      <c r="P74" s="1642"/>
    </row>
    <row r="75" spans="2:101" x14ac:dyDescent="0.2">
      <c r="B75" s="1643"/>
      <c r="C75" s="1644"/>
      <c r="D75" s="1644"/>
      <c r="E75" s="1644"/>
      <c r="F75" s="1644"/>
      <c r="G75" s="1644"/>
      <c r="H75" s="1644"/>
      <c r="I75" s="1644"/>
      <c r="J75" s="1644"/>
      <c r="K75" s="1644"/>
      <c r="L75" s="1644"/>
      <c r="M75" s="1644"/>
      <c r="N75" s="1644"/>
      <c r="O75" s="1644"/>
      <c r="P75" s="1645"/>
    </row>
    <row r="76" spans="2:101" x14ac:dyDescent="0.2">
      <c r="B76" s="1643"/>
      <c r="C76" s="1644"/>
      <c r="D76" s="1644"/>
      <c r="E76" s="1644"/>
      <c r="F76" s="1644"/>
      <c r="G76" s="1644"/>
      <c r="H76" s="1644"/>
      <c r="I76" s="1644"/>
      <c r="J76" s="1644"/>
      <c r="K76" s="1644"/>
      <c r="L76" s="1644"/>
      <c r="M76" s="1644"/>
      <c r="N76" s="1644"/>
      <c r="O76" s="1644"/>
      <c r="P76" s="1645"/>
    </row>
    <row r="77" spans="2:101" x14ac:dyDescent="0.2">
      <c r="B77" s="1643"/>
      <c r="C77" s="1644"/>
      <c r="D77" s="1644"/>
      <c r="E77" s="1644"/>
      <c r="F77" s="1644"/>
      <c r="G77" s="1644"/>
      <c r="H77" s="1644"/>
      <c r="I77" s="1644"/>
      <c r="J77" s="1644"/>
      <c r="K77" s="1644"/>
      <c r="L77" s="1644"/>
      <c r="M77" s="1644"/>
      <c r="N77" s="1644"/>
      <c r="O77" s="1644"/>
      <c r="P77" s="1645"/>
    </row>
    <row r="78" spans="2:101" ht="15" thickBot="1" x14ac:dyDescent="0.25">
      <c r="B78" s="1646"/>
      <c r="C78" s="1647"/>
      <c r="D78" s="1647"/>
      <c r="E78" s="1647"/>
      <c r="F78" s="1647"/>
      <c r="G78" s="1647"/>
      <c r="H78" s="1647"/>
      <c r="I78" s="1647"/>
      <c r="J78" s="1647"/>
      <c r="K78" s="1647"/>
      <c r="L78" s="1647"/>
      <c r="M78" s="1647"/>
      <c r="N78" s="1647"/>
      <c r="O78" s="1647"/>
      <c r="P78" s="1648"/>
    </row>
    <row r="79" spans="2:101" x14ac:dyDescent="0.2">
      <c r="B79" s="55"/>
      <c r="C79" s="55"/>
      <c r="D79" s="55"/>
      <c r="E79" s="55"/>
      <c r="F79" s="55"/>
      <c r="G79" s="55"/>
      <c r="H79" s="55"/>
      <c r="I79" s="55"/>
      <c r="J79" s="659"/>
      <c r="K79" s="659"/>
      <c r="L79" s="659"/>
      <c r="M79" s="659"/>
      <c r="N79" s="659"/>
      <c r="O79" s="659"/>
      <c r="P79" s="659"/>
    </row>
    <row r="80" spans="2:101" x14ac:dyDescent="0.2">
      <c r="B80" s="55"/>
      <c r="C80" s="55"/>
      <c r="D80" s="55"/>
      <c r="E80" s="55"/>
      <c r="F80" s="55"/>
      <c r="G80" s="55"/>
      <c r="H80" s="55"/>
      <c r="I80" s="55"/>
      <c r="J80" s="659"/>
      <c r="K80" s="659"/>
      <c r="L80" s="659"/>
      <c r="M80" s="659"/>
      <c r="N80" s="659"/>
      <c r="O80" s="659"/>
      <c r="P80" s="659"/>
    </row>
    <row r="81" spans="2:16" x14ac:dyDescent="0.2">
      <c r="B81" s="55"/>
      <c r="C81" s="55"/>
      <c r="D81" s="55"/>
      <c r="E81" s="55"/>
      <c r="F81" s="55"/>
      <c r="G81" s="55"/>
      <c r="H81" s="55"/>
      <c r="I81" s="55"/>
      <c r="J81" s="659"/>
      <c r="K81" s="659"/>
      <c r="L81" s="659"/>
      <c r="M81" s="659"/>
      <c r="N81" s="659"/>
      <c r="O81" s="659"/>
      <c r="P81" s="659"/>
    </row>
    <row r="82" spans="2:16" x14ac:dyDescent="0.2">
      <c r="B82" s="55"/>
      <c r="C82" s="55"/>
      <c r="D82" s="55"/>
      <c r="E82" s="55"/>
      <c r="F82" s="55"/>
      <c r="G82" s="55"/>
      <c r="H82" s="55"/>
      <c r="I82" s="55"/>
      <c r="J82" s="659"/>
      <c r="K82" s="659"/>
      <c r="L82" s="659"/>
      <c r="M82" s="659"/>
      <c r="N82" s="659"/>
      <c r="O82" s="659"/>
      <c r="P82" s="659"/>
    </row>
    <row r="83" spans="2:16" x14ac:dyDescent="0.2">
      <c r="B83" s="55"/>
      <c r="C83" s="55"/>
      <c r="D83" s="55"/>
      <c r="E83" s="55"/>
      <c r="F83" s="55"/>
      <c r="G83" s="55"/>
      <c r="H83" s="55"/>
      <c r="I83" s="55"/>
      <c r="J83" s="659"/>
      <c r="K83" s="659"/>
      <c r="L83" s="659"/>
      <c r="M83" s="659"/>
      <c r="N83" s="659"/>
      <c r="O83" s="659"/>
      <c r="P83" s="659"/>
    </row>
    <row r="84" spans="2:16" x14ac:dyDescent="0.2">
      <c r="B84" s="55"/>
      <c r="C84" s="55"/>
      <c r="D84" s="55"/>
      <c r="E84" s="55"/>
      <c r="F84" s="55"/>
      <c r="G84" s="55"/>
      <c r="H84" s="55"/>
      <c r="I84" s="55"/>
      <c r="J84" s="659"/>
      <c r="K84" s="659"/>
      <c r="L84" s="659"/>
      <c r="M84" s="659"/>
      <c r="N84" s="659"/>
      <c r="O84" s="659"/>
      <c r="P84" s="659"/>
    </row>
    <row r="85" spans="2:16" x14ac:dyDescent="0.2">
      <c r="B85" s="55"/>
      <c r="C85" s="55"/>
      <c r="D85" s="55"/>
      <c r="E85" s="55"/>
      <c r="F85" s="55"/>
      <c r="G85" s="55"/>
      <c r="H85" s="55"/>
      <c r="I85" s="55"/>
      <c r="J85" s="659"/>
      <c r="K85" s="659"/>
      <c r="L85" s="659"/>
      <c r="M85" s="659"/>
      <c r="N85" s="659"/>
      <c r="O85" s="659"/>
      <c r="P85" s="659"/>
    </row>
    <row r="86" spans="2:16" x14ac:dyDescent="0.2">
      <c r="B86" s="55"/>
      <c r="C86" s="55"/>
      <c r="D86" s="55"/>
      <c r="E86" s="55"/>
      <c r="F86" s="55"/>
      <c r="G86" s="55"/>
      <c r="H86" s="55"/>
      <c r="I86" s="55"/>
      <c r="J86" s="659"/>
      <c r="K86" s="659"/>
      <c r="L86" s="659"/>
      <c r="M86" s="659"/>
      <c r="N86" s="659"/>
      <c r="O86" s="659"/>
      <c r="P86" s="659"/>
    </row>
    <row r="87" spans="2:16" x14ac:dyDescent="0.2">
      <c r="B87" s="55"/>
      <c r="C87" s="55"/>
      <c r="D87" s="55"/>
      <c r="E87" s="55"/>
      <c r="F87" s="55"/>
      <c r="G87" s="55"/>
      <c r="H87" s="55"/>
      <c r="I87" s="55"/>
      <c r="J87" s="659"/>
      <c r="K87" s="659"/>
      <c r="L87" s="659"/>
      <c r="M87" s="659"/>
      <c r="N87" s="659"/>
      <c r="O87" s="659"/>
      <c r="P87" s="659"/>
    </row>
    <row r="88" spans="2:16" x14ac:dyDescent="0.2">
      <c r="B88" s="55"/>
      <c r="C88" s="55"/>
      <c r="D88" s="55"/>
      <c r="E88" s="55"/>
      <c r="F88" s="55"/>
      <c r="G88" s="55"/>
      <c r="H88" s="55"/>
      <c r="I88" s="55"/>
      <c r="J88" s="659"/>
      <c r="K88" s="659"/>
      <c r="L88" s="659"/>
      <c r="M88" s="659"/>
      <c r="N88" s="659"/>
      <c r="O88" s="659"/>
      <c r="P88" s="659"/>
    </row>
    <row r="89" spans="2:16" x14ac:dyDescent="0.2">
      <c r="B89" s="55"/>
      <c r="C89" s="55"/>
      <c r="D89" s="55"/>
      <c r="E89" s="55"/>
      <c r="F89" s="55"/>
      <c r="G89" s="55"/>
      <c r="H89" s="55"/>
      <c r="I89" s="55"/>
      <c r="J89" s="659"/>
      <c r="K89" s="659"/>
      <c r="L89" s="659"/>
      <c r="M89" s="659"/>
      <c r="N89" s="659"/>
      <c r="O89" s="659"/>
      <c r="P89" s="659"/>
    </row>
    <row r="90" spans="2:16" x14ac:dyDescent="0.2">
      <c r="B90" s="55"/>
      <c r="C90" s="55"/>
      <c r="D90" s="55"/>
      <c r="E90" s="55"/>
      <c r="F90" s="55"/>
      <c r="G90" s="55"/>
      <c r="H90" s="55"/>
      <c r="I90" s="55"/>
      <c r="J90" s="659"/>
      <c r="K90" s="659"/>
      <c r="L90" s="659"/>
      <c r="M90" s="659"/>
      <c r="N90" s="659"/>
      <c r="O90" s="659"/>
      <c r="P90" s="659"/>
    </row>
    <row r="91" spans="2:16" x14ac:dyDescent="0.2">
      <c r="B91" s="55"/>
      <c r="C91" s="55"/>
      <c r="D91" s="55"/>
      <c r="E91" s="55"/>
      <c r="F91" s="55"/>
      <c r="G91" s="55"/>
      <c r="H91" s="55"/>
      <c r="I91" s="55"/>
      <c r="J91" s="659"/>
      <c r="K91" s="659"/>
      <c r="L91" s="659"/>
      <c r="M91" s="659"/>
      <c r="N91" s="659"/>
      <c r="O91" s="659"/>
      <c r="P91" s="659"/>
    </row>
    <row r="92" spans="2:16" x14ac:dyDescent="0.2">
      <c r="B92" s="55"/>
      <c r="C92" s="55"/>
      <c r="D92" s="55"/>
      <c r="E92" s="55"/>
      <c r="F92" s="55"/>
      <c r="G92" s="55"/>
      <c r="H92" s="55"/>
      <c r="I92" s="55"/>
      <c r="J92" s="659"/>
      <c r="K92" s="659"/>
      <c r="L92" s="659"/>
      <c r="M92" s="659"/>
      <c r="N92" s="659"/>
      <c r="O92" s="659"/>
      <c r="P92" s="659"/>
    </row>
    <row r="93" spans="2:16" x14ac:dyDescent="0.2">
      <c r="B93" s="55"/>
      <c r="C93" s="55"/>
      <c r="D93" s="55"/>
      <c r="E93" s="55"/>
      <c r="F93" s="55"/>
      <c r="G93" s="55"/>
      <c r="H93" s="55"/>
      <c r="I93" s="55"/>
      <c r="J93" s="659"/>
      <c r="K93" s="659"/>
      <c r="L93" s="659"/>
      <c r="M93" s="659"/>
      <c r="N93" s="659"/>
      <c r="O93" s="659"/>
      <c r="P93" s="659"/>
    </row>
    <row r="94" spans="2:16" x14ac:dyDescent="0.2">
      <c r="B94" s="55"/>
      <c r="C94" s="55"/>
      <c r="D94" s="55"/>
      <c r="E94" s="55"/>
      <c r="F94" s="55"/>
      <c r="G94" s="55"/>
      <c r="H94" s="55"/>
      <c r="I94" s="55"/>
      <c r="J94" s="659"/>
      <c r="K94" s="659"/>
      <c r="L94" s="659"/>
      <c r="M94" s="659"/>
      <c r="N94" s="659"/>
      <c r="O94" s="659"/>
      <c r="P94" s="659"/>
    </row>
    <row r="95" spans="2:16" x14ac:dyDescent="0.2">
      <c r="B95" s="55"/>
      <c r="C95" s="55"/>
      <c r="D95" s="55"/>
      <c r="E95" s="55"/>
      <c r="F95" s="55"/>
      <c r="G95" s="55"/>
      <c r="H95" s="55"/>
      <c r="I95" s="55"/>
      <c r="J95" s="659"/>
      <c r="K95" s="659"/>
      <c r="L95" s="659"/>
      <c r="M95" s="659"/>
      <c r="N95" s="659"/>
      <c r="O95" s="659"/>
      <c r="P95" s="659"/>
    </row>
    <row r="96" spans="2:16" x14ac:dyDescent="0.2">
      <c r="B96" s="55"/>
      <c r="C96" s="55"/>
      <c r="D96" s="55"/>
      <c r="E96" s="55"/>
      <c r="F96" s="55"/>
      <c r="G96" s="55"/>
      <c r="H96" s="55"/>
      <c r="I96" s="55"/>
      <c r="J96" s="659"/>
      <c r="K96" s="659"/>
      <c r="L96" s="659"/>
      <c r="M96" s="659"/>
      <c r="N96" s="659"/>
      <c r="O96" s="659"/>
      <c r="P96" s="659"/>
    </row>
    <row r="97" spans="2:16" x14ac:dyDescent="0.2">
      <c r="B97" s="55"/>
      <c r="C97" s="55"/>
      <c r="D97" s="55"/>
      <c r="E97" s="55"/>
      <c r="F97" s="55"/>
      <c r="G97" s="55"/>
      <c r="H97" s="55"/>
      <c r="I97" s="55"/>
      <c r="J97" s="659"/>
      <c r="K97" s="659"/>
      <c r="L97" s="659"/>
      <c r="M97" s="659"/>
      <c r="N97" s="659"/>
      <c r="O97" s="659"/>
      <c r="P97" s="659"/>
    </row>
    <row r="98" spans="2:16" x14ac:dyDescent="0.2">
      <c r="B98" s="55"/>
      <c r="C98" s="55"/>
      <c r="D98" s="55"/>
      <c r="E98" s="55"/>
      <c r="F98" s="55"/>
      <c r="G98" s="55"/>
      <c r="H98" s="55"/>
      <c r="I98" s="55"/>
      <c r="J98" s="659"/>
      <c r="K98" s="659"/>
      <c r="L98" s="659"/>
      <c r="M98" s="659"/>
      <c r="N98" s="659"/>
      <c r="O98" s="659"/>
      <c r="P98" s="659"/>
    </row>
    <row r="99" spans="2:16" x14ac:dyDescent="0.2">
      <c r="B99" s="55"/>
      <c r="C99" s="55"/>
      <c r="D99" s="55"/>
      <c r="E99" s="55"/>
      <c r="F99" s="55"/>
      <c r="G99" s="55"/>
      <c r="H99" s="55"/>
      <c r="I99" s="55"/>
      <c r="J99" s="659"/>
      <c r="K99" s="659"/>
      <c r="L99" s="659"/>
      <c r="M99" s="659"/>
      <c r="N99" s="659"/>
      <c r="O99" s="659"/>
      <c r="P99" s="659"/>
    </row>
    <row r="100" spans="2:16" x14ac:dyDescent="0.2">
      <c r="B100" s="55"/>
      <c r="C100" s="55"/>
      <c r="D100" s="55"/>
      <c r="E100" s="55"/>
      <c r="F100" s="55"/>
      <c r="G100" s="55"/>
      <c r="H100" s="55"/>
      <c r="I100" s="55"/>
      <c r="J100" s="659"/>
      <c r="K100" s="659"/>
      <c r="L100" s="659"/>
      <c r="M100" s="659"/>
      <c r="N100" s="659"/>
      <c r="O100" s="659"/>
      <c r="P100" s="659"/>
    </row>
    <row r="101" spans="2:16" x14ac:dyDescent="0.2">
      <c r="B101" s="55"/>
      <c r="C101" s="55"/>
      <c r="D101" s="55"/>
      <c r="E101" s="55"/>
      <c r="F101" s="55"/>
      <c r="G101" s="55"/>
      <c r="H101" s="55"/>
      <c r="I101" s="55"/>
      <c r="J101" s="659"/>
      <c r="K101" s="659"/>
      <c r="L101" s="659"/>
      <c r="M101" s="659"/>
      <c r="N101" s="659"/>
      <c r="O101" s="659"/>
      <c r="P101" s="659"/>
    </row>
    <row r="102" spans="2:16" x14ac:dyDescent="0.2">
      <c r="B102" s="55"/>
      <c r="C102" s="55"/>
      <c r="D102" s="55"/>
      <c r="E102" s="55"/>
      <c r="F102" s="55"/>
      <c r="G102" s="55"/>
      <c r="H102" s="55"/>
      <c r="I102" s="55"/>
      <c r="J102" s="659"/>
      <c r="K102" s="659"/>
      <c r="L102" s="659"/>
      <c r="M102" s="659"/>
      <c r="N102" s="659"/>
      <c r="O102" s="659"/>
      <c r="P102" s="659"/>
    </row>
    <row r="103" spans="2:16" x14ac:dyDescent="0.2">
      <c r="B103" s="55"/>
      <c r="C103" s="55"/>
      <c r="D103" s="55"/>
      <c r="E103" s="55"/>
      <c r="F103" s="55"/>
      <c r="G103" s="55"/>
      <c r="H103" s="55"/>
      <c r="I103" s="55"/>
      <c r="J103" s="659"/>
      <c r="K103" s="659"/>
      <c r="L103" s="659"/>
      <c r="M103" s="659"/>
      <c r="N103" s="659"/>
      <c r="O103" s="659"/>
      <c r="P103" s="659"/>
    </row>
    <row r="104" spans="2:16" x14ac:dyDescent="0.2">
      <c r="B104" s="55"/>
      <c r="C104" s="55"/>
      <c r="D104" s="55"/>
      <c r="E104" s="55"/>
      <c r="F104" s="55"/>
      <c r="G104" s="55"/>
      <c r="H104" s="55"/>
      <c r="I104" s="55"/>
      <c r="J104" s="659"/>
      <c r="K104" s="659"/>
      <c r="L104" s="659"/>
      <c r="M104" s="659"/>
      <c r="N104" s="659"/>
      <c r="O104" s="659"/>
      <c r="P104" s="659"/>
    </row>
    <row r="105" spans="2:16" x14ac:dyDescent="0.2">
      <c r="B105" s="55"/>
      <c r="C105" s="55"/>
      <c r="D105" s="55"/>
      <c r="E105" s="55"/>
      <c r="F105" s="55"/>
      <c r="G105" s="55"/>
      <c r="H105" s="55"/>
      <c r="I105" s="55"/>
      <c r="J105" s="659"/>
      <c r="K105" s="659"/>
      <c r="L105" s="659"/>
      <c r="M105" s="659"/>
      <c r="N105" s="659"/>
      <c r="O105" s="659"/>
      <c r="P105" s="659"/>
    </row>
    <row r="106" spans="2:16" x14ac:dyDescent="0.2">
      <c r="B106" s="55"/>
      <c r="C106" s="55"/>
      <c r="D106" s="55"/>
      <c r="E106" s="55"/>
      <c r="F106" s="55"/>
      <c r="G106" s="55"/>
      <c r="H106" s="55"/>
      <c r="I106" s="55"/>
      <c r="J106" s="659"/>
      <c r="K106" s="659"/>
      <c r="L106" s="659"/>
      <c r="M106" s="659"/>
      <c r="N106" s="659"/>
      <c r="O106" s="659"/>
      <c r="P106" s="659"/>
    </row>
    <row r="107" spans="2:16" x14ac:dyDescent="0.2">
      <c r="B107" s="55"/>
      <c r="C107" s="55"/>
      <c r="D107" s="55"/>
      <c r="E107" s="55"/>
      <c r="F107" s="55"/>
      <c r="G107" s="55"/>
      <c r="H107" s="55"/>
      <c r="I107" s="55"/>
      <c r="J107" s="659"/>
      <c r="K107" s="659"/>
      <c r="L107" s="659"/>
      <c r="M107" s="659"/>
      <c r="N107" s="659"/>
      <c r="O107" s="659"/>
      <c r="P107" s="659"/>
    </row>
    <row r="108" spans="2:16" x14ac:dyDescent="0.2">
      <c r="B108" s="55"/>
      <c r="C108" s="55"/>
      <c r="D108" s="55"/>
      <c r="E108" s="55"/>
      <c r="F108" s="55"/>
      <c r="G108" s="55"/>
      <c r="H108" s="55"/>
      <c r="I108" s="55"/>
      <c r="J108" s="659"/>
      <c r="K108" s="659"/>
      <c r="L108" s="659"/>
      <c r="M108" s="659"/>
      <c r="N108" s="659"/>
      <c r="O108" s="659"/>
      <c r="P108" s="659"/>
    </row>
    <row r="109" spans="2:16" x14ac:dyDescent="0.2">
      <c r="B109" s="55"/>
      <c r="C109" s="55"/>
      <c r="D109" s="55"/>
      <c r="E109" s="55"/>
      <c r="F109" s="55"/>
      <c r="G109" s="55"/>
      <c r="H109" s="55"/>
      <c r="I109" s="55"/>
      <c r="J109" s="659"/>
      <c r="K109" s="659"/>
      <c r="L109" s="659"/>
      <c r="M109" s="659"/>
      <c r="N109" s="659"/>
      <c r="O109" s="659"/>
      <c r="P109" s="659"/>
    </row>
    <row r="110" spans="2:16" x14ac:dyDescent="0.2">
      <c r="B110" s="55"/>
      <c r="C110" s="55"/>
      <c r="D110" s="55"/>
      <c r="E110" s="55"/>
      <c r="F110" s="55"/>
      <c r="G110" s="55"/>
      <c r="H110" s="55"/>
      <c r="I110" s="55"/>
      <c r="J110" s="659"/>
      <c r="K110" s="659"/>
      <c r="L110" s="659"/>
      <c r="M110" s="659"/>
      <c r="N110" s="659"/>
      <c r="O110" s="659"/>
      <c r="P110" s="659"/>
    </row>
    <row r="111" spans="2:16" x14ac:dyDescent="0.2">
      <c r="B111" s="55"/>
      <c r="C111" s="55"/>
      <c r="D111" s="55"/>
      <c r="E111" s="55"/>
      <c r="F111" s="55"/>
      <c r="G111" s="55"/>
      <c r="H111" s="55"/>
      <c r="I111" s="55"/>
      <c r="J111" s="659"/>
      <c r="K111" s="659"/>
      <c r="L111" s="659"/>
      <c r="M111" s="659"/>
      <c r="N111" s="659"/>
      <c r="O111" s="659"/>
      <c r="P111" s="659"/>
    </row>
    <row r="112" spans="2:16" x14ac:dyDescent="0.2">
      <c r="B112" s="55"/>
      <c r="C112" s="55"/>
      <c r="D112" s="55"/>
      <c r="E112" s="55"/>
      <c r="F112" s="55"/>
      <c r="G112" s="55"/>
      <c r="H112" s="55"/>
      <c r="I112" s="55"/>
      <c r="J112" s="659"/>
      <c r="K112" s="659"/>
      <c r="L112" s="659"/>
      <c r="M112" s="659"/>
      <c r="N112" s="659"/>
      <c r="O112" s="659"/>
      <c r="P112" s="659"/>
    </row>
    <row r="113" spans="2:16" x14ac:dyDescent="0.2">
      <c r="B113" s="55"/>
      <c r="C113" s="55"/>
      <c r="D113" s="55"/>
      <c r="E113" s="55"/>
      <c r="F113" s="55"/>
      <c r="G113" s="55"/>
      <c r="H113" s="55"/>
      <c r="I113" s="55"/>
      <c r="J113" s="659"/>
      <c r="K113" s="659"/>
      <c r="L113" s="659"/>
      <c r="M113" s="659"/>
      <c r="N113" s="659"/>
      <c r="O113" s="659"/>
      <c r="P113" s="659"/>
    </row>
    <row r="114" spans="2:16" x14ac:dyDescent="0.2">
      <c r="B114" s="55"/>
      <c r="C114" s="55"/>
      <c r="D114" s="55"/>
      <c r="E114" s="55"/>
      <c r="F114" s="55"/>
      <c r="G114" s="55"/>
      <c r="H114" s="55"/>
      <c r="I114" s="55"/>
      <c r="J114" s="659"/>
      <c r="K114" s="659"/>
      <c r="L114" s="659"/>
      <c r="M114" s="659"/>
      <c r="N114" s="659"/>
      <c r="O114" s="659"/>
      <c r="P114" s="659"/>
    </row>
    <row r="115" spans="2:16" x14ac:dyDescent="0.2">
      <c r="B115" s="55"/>
      <c r="C115" s="55"/>
      <c r="D115" s="55"/>
      <c r="E115" s="55"/>
      <c r="F115" s="55"/>
      <c r="G115" s="55"/>
      <c r="H115" s="55"/>
      <c r="I115" s="55"/>
      <c r="J115" s="659"/>
      <c r="K115" s="659"/>
      <c r="L115" s="659"/>
      <c r="M115" s="659"/>
      <c r="N115" s="659"/>
      <c r="O115" s="659"/>
      <c r="P115" s="659"/>
    </row>
    <row r="116" spans="2:16" x14ac:dyDescent="0.2">
      <c r="B116" s="55"/>
      <c r="C116" s="55"/>
      <c r="D116" s="55"/>
      <c r="E116" s="55"/>
      <c r="F116" s="55"/>
      <c r="G116" s="55"/>
      <c r="H116" s="55"/>
      <c r="I116" s="55"/>
      <c r="J116" s="659"/>
      <c r="K116" s="659"/>
      <c r="L116" s="659"/>
      <c r="M116" s="659"/>
      <c r="N116" s="659"/>
      <c r="O116" s="659"/>
      <c r="P116" s="659"/>
    </row>
    <row r="117" spans="2:16" x14ac:dyDescent="0.2">
      <c r="B117" s="55"/>
      <c r="C117" s="55"/>
      <c r="D117" s="55"/>
      <c r="E117" s="55"/>
      <c r="F117" s="55"/>
      <c r="G117" s="55"/>
      <c r="H117" s="55"/>
      <c r="I117" s="55"/>
      <c r="J117" s="659"/>
      <c r="K117" s="659"/>
      <c r="L117" s="659"/>
      <c r="M117" s="659"/>
      <c r="N117" s="659"/>
      <c r="O117" s="659"/>
      <c r="P117" s="659"/>
    </row>
    <row r="118" spans="2:16" x14ac:dyDescent="0.2">
      <c r="B118" s="55"/>
      <c r="C118" s="55"/>
      <c r="D118" s="55"/>
      <c r="E118" s="55"/>
      <c r="F118" s="55"/>
      <c r="G118" s="55"/>
      <c r="H118" s="55"/>
      <c r="I118" s="55"/>
      <c r="J118" s="659"/>
      <c r="K118" s="659"/>
      <c r="L118" s="659"/>
      <c r="M118" s="659"/>
      <c r="N118" s="659"/>
      <c r="O118" s="659"/>
      <c r="P118" s="659"/>
    </row>
    <row r="119" spans="2:16" x14ac:dyDescent="0.2">
      <c r="B119" s="55"/>
      <c r="C119" s="55"/>
      <c r="D119" s="55"/>
      <c r="E119" s="55"/>
      <c r="F119" s="55"/>
      <c r="G119" s="55"/>
      <c r="H119" s="55"/>
      <c r="I119" s="55"/>
      <c r="J119" s="659"/>
      <c r="K119" s="659"/>
      <c r="L119" s="659"/>
      <c r="M119" s="659"/>
      <c r="N119" s="659"/>
      <c r="O119" s="659"/>
      <c r="P119" s="659"/>
    </row>
    <row r="120" spans="2:16" x14ac:dyDescent="0.2">
      <c r="B120" s="55"/>
      <c r="C120" s="55"/>
      <c r="D120" s="55"/>
      <c r="E120" s="55"/>
      <c r="F120" s="55"/>
      <c r="G120" s="55"/>
      <c r="H120" s="55"/>
      <c r="I120" s="55"/>
      <c r="J120" s="659"/>
      <c r="K120" s="659"/>
      <c r="L120" s="659"/>
      <c r="M120" s="659"/>
      <c r="N120" s="659"/>
      <c r="O120" s="659"/>
      <c r="P120" s="659"/>
    </row>
    <row r="121" spans="2:16" x14ac:dyDescent="0.2">
      <c r="B121" s="55"/>
      <c r="C121" s="55"/>
      <c r="D121" s="55"/>
      <c r="E121" s="55"/>
      <c r="F121" s="55"/>
      <c r="G121" s="55"/>
      <c r="H121" s="55"/>
      <c r="I121" s="55"/>
      <c r="J121" s="659"/>
      <c r="K121" s="659"/>
      <c r="L121" s="659"/>
      <c r="M121" s="659"/>
      <c r="N121" s="659"/>
      <c r="O121" s="659"/>
      <c r="P121" s="659"/>
    </row>
    <row r="122" spans="2:16" x14ac:dyDescent="0.2">
      <c r="B122" s="55"/>
      <c r="C122" s="55"/>
      <c r="D122" s="55"/>
      <c r="E122" s="55"/>
      <c r="F122" s="55"/>
      <c r="G122" s="55"/>
      <c r="H122" s="55"/>
      <c r="I122" s="55"/>
      <c r="J122" s="659"/>
      <c r="K122" s="659"/>
      <c r="L122" s="659"/>
      <c r="M122" s="659"/>
      <c r="N122" s="659"/>
      <c r="O122" s="659"/>
      <c r="P122" s="659"/>
    </row>
    <row r="123" spans="2:16" x14ac:dyDescent="0.2">
      <c r="B123" s="55"/>
      <c r="C123" s="55"/>
      <c r="D123" s="55"/>
      <c r="E123" s="55"/>
      <c r="F123" s="55"/>
      <c r="G123" s="55"/>
      <c r="H123" s="55"/>
      <c r="I123" s="55"/>
      <c r="J123" s="659"/>
      <c r="K123" s="659"/>
      <c r="L123" s="659"/>
      <c r="M123" s="659"/>
      <c r="N123" s="659"/>
      <c r="O123" s="659"/>
      <c r="P123" s="659"/>
    </row>
    <row r="124" spans="2:16" x14ac:dyDescent="0.2">
      <c r="B124" s="55"/>
      <c r="C124" s="55"/>
      <c r="D124" s="55"/>
      <c r="E124" s="55"/>
      <c r="F124" s="55"/>
      <c r="G124" s="55"/>
      <c r="H124" s="55"/>
      <c r="I124" s="55"/>
      <c r="J124" s="659"/>
      <c r="K124" s="659"/>
      <c r="L124" s="659"/>
      <c r="M124" s="659"/>
      <c r="N124" s="659"/>
      <c r="O124" s="659"/>
      <c r="P124" s="659"/>
    </row>
    <row r="125" spans="2:16" x14ac:dyDescent="0.2">
      <c r="B125" s="55"/>
      <c r="C125" s="55"/>
      <c r="D125" s="55"/>
      <c r="E125" s="55"/>
      <c r="F125" s="55"/>
      <c r="G125" s="55"/>
      <c r="H125" s="55"/>
      <c r="I125" s="55"/>
      <c r="J125" s="659"/>
      <c r="K125" s="659"/>
      <c r="L125" s="659"/>
      <c r="M125" s="659"/>
      <c r="N125" s="659"/>
      <c r="O125" s="659"/>
      <c r="P125" s="659"/>
    </row>
    <row r="126" spans="2:16" x14ac:dyDescent="0.2">
      <c r="B126" s="55"/>
      <c r="C126" s="55"/>
      <c r="D126" s="55"/>
      <c r="E126" s="55"/>
      <c r="F126" s="55"/>
      <c r="G126" s="55"/>
      <c r="H126" s="55"/>
      <c r="I126" s="55"/>
      <c r="J126" s="659"/>
      <c r="K126" s="659"/>
      <c r="L126" s="659"/>
      <c r="M126" s="659"/>
      <c r="N126" s="659"/>
      <c r="O126" s="659"/>
      <c r="P126" s="659"/>
    </row>
    <row r="127" spans="2:16" x14ac:dyDescent="0.2">
      <c r="B127" s="55"/>
      <c r="C127" s="55"/>
      <c r="D127" s="55"/>
      <c r="E127" s="55"/>
      <c r="F127" s="55"/>
      <c r="G127" s="55"/>
      <c r="H127" s="55"/>
      <c r="I127" s="55"/>
      <c r="J127" s="659"/>
      <c r="K127" s="659"/>
      <c r="L127" s="659"/>
      <c r="M127" s="659"/>
      <c r="N127" s="659"/>
      <c r="O127" s="659"/>
      <c r="P127" s="659"/>
    </row>
    <row r="128" spans="2:16" x14ac:dyDescent="0.2">
      <c r="B128" s="55"/>
      <c r="C128" s="55"/>
      <c r="D128" s="55"/>
      <c r="E128" s="55"/>
      <c r="F128" s="55"/>
      <c r="G128" s="55"/>
      <c r="H128" s="55"/>
      <c r="I128" s="55"/>
      <c r="J128" s="659"/>
      <c r="K128" s="659"/>
      <c r="L128" s="659"/>
      <c r="M128" s="659"/>
      <c r="N128" s="659"/>
      <c r="O128" s="659"/>
      <c r="P128" s="659"/>
    </row>
    <row r="129" spans="2:16" x14ac:dyDescent="0.2">
      <c r="B129" s="55"/>
      <c r="C129" s="55"/>
      <c r="D129" s="55"/>
      <c r="E129" s="55"/>
      <c r="F129" s="55"/>
      <c r="G129" s="55"/>
      <c r="H129" s="55"/>
      <c r="I129" s="55"/>
      <c r="J129" s="659"/>
      <c r="K129" s="659"/>
      <c r="L129" s="659"/>
      <c r="M129" s="659"/>
      <c r="N129" s="659"/>
      <c r="O129" s="659"/>
      <c r="P129" s="659"/>
    </row>
    <row r="130" spans="2:16" x14ac:dyDescent="0.2">
      <c r="B130" s="55"/>
      <c r="C130" s="55"/>
      <c r="D130" s="55"/>
      <c r="E130" s="55"/>
      <c r="F130" s="55"/>
      <c r="G130" s="55"/>
      <c r="H130" s="55"/>
      <c r="I130" s="55"/>
      <c r="J130" s="659"/>
      <c r="K130" s="659"/>
      <c r="L130" s="659"/>
      <c r="M130" s="659"/>
      <c r="N130" s="659"/>
      <c r="O130" s="659"/>
      <c r="P130" s="659"/>
    </row>
    <row r="131" spans="2:16" x14ac:dyDescent="0.2">
      <c r="B131" s="55"/>
      <c r="C131" s="55"/>
      <c r="D131" s="55"/>
      <c r="E131" s="55"/>
      <c r="F131" s="55"/>
      <c r="G131" s="55"/>
      <c r="H131" s="55"/>
      <c r="I131" s="55"/>
      <c r="J131" s="659"/>
      <c r="K131" s="659"/>
      <c r="L131" s="659"/>
      <c r="M131" s="659"/>
      <c r="N131" s="659"/>
      <c r="O131" s="659"/>
      <c r="P131" s="659"/>
    </row>
    <row r="132" spans="2:16" x14ac:dyDescent="0.2">
      <c r="B132" s="55"/>
      <c r="C132" s="55"/>
      <c r="D132" s="55"/>
      <c r="E132" s="55"/>
      <c r="F132" s="55"/>
      <c r="G132" s="55"/>
      <c r="H132" s="55"/>
      <c r="I132" s="55"/>
      <c r="J132" s="659"/>
      <c r="K132" s="659"/>
      <c r="L132" s="659"/>
      <c r="M132" s="659"/>
      <c r="N132" s="659"/>
      <c r="O132" s="659"/>
      <c r="P132" s="659"/>
    </row>
    <row r="133" spans="2:16" x14ac:dyDescent="0.2">
      <c r="B133" s="55"/>
      <c r="C133" s="55"/>
      <c r="D133" s="55"/>
      <c r="E133" s="55"/>
      <c r="F133" s="55"/>
      <c r="G133" s="55"/>
      <c r="H133" s="55"/>
      <c r="I133" s="55"/>
      <c r="J133" s="659"/>
      <c r="K133" s="659"/>
      <c r="L133" s="659"/>
      <c r="M133" s="659"/>
      <c r="N133" s="659"/>
      <c r="O133" s="659"/>
      <c r="P133" s="659"/>
    </row>
    <row r="134" spans="2:16" x14ac:dyDescent="0.2">
      <c r="B134" s="55"/>
      <c r="C134" s="55"/>
      <c r="D134" s="55"/>
      <c r="E134" s="55"/>
      <c r="F134" s="55"/>
      <c r="G134" s="55"/>
      <c r="H134" s="55"/>
      <c r="I134" s="55"/>
      <c r="J134" s="659"/>
      <c r="K134" s="659"/>
      <c r="L134" s="659"/>
      <c r="M134" s="659"/>
      <c r="N134" s="659"/>
      <c r="O134" s="659"/>
      <c r="P134" s="659"/>
    </row>
    <row r="135" spans="2:16" x14ac:dyDescent="0.2">
      <c r="B135" s="55"/>
      <c r="C135" s="55"/>
      <c r="D135" s="55"/>
      <c r="E135" s="55"/>
      <c r="F135" s="55"/>
      <c r="G135" s="55"/>
      <c r="H135" s="55"/>
      <c r="I135" s="55"/>
      <c r="J135" s="659"/>
      <c r="K135" s="659"/>
      <c r="L135" s="659"/>
      <c r="M135" s="659"/>
      <c r="N135" s="659"/>
      <c r="O135" s="659"/>
      <c r="P135" s="659"/>
    </row>
    <row r="136" spans="2:16" x14ac:dyDescent="0.2">
      <c r="B136" s="55"/>
      <c r="C136" s="55"/>
      <c r="D136" s="55"/>
      <c r="E136" s="55"/>
      <c r="F136" s="55"/>
      <c r="G136" s="55"/>
      <c r="H136" s="55"/>
      <c r="I136" s="55"/>
      <c r="J136" s="659"/>
      <c r="K136" s="659"/>
      <c r="L136" s="659"/>
      <c r="M136" s="659"/>
      <c r="N136" s="659"/>
      <c r="O136" s="659"/>
      <c r="P136" s="659"/>
    </row>
    <row r="137" spans="2:16" x14ac:dyDescent="0.2">
      <c r="B137" s="55"/>
      <c r="C137" s="55"/>
      <c r="D137" s="55"/>
      <c r="E137" s="55"/>
      <c r="F137" s="55"/>
      <c r="G137" s="55"/>
      <c r="H137" s="55"/>
      <c r="I137" s="55"/>
      <c r="J137" s="659"/>
      <c r="K137" s="659"/>
      <c r="L137" s="659"/>
      <c r="M137" s="659"/>
      <c r="N137" s="659"/>
      <c r="O137" s="659"/>
      <c r="P137" s="659"/>
    </row>
    <row r="138" spans="2:16" x14ac:dyDescent="0.2">
      <c r="B138" s="55"/>
      <c r="C138" s="55"/>
      <c r="D138" s="55"/>
      <c r="E138" s="55"/>
      <c r="F138" s="55"/>
      <c r="G138" s="55"/>
      <c r="H138" s="55"/>
      <c r="I138" s="55"/>
      <c r="J138" s="659"/>
      <c r="K138" s="659"/>
      <c r="L138" s="659"/>
      <c r="M138" s="659"/>
      <c r="N138" s="659"/>
      <c r="O138" s="659"/>
      <c r="P138" s="659"/>
    </row>
    <row r="139" spans="2:16" x14ac:dyDescent="0.2">
      <c r="B139" s="55"/>
      <c r="C139" s="55"/>
      <c r="D139" s="55"/>
      <c r="E139" s="55"/>
      <c r="F139" s="55"/>
      <c r="G139" s="55"/>
      <c r="H139" s="55"/>
      <c r="I139" s="55"/>
      <c r="J139" s="659"/>
      <c r="K139" s="659"/>
      <c r="L139" s="659"/>
      <c r="M139" s="659"/>
      <c r="N139" s="659"/>
      <c r="O139" s="659"/>
      <c r="P139" s="659"/>
    </row>
    <row r="140" spans="2:16" x14ac:dyDescent="0.2">
      <c r="B140" s="55"/>
      <c r="C140" s="55"/>
      <c r="D140" s="55"/>
      <c r="E140" s="55"/>
      <c r="F140" s="55"/>
      <c r="G140" s="55"/>
      <c r="H140" s="55"/>
      <c r="I140" s="55"/>
      <c r="J140" s="659"/>
      <c r="K140" s="659"/>
      <c r="L140" s="659"/>
      <c r="M140" s="659"/>
      <c r="N140" s="659"/>
      <c r="O140" s="659"/>
      <c r="P140" s="659"/>
    </row>
    <row r="141" spans="2:16" x14ac:dyDescent="0.2">
      <c r="B141" s="55"/>
      <c r="C141" s="55"/>
      <c r="D141" s="55"/>
      <c r="E141" s="55"/>
      <c r="F141" s="55"/>
      <c r="G141" s="55"/>
      <c r="H141" s="55"/>
      <c r="I141" s="55"/>
      <c r="J141" s="659"/>
      <c r="K141" s="659"/>
      <c r="L141" s="659"/>
      <c r="M141" s="659"/>
      <c r="N141" s="659"/>
      <c r="O141" s="659"/>
      <c r="P141" s="659"/>
    </row>
    <row r="142" spans="2:16" x14ac:dyDescent="0.2">
      <c r="B142" s="55"/>
      <c r="C142" s="55"/>
      <c r="D142" s="55"/>
      <c r="E142" s="55"/>
      <c r="F142" s="55"/>
      <c r="G142" s="55"/>
      <c r="H142" s="55"/>
      <c r="I142" s="55"/>
      <c r="J142" s="659"/>
      <c r="K142" s="659"/>
      <c r="L142" s="659"/>
      <c r="M142" s="659"/>
      <c r="N142" s="659"/>
      <c r="O142" s="659"/>
      <c r="P142" s="659"/>
    </row>
    <row r="143" spans="2:16" x14ac:dyDescent="0.2">
      <c r="B143" s="55"/>
      <c r="C143" s="55"/>
      <c r="D143" s="55"/>
      <c r="E143" s="55"/>
      <c r="F143" s="55"/>
      <c r="G143" s="55"/>
      <c r="H143" s="55"/>
      <c r="I143" s="55"/>
      <c r="J143" s="659"/>
      <c r="K143" s="659"/>
      <c r="L143" s="659"/>
      <c r="M143" s="659"/>
      <c r="N143" s="659"/>
      <c r="O143" s="659"/>
      <c r="P143" s="659"/>
    </row>
    <row r="144" spans="2:16" x14ac:dyDescent="0.2">
      <c r="B144" s="55"/>
      <c r="C144" s="55"/>
      <c r="D144" s="55"/>
      <c r="E144" s="55"/>
      <c r="F144" s="55"/>
      <c r="G144" s="55"/>
      <c r="H144" s="55"/>
      <c r="I144" s="55"/>
      <c r="J144" s="659"/>
      <c r="K144" s="659"/>
      <c r="L144" s="659"/>
      <c r="M144" s="659"/>
      <c r="N144" s="659"/>
      <c r="O144" s="659"/>
      <c r="P144" s="659"/>
    </row>
    <row r="145" spans="2:16" x14ac:dyDescent="0.2">
      <c r="B145" s="55"/>
      <c r="C145" s="55"/>
      <c r="D145" s="55"/>
      <c r="E145" s="55"/>
      <c r="F145" s="55"/>
      <c r="G145" s="55"/>
      <c r="H145" s="55"/>
      <c r="I145" s="55"/>
      <c r="J145" s="659"/>
      <c r="K145" s="659"/>
      <c r="L145" s="659"/>
      <c r="M145" s="659"/>
      <c r="N145" s="659"/>
      <c r="O145" s="659"/>
      <c r="P145" s="659"/>
    </row>
    <row r="146" spans="2:16" x14ac:dyDescent="0.2">
      <c r="B146" s="55"/>
      <c r="C146" s="55"/>
      <c r="D146" s="55"/>
      <c r="E146" s="55"/>
      <c r="F146" s="55"/>
      <c r="G146" s="55"/>
      <c r="H146" s="55"/>
      <c r="I146" s="55"/>
      <c r="J146" s="659"/>
      <c r="K146" s="659"/>
      <c r="L146" s="659"/>
      <c r="M146" s="659"/>
      <c r="N146" s="659"/>
      <c r="O146" s="659"/>
      <c r="P146" s="659"/>
    </row>
    <row r="147" spans="2:16" x14ac:dyDescent="0.2">
      <c r="B147" s="55"/>
      <c r="C147" s="55"/>
      <c r="D147" s="55"/>
      <c r="E147" s="55"/>
      <c r="F147" s="55"/>
      <c r="G147" s="55"/>
      <c r="H147" s="55"/>
      <c r="I147" s="55"/>
      <c r="J147" s="659"/>
      <c r="K147" s="659"/>
      <c r="L147" s="659"/>
      <c r="M147" s="659"/>
      <c r="N147" s="659"/>
      <c r="O147" s="659"/>
      <c r="P147" s="659"/>
    </row>
    <row r="148" spans="2:16" x14ac:dyDescent="0.2">
      <c r="B148" s="55"/>
      <c r="C148" s="55"/>
      <c r="D148" s="55"/>
      <c r="E148" s="55"/>
      <c r="F148" s="55"/>
      <c r="G148" s="55"/>
      <c r="H148" s="55"/>
      <c r="I148" s="55"/>
      <c r="J148" s="659"/>
      <c r="K148" s="659"/>
      <c r="L148" s="659"/>
      <c r="M148" s="659"/>
      <c r="N148" s="659"/>
      <c r="O148" s="659"/>
      <c r="P148" s="659"/>
    </row>
    <row r="149" spans="2:16" x14ac:dyDescent="0.2">
      <c r="B149" s="55"/>
      <c r="C149" s="55"/>
      <c r="D149" s="55"/>
      <c r="E149" s="55"/>
      <c r="F149" s="55"/>
      <c r="G149" s="55"/>
      <c r="H149" s="55"/>
      <c r="I149" s="55"/>
      <c r="J149" s="659"/>
      <c r="K149" s="659"/>
      <c r="L149" s="659"/>
      <c r="M149" s="659"/>
      <c r="N149" s="659"/>
      <c r="O149" s="659"/>
      <c r="P149" s="659"/>
    </row>
    <row r="150" spans="2:16" x14ac:dyDescent="0.2">
      <c r="B150" s="55"/>
      <c r="C150" s="55"/>
      <c r="D150" s="55"/>
      <c r="E150" s="55"/>
      <c r="F150" s="55"/>
      <c r="G150" s="55"/>
      <c r="H150" s="55"/>
      <c r="I150" s="55"/>
      <c r="J150" s="659"/>
      <c r="K150" s="659"/>
      <c r="L150" s="659"/>
      <c r="M150" s="659"/>
      <c r="N150" s="659"/>
      <c r="O150" s="659"/>
      <c r="P150" s="659"/>
    </row>
    <row r="151" spans="2:16" x14ac:dyDescent="0.2">
      <c r="B151" s="55"/>
      <c r="C151" s="55"/>
      <c r="D151" s="55"/>
      <c r="E151" s="55"/>
      <c r="F151" s="55"/>
      <c r="G151" s="55"/>
      <c r="H151" s="55"/>
      <c r="I151" s="55"/>
      <c r="J151" s="659"/>
      <c r="K151" s="659"/>
      <c r="L151" s="659"/>
      <c r="M151" s="659"/>
      <c r="N151" s="659"/>
      <c r="O151" s="659"/>
      <c r="P151" s="659"/>
    </row>
    <row r="152" spans="2:16" x14ac:dyDescent="0.2">
      <c r="B152" s="55"/>
      <c r="C152" s="55"/>
      <c r="D152" s="55"/>
      <c r="E152" s="55"/>
      <c r="F152" s="55"/>
      <c r="G152" s="55"/>
      <c r="H152" s="55"/>
      <c r="I152" s="55"/>
      <c r="J152" s="659"/>
      <c r="K152" s="659"/>
      <c r="L152" s="659"/>
      <c r="M152" s="659"/>
      <c r="N152" s="659"/>
      <c r="O152" s="659"/>
      <c r="P152" s="659"/>
    </row>
    <row r="153" spans="2:16" x14ac:dyDescent="0.2">
      <c r="B153" s="55"/>
      <c r="C153" s="55"/>
      <c r="D153" s="55"/>
      <c r="E153" s="55"/>
      <c r="F153" s="55"/>
      <c r="G153" s="55"/>
      <c r="H153" s="55"/>
      <c r="I153" s="55"/>
      <c r="J153" s="659"/>
      <c r="K153" s="659"/>
      <c r="L153" s="659"/>
      <c r="M153" s="659"/>
      <c r="N153" s="659"/>
      <c r="O153" s="659"/>
      <c r="P153" s="659"/>
    </row>
    <row r="154" spans="2:16" x14ac:dyDescent="0.2">
      <c r="B154" s="55"/>
      <c r="C154" s="55"/>
      <c r="D154" s="55"/>
      <c r="E154" s="55"/>
      <c r="F154" s="55"/>
      <c r="G154" s="55"/>
      <c r="H154" s="55"/>
      <c r="I154" s="55"/>
      <c r="J154" s="659"/>
      <c r="K154" s="659"/>
      <c r="L154" s="659"/>
      <c r="M154" s="659"/>
      <c r="N154" s="659"/>
      <c r="O154" s="659"/>
      <c r="P154" s="659"/>
    </row>
    <row r="155" spans="2:16" x14ac:dyDescent="0.2">
      <c r="B155" s="55"/>
      <c r="C155" s="55"/>
      <c r="D155" s="55"/>
      <c r="E155" s="55"/>
      <c r="F155" s="55"/>
      <c r="G155" s="55"/>
      <c r="H155" s="55"/>
      <c r="I155" s="55"/>
      <c r="J155" s="659"/>
      <c r="K155" s="659"/>
      <c r="L155" s="659"/>
      <c r="M155" s="659"/>
      <c r="N155" s="659"/>
      <c r="O155" s="659"/>
      <c r="P155" s="659"/>
    </row>
    <row r="156" spans="2:16" x14ac:dyDescent="0.2">
      <c r="B156" s="55"/>
      <c r="C156" s="55"/>
      <c r="D156" s="55"/>
      <c r="E156" s="55"/>
      <c r="F156" s="55"/>
      <c r="G156" s="55"/>
      <c r="H156" s="55"/>
      <c r="I156" s="55"/>
      <c r="J156" s="659"/>
      <c r="K156" s="659"/>
      <c r="L156" s="659"/>
      <c r="M156" s="659"/>
      <c r="N156" s="659"/>
      <c r="O156" s="659"/>
      <c r="P156" s="659"/>
    </row>
    <row r="157" spans="2:16" x14ac:dyDescent="0.2">
      <c r="B157" s="55"/>
      <c r="C157" s="55"/>
      <c r="D157" s="55"/>
      <c r="E157" s="55"/>
      <c r="F157" s="55"/>
      <c r="G157" s="55"/>
      <c r="H157" s="55"/>
      <c r="I157" s="55"/>
      <c r="J157" s="659"/>
      <c r="K157" s="659"/>
      <c r="L157" s="659"/>
      <c r="M157" s="659"/>
      <c r="N157" s="659"/>
      <c r="O157" s="659"/>
      <c r="P157" s="659"/>
    </row>
    <row r="158" spans="2:16" x14ac:dyDescent="0.2">
      <c r="B158" s="55"/>
      <c r="C158" s="55"/>
      <c r="D158" s="55"/>
      <c r="E158" s="55"/>
      <c r="F158" s="55"/>
      <c r="G158" s="55"/>
      <c r="H158" s="55"/>
      <c r="I158" s="55"/>
      <c r="J158" s="659"/>
      <c r="K158" s="659"/>
      <c r="L158" s="659"/>
      <c r="M158" s="659"/>
      <c r="N158" s="659"/>
      <c r="O158" s="659"/>
      <c r="P158" s="659"/>
    </row>
    <row r="159" spans="2:16" x14ac:dyDescent="0.2">
      <c r="B159" s="55"/>
      <c r="C159" s="55"/>
      <c r="D159" s="55"/>
      <c r="E159" s="55"/>
      <c r="F159" s="55"/>
      <c r="G159" s="55"/>
      <c r="H159" s="55"/>
      <c r="I159" s="55"/>
      <c r="J159" s="659"/>
      <c r="K159" s="659"/>
      <c r="L159" s="659"/>
      <c r="M159" s="659"/>
      <c r="N159" s="659"/>
      <c r="O159" s="659"/>
      <c r="P159" s="659"/>
    </row>
    <row r="160" spans="2:16" x14ac:dyDescent="0.2">
      <c r="B160" s="55"/>
      <c r="C160" s="55"/>
      <c r="D160" s="55"/>
      <c r="E160" s="55"/>
      <c r="F160" s="55"/>
      <c r="G160" s="55"/>
      <c r="H160" s="55"/>
      <c r="I160" s="55"/>
      <c r="J160" s="659"/>
      <c r="K160" s="659"/>
      <c r="L160" s="659"/>
      <c r="M160" s="659"/>
      <c r="N160" s="659"/>
      <c r="O160" s="659"/>
      <c r="P160" s="659"/>
    </row>
    <row r="161" spans="2:16" x14ac:dyDescent="0.2">
      <c r="B161" s="55"/>
      <c r="C161" s="55"/>
      <c r="D161" s="55"/>
      <c r="E161" s="55"/>
      <c r="F161" s="55"/>
      <c r="G161" s="55"/>
      <c r="H161" s="55"/>
      <c r="I161" s="55"/>
      <c r="J161" s="659"/>
      <c r="K161" s="659"/>
      <c r="L161" s="659"/>
      <c r="M161" s="659"/>
      <c r="N161" s="659"/>
      <c r="O161" s="659"/>
      <c r="P161" s="659"/>
    </row>
    <row r="162" spans="2:16" x14ac:dyDescent="0.2">
      <c r="B162" s="55"/>
      <c r="C162" s="55"/>
      <c r="D162" s="55"/>
      <c r="E162" s="55"/>
      <c r="F162" s="55"/>
      <c r="G162" s="55"/>
      <c r="H162" s="55"/>
      <c r="I162" s="55"/>
      <c r="J162" s="659"/>
      <c r="K162" s="659"/>
      <c r="L162" s="659"/>
      <c r="M162" s="659"/>
      <c r="N162" s="659"/>
      <c r="O162" s="659"/>
      <c r="P162" s="659"/>
    </row>
    <row r="163" spans="2:16" x14ac:dyDescent="0.2">
      <c r="B163" s="55"/>
      <c r="C163" s="55"/>
      <c r="D163" s="55"/>
      <c r="E163" s="55"/>
      <c r="F163" s="55"/>
      <c r="G163" s="55"/>
      <c r="H163" s="55"/>
      <c r="I163" s="55"/>
      <c r="J163" s="659"/>
      <c r="K163" s="659"/>
      <c r="L163" s="659"/>
      <c r="M163" s="659"/>
      <c r="N163" s="659"/>
      <c r="O163" s="659"/>
      <c r="P163" s="659"/>
    </row>
    <row r="164" spans="2:16" x14ac:dyDescent="0.2">
      <c r="B164" s="55"/>
      <c r="C164" s="55"/>
      <c r="D164" s="55"/>
      <c r="E164" s="55"/>
      <c r="F164" s="55"/>
      <c r="G164" s="55"/>
      <c r="H164" s="55"/>
      <c r="I164" s="55"/>
      <c r="J164" s="659"/>
      <c r="K164" s="659"/>
      <c r="L164" s="659"/>
      <c r="M164" s="659"/>
      <c r="N164" s="659"/>
      <c r="O164" s="659"/>
      <c r="P164" s="659"/>
    </row>
    <row r="165" spans="2:16" x14ac:dyDescent="0.2">
      <c r="B165" s="55"/>
      <c r="C165" s="55"/>
      <c r="D165" s="55"/>
      <c r="E165" s="55"/>
      <c r="F165" s="55"/>
      <c r="G165" s="55"/>
      <c r="H165" s="55"/>
      <c r="I165" s="55"/>
      <c r="J165" s="659"/>
      <c r="K165" s="659"/>
      <c r="L165" s="659"/>
      <c r="M165" s="659"/>
      <c r="N165" s="659"/>
      <c r="O165" s="659"/>
      <c r="P165" s="659"/>
    </row>
    <row r="166" spans="2:16" x14ac:dyDescent="0.2">
      <c r="B166" s="55"/>
      <c r="C166" s="55"/>
      <c r="D166" s="55"/>
      <c r="E166" s="55"/>
      <c r="F166" s="55"/>
      <c r="G166" s="55"/>
      <c r="H166" s="55"/>
      <c r="I166" s="55"/>
      <c r="J166" s="659"/>
      <c r="K166" s="659"/>
      <c r="L166" s="659"/>
      <c r="M166" s="659"/>
      <c r="N166" s="659"/>
      <c r="O166" s="659"/>
      <c r="P166" s="659"/>
    </row>
    <row r="167" spans="2:16" x14ac:dyDescent="0.2">
      <c r="B167" s="55"/>
      <c r="C167" s="55"/>
      <c r="D167" s="55"/>
      <c r="E167" s="55"/>
      <c r="F167" s="55"/>
      <c r="G167" s="55"/>
      <c r="H167" s="55"/>
      <c r="I167" s="55"/>
      <c r="J167" s="659"/>
      <c r="K167" s="659"/>
      <c r="L167" s="659"/>
      <c r="M167" s="659"/>
      <c r="N167" s="659"/>
      <c r="O167" s="659"/>
      <c r="P167" s="659"/>
    </row>
    <row r="168" spans="2:16" x14ac:dyDescent="0.2">
      <c r="B168" s="55"/>
      <c r="C168" s="55"/>
      <c r="D168" s="55"/>
      <c r="E168" s="55"/>
      <c r="F168" s="55"/>
      <c r="G168" s="55"/>
      <c r="H168" s="55"/>
      <c r="I168" s="55"/>
      <c r="J168" s="659"/>
      <c r="K168" s="659"/>
      <c r="L168" s="659"/>
      <c r="M168" s="659"/>
      <c r="N168" s="659"/>
      <c r="O168" s="659"/>
      <c r="P168" s="659"/>
    </row>
    <row r="169" spans="2:16" x14ac:dyDescent="0.2">
      <c r="B169" s="55"/>
      <c r="C169" s="55"/>
      <c r="D169" s="55"/>
      <c r="E169" s="55"/>
      <c r="F169" s="55"/>
      <c r="G169" s="55"/>
      <c r="H169" s="55"/>
      <c r="I169" s="55"/>
      <c r="J169" s="659"/>
      <c r="K169" s="659"/>
      <c r="L169" s="659"/>
      <c r="M169" s="659"/>
      <c r="N169" s="659"/>
      <c r="O169" s="659"/>
      <c r="P169" s="659"/>
    </row>
    <row r="170" spans="2:16" x14ac:dyDescent="0.2">
      <c r="B170" s="55"/>
      <c r="C170" s="55"/>
      <c r="D170" s="55"/>
      <c r="E170" s="55"/>
      <c r="F170" s="55"/>
      <c r="G170" s="55"/>
      <c r="H170" s="55"/>
      <c r="I170" s="55"/>
      <c r="J170" s="659"/>
      <c r="K170" s="659"/>
      <c r="L170" s="659"/>
      <c r="M170" s="659"/>
      <c r="N170" s="659"/>
      <c r="O170" s="659"/>
      <c r="P170" s="659"/>
    </row>
    <row r="171" spans="2:16" x14ac:dyDescent="0.2">
      <c r="B171" s="55"/>
      <c r="C171" s="55"/>
      <c r="D171" s="55"/>
      <c r="E171" s="55"/>
      <c r="F171" s="55"/>
      <c r="G171" s="55"/>
      <c r="H171" s="55"/>
      <c r="I171" s="55"/>
      <c r="J171" s="659"/>
      <c r="K171" s="659"/>
      <c r="L171" s="659"/>
      <c r="M171" s="659"/>
      <c r="N171" s="659"/>
      <c r="O171" s="659"/>
      <c r="P171" s="659"/>
    </row>
    <row r="172" spans="2:16" x14ac:dyDescent="0.2">
      <c r="B172" s="55"/>
      <c r="C172" s="55"/>
      <c r="D172" s="55"/>
      <c r="E172" s="55"/>
      <c r="F172" s="55"/>
      <c r="G172" s="55"/>
      <c r="H172" s="55"/>
      <c r="I172" s="55"/>
      <c r="J172" s="659"/>
      <c r="K172" s="659"/>
      <c r="L172" s="659"/>
      <c r="M172" s="659"/>
      <c r="N172" s="659"/>
      <c r="O172" s="659"/>
      <c r="P172" s="659"/>
    </row>
    <row r="173" spans="2:16" x14ac:dyDescent="0.2">
      <c r="B173" s="55"/>
      <c r="C173" s="55"/>
      <c r="D173" s="55"/>
      <c r="E173" s="55"/>
      <c r="F173" s="55"/>
      <c r="G173" s="55"/>
      <c r="H173" s="55"/>
      <c r="I173" s="55"/>
      <c r="J173" s="659"/>
      <c r="K173" s="659"/>
      <c r="L173" s="659"/>
      <c r="M173" s="659"/>
      <c r="N173" s="659"/>
      <c r="O173" s="659"/>
      <c r="P173" s="659"/>
    </row>
    <row r="174" spans="2:16" x14ac:dyDescent="0.2">
      <c r="B174" s="55"/>
      <c r="C174" s="55"/>
      <c r="D174" s="55"/>
      <c r="E174" s="55"/>
      <c r="F174" s="55"/>
      <c r="G174" s="55"/>
      <c r="H174" s="55"/>
      <c r="I174" s="55"/>
      <c r="J174" s="659"/>
      <c r="K174" s="659"/>
      <c r="L174" s="659"/>
      <c r="M174" s="659"/>
      <c r="N174" s="659"/>
      <c r="O174" s="659"/>
      <c r="P174" s="659"/>
    </row>
    <row r="175" spans="2:16" x14ac:dyDescent="0.2">
      <c r="B175" s="55"/>
      <c r="C175" s="55"/>
      <c r="D175" s="55"/>
      <c r="E175" s="55"/>
      <c r="F175" s="55"/>
      <c r="G175" s="55"/>
      <c r="H175" s="55"/>
      <c r="I175" s="55"/>
      <c r="J175" s="659"/>
      <c r="K175" s="659"/>
      <c r="L175" s="659"/>
      <c r="M175" s="659"/>
      <c r="N175" s="659"/>
      <c r="O175" s="659"/>
      <c r="P175" s="659"/>
    </row>
    <row r="176" spans="2:16" x14ac:dyDescent="0.2">
      <c r="B176" s="55"/>
      <c r="C176" s="55"/>
      <c r="D176" s="55"/>
      <c r="E176" s="55"/>
      <c r="F176" s="55"/>
      <c r="G176" s="55"/>
      <c r="H176" s="55"/>
      <c r="I176" s="55"/>
      <c r="J176" s="659"/>
      <c r="K176" s="659"/>
      <c r="L176" s="659"/>
      <c r="M176" s="659"/>
      <c r="N176" s="659"/>
      <c r="O176" s="659"/>
      <c r="P176" s="659"/>
    </row>
    <row r="177" spans="2:16" x14ac:dyDescent="0.2">
      <c r="B177" s="55"/>
      <c r="C177" s="55"/>
      <c r="D177" s="55"/>
      <c r="E177" s="55"/>
      <c r="F177" s="55"/>
      <c r="G177" s="55"/>
      <c r="H177" s="55"/>
      <c r="I177" s="55"/>
      <c r="J177" s="659"/>
      <c r="K177" s="659"/>
      <c r="L177" s="659"/>
      <c r="M177" s="659"/>
      <c r="N177" s="659"/>
      <c r="O177" s="659"/>
      <c r="P177" s="659"/>
    </row>
    <row r="178" spans="2:16" x14ac:dyDescent="0.2">
      <c r="B178" s="55"/>
      <c r="C178" s="55"/>
      <c r="D178" s="55"/>
      <c r="E178" s="55"/>
      <c r="F178" s="55"/>
      <c r="G178" s="55"/>
      <c r="H178" s="55"/>
      <c r="I178" s="55"/>
      <c r="J178" s="659"/>
      <c r="K178" s="659"/>
      <c r="L178" s="659"/>
      <c r="M178" s="659"/>
      <c r="N178" s="659"/>
      <c r="O178" s="659"/>
      <c r="P178" s="659"/>
    </row>
    <row r="179" spans="2:16" x14ac:dyDescent="0.2">
      <c r="B179" s="55"/>
      <c r="C179" s="55"/>
      <c r="D179" s="55"/>
      <c r="E179" s="55"/>
      <c r="F179" s="55"/>
      <c r="G179" s="55"/>
      <c r="H179" s="55"/>
      <c r="I179" s="55"/>
      <c r="J179" s="659"/>
      <c r="K179" s="659"/>
      <c r="L179" s="659"/>
      <c r="M179" s="659"/>
      <c r="N179" s="659"/>
      <c r="O179" s="659"/>
      <c r="P179" s="659"/>
    </row>
    <row r="180" spans="2:16" x14ac:dyDescent="0.2">
      <c r="B180" s="55"/>
      <c r="C180" s="55"/>
      <c r="D180" s="55"/>
      <c r="E180" s="55"/>
      <c r="F180" s="55"/>
      <c r="G180" s="55"/>
      <c r="H180" s="55"/>
      <c r="I180" s="55"/>
      <c r="J180" s="659"/>
      <c r="K180" s="659"/>
      <c r="L180" s="659"/>
      <c r="M180" s="659"/>
      <c r="N180" s="659"/>
      <c r="O180" s="659"/>
      <c r="P180" s="659"/>
    </row>
    <row r="181" spans="2:16" x14ac:dyDescent="0.2">
      <c r="B181" s="55"/>
      <c r="C181" s="55"/>
      <c r="D181" s="55"/>
      <c r="E181" s="55"/>
      <c r="F181" s="55"/>
      <c r="G181" s="55"/>
      <c r="H181" s="55"/>
      <c r="I181" s="55"/>
      <c r="J181" s="659"/>
      <c r="K181" s="659"/>
      <c r="L181" s="659"/>
      <c r="M181" s="659"/>
      <c r="N181" s="659"/>
      <c r="O181" s="659"/>
      <c r="P181" s="659"/>
    </row>
    <row r="182" spans="2:16" x14ac:dyDescent="0.2">
      <c r="B182" s="55"/>
      <c r="C182" s="55"/>
      <c r="D182" s="55"/>
      <c r="E182" s="55"/>
      <c r="F182" s="55"/>
      <c r="G182" s="55"/>
      <c r="H182" s="55"/>
      <c r="I182" s="55"/>
      <c r="J182" s="659"/>
      <c r="K182" s="659"/>
      <c r="L182" s="659"/>
      <c r="M182" s="659"/>
      <c r="N182" s="659"/>
      <c r="O182" s="659"/>
      <c r="P182" s="659"/>
    </row>
    <row r="183" spans="2:16" x14ac:dyDescent="0.2">
      <c r="B183" s="55"/>
      <c r="C183" s="55"/>
      <c r="D183" s="55"/>
      <c r="E183" s="55"/>
      <c r="F183" s="55"/>
      <c r="G183" s="55"/>
      <c r="H183" s="55"/>
      <c r="I183" s="55"/>
      <c r="J183" s="659"/>
      <c r="K183" s="659"/>
      <c r="L183" s="659"/>
      <c r="M183" s="659"/>
      <c r="N183" s="659"/>
      <c r="O183" s="659"/>
      <c r="P183" s="659"/>
    </row>
    <row r="184" spans="2:16" x14ac:dyDescent="0.2">
      <c r="B184" s="55"/>
      <c r="C184" s="55"/>
      <c r="D184" s="55"/>
      <c r="E184" s="55"/>
      <c r="F184" s="55"/>
      <c r="G184" s="55"/>
      <c r="H184" s="55"/>
      <c r="I184" s="55"/>
      <c r="J184" s="659"/>
      <c r="K184" s="659"/>
      <c r="L184" s="659"/>
      <c r="M184" s="659"/>
      <c r="N184" s="659"/>
      <c r="O184" s="659"/>
      <c r="P184" s="659"/>
    </row>
    <row r="185" spans="2:16" x14ac:dyDescent="0.2">
      <c r="B185" s="55"/>
      <c r="C185" s="55"/>
      <c r="D185" s="55"/>
      <c r="E185" s="55"/>
      <c r="F185" s="55"/>
      <c r="G185" s="55"/>
      <c r="H185" s="55"/>
      <c r="I185" s="55"/>
      <c r="J185" s="659"/>
      <c r="K185" s="659"/>
      <c r="L185" s="659"/>
      <c r="M185" s="659"/>
      <c r="N185" s="659"/>
      <c r="O185" s="659"/>
      <c r="P185" s="659"/>
    </row>
    <row r="186" spans="2:16" x14ac:dyDescent="0.2">
      <c r="B186" s="55"/>
      <c r="C186" s="55"/>
      <c r="D186" s="55"/>
      <c r="E186" s="55"/>
      <c r="F186" s="55"/>
      <c r="G186" s="55"/>
      <c r="H186" s="55"/>
      <c r="I186" s="55"/>
      <c r="J186" s="659"/>
      <c r="K186" s="659"/>
      <c r="L186" s="659"/>
      <c r="M186" s="659"/>
      <c r="N186" s="659"/>
      <c r="O186" s="659"/>
      <c r="P186" s="659"/>
    </row>
    <row r="187" spans="2:16" x14ac:dyDescent="0.2">
      <c r="B187" s="55"/>
      <c r="C187" s="55"/>
      <c r="D187" s="55"/>
      <c r="E187" s="55"/>
      <c r="F187" s="55"/>
      <c r="G187" s="55"/>
      <c r="H187" s="55"/>
      <c r="I187" s="55"/>
      <c r="J187" s="659"/>
      <c r="K187" s="659"/>
      <c r="L187" s="659"/>
      <c r="M187" s="659"/>
      <c r="N187" s="659"/>
      <c r="O187" s="659"/>
      <c r="P187" s="659"/>
    </row>
    <row r="188" spans="2:16" x14ac:dyDescent="0.2">
      <c r="B188" s="55"/>
      <c r="C188" s="55"/>
      <c r="D188" s="55"/>
      <c r="E188" s="55"/>
      <c r="F188" s="55"/>
      <c r="G188" s="55"/>
      <c r="H188" s="55"/>
      <c r="I188" s="55"/>
      <c r="J188" s="659"/>
      <c r="K188" s="659"/>
      <c r="L188" s="659"/>
      <c r="M188" s="659"/>
      <c r="N188" s="659"/>
      <c r="O188" s="659"/>
      <c r="P188" s="659"/>
    </row>
    <row r="189" spans="2:16" x14ac:dyDescent="0.2">
      <c r="B189" s="55"/>
      <c r="C189" s="55"/>
      <c r="D189" s="55"/>
      <c r="E189" s="55"/>
      <c r="F189" s="55"/>
      <c r="G189" s="55"/>
      <c r="H189" s="55"/>
      <c r="I189" s="55"/>
      <c r="J189" s="659"/>
      <c r="K189" s="659"/>
      <c r="L189" s="659"/>
      <c r="M189" s="659"/>
      <c r="N189" s="659"/>
      <c r="O189" s="659"/>
      <c r="P189" s="659"/>
    </row>
    <row r="190" spans="2:16" x14ac:dyDescent="0.2">
      <c r="B190" s="55"/>
      <c r="C190" s="55"/>
      <c r="D190" s="55"/>
      <c r="E190" s="55"/>
      <c r="F190" s="55"/>
      <c r="G190" s="55"/>
      <c r="H190" s="55"/>
      <c r="I190" s="55"/>
      <c r="J190" s="659"/>
      <c r="K190" s="659"/>
      <c r="L190" s="659"/>
      <c r="M190" s="659"/>
      <c r="N190" s="659"/>
      <c r="O190" s="659"/>
      <c r="P190" s="659"/>
    </row>
    <row r="191" spans="2:16" x14ac:dyDescent="0.2">
      <c r="B191" s="55"/>
      <c r="C191" s="55"/>
      <c r="D191" s="55"/>
      <c r="E191" s="55"/>
      <c r="F191" s="55"/>
      <c r="G191" s="55"/>
      <c r="H191" s="55"/>
      <c r="I191" s="55"/>
      <c r="J191" s="659"/>
      <c r="K191" s="659"/>
      <c r="L191" s="659"/>
      <c r="M191" s="659"/>
      <c r="N191" s="659"/>
      <c r="O191" s="659"/>
      <c r="P191" s="659"/>
    </row>
    <row r="192" spans="2:16" x14ac:dyDescent="0.2">
      <c r="B192" s="55"/>
      <c r="C192" s="55"/>
      <c r="D192" s="55"/>
      <c r="E192" s="55"/>
      <c r="F192" s="55"/>
      <c r="G192" s="55"/>
      <c r="H192" s="55"/>
      <c r="I192" s="55"/>
      <c r="J192" s="659"/>
      <c r="K192" s="659"/>
      <c r="L192" s="659"/>
      <c r="M192" s="659"/>
      <c r="N192" s="659"/>
      <c r="O192" s="659"/>
      <c r="P192" s="659"/>
    </row>
    <row r="193" spans="1:121" x14ac:dyDescent="0.2">
      <c r="B193" s="55"/>
      <c r="C193" s="55"/>
      <c r="D193" s="55"/>
      <c r="E193" s="55"/>
      <c r="F193" s="55"/>
      <c r="G193" s="55"/>
      <c r="H193" s="55"/>
      <c r="I193" s="55"/>
      <c r="J193" s="659"/>
      <c r="K193" s="659"/>
      <c r="L193" s="659"/>
      <c r="M193" s="659"/>
      <c r="N193" s="659"/>
      <c r="O193" s="659"/>
      <c r="P193" s="659"/>
    </row>
    <row r="194" spans="1:121" s="699" customFormat="1" x14ac:dyDescent="0.2">
      <c r="A194" s="661"/>
      <c r="B194" s="661"/>
      <c r="C194" s="661"/>
      <c r="D194" s="661"/>
      <c r="E194" s="661"/>
      <c r="F194" s="661"/>
      <c r="G194" s="661"/>
      <c r="H194" s="661"/>
      <c r="I194" s="661"/>
      <c r="J194" s="698"/>
      <c r="K194" s="698"/>
      <c r="L194" s="698"/>
      <c r="M194" s="698"/>
      <c r="N194" s="698"/>
      <c r="O194" s="698"/>
      <c r="P194" s="698"/>
      <c r="Q194" s="661"/>
      <c r="R194" s="661"/>
      <c r="S194" s="661"/>
      <c r="T194" s="661"/>
      <c r="U194" s="661"/>
      <c r="V194" s="661"/>
      <c r="W194" s="661"/>
      <c r="X194" s="661"/>
      <c r="Y194" s="661"/>
      <c r="Z194" s="661"/>
      <c r="AA194" s="661"/>
      <c r="AB194" s="661"/>
      <c r="AC194" s="661"/>
      <c r="AD194" s="661"/>
      <c r="AE194" s="661"/>
      <c r="AF194" s="661"/>
      <c r="AG194" s="661"/>
      <c r="AH194" s="661"/>
      <c r="AI194" s="661"/>
      <c r="AJ194" s="661"/>
      <c r="AK194" s="661"/>
      <c r="AL194" s="661"/>
      <c r="AM194" s="661"/>
      <c r="AN194" s="661"/>
      <c r="AO194" s="661"/>
      <c r="AP194" s="661"/>
      <c r="AQ194" s="661"/>
      <c r="AR194" s="661"/>
      <c r="AS194" s="661"/>
      <c r="AT194" s="661"/>
      <c r="AU194" s="661"/>
      <c r="AV194" s="661"/>
      <c r="AW194" s="661"/>
      <c r="AX194" s="661"/>
      <c r="AY194" s="661"/>
      <c r="AZ194" s="661"/>
      <c r="BA194" s="661"/>
      <c r="BB194" s="661"/>
      <c r="BC194" s="661"/>
      <c r="BD194" s="661"/>
      <c r="BE194" s="661"/>
      <c r="BF194" s="661"/>
      <c r="BG194" s="661"/>
      <c r="BH194" s="661"/>
      <c r="BI194" s="661"/>
      <c r="BJ194" s="661"/>
      <c r="BK194" s="661"/>
      <c r="BL194" s="661"/>
      <c r="BM194" s="661"/>
      <c r="BN194" s="661"/>
      <c r="BO194" s="661"/>
      <c r="BP194" s="661"/>
      <c r="BQ194" s="661"/>
      <c r="BR194" s="661"/>
      <c r="BS194" s="661"/>
      <c r="BT194" s="661"/>
      <c r="BU194" s="661"/>
      <c r="BV194" s="661"/>
      <c r="BW194" s="661"/>
      <c r="BX194" s="661"/>
      <c r="BY194" s="661"/>
      <c r="BZ194" s="661"/>
      <c r="CA194" s="661"/>
      <c r="CB194" s="661"/>
      <c r="CC194" s="661"/>
      <c r="CD194" s="661"/>
      <c r="CE194" s="661"/>
      <c r="CF194" s="661"/>
      <c r="CG194" s="661"/>
      <c r="CH194" s="661"/>
      <c r="CI194" s="661"/>
      <c r="CJ194" s="661"/>
      <c r="CK194" s="661"/>
      <c r="CL194" s="661"/>
      <c r="CM194" s="661"/>
      <c r="CN194" s="661"/>
      <c r="CO194" s="661"/>
      <c r="CP194" s="661"/>
      <c r="CQ194" s="661"/>
      <c r="CR194" s="661"/>
      <c r="CS194" s="661"/>
      <c r="CT194" s="661"/>
      <c r="CU194" s="661"/>
      <c r="CV194" s="39"/>
      <c r="CW194" s="58"/>
      <c r="CX194" s="58"/>
      <c r="CY194" s="58"/>
      <c r="CZ194" s="58"/>
      <c r="DA194" s="58"/>
      <c r="DB194" s="58"/>
      <c r="DC194" s="58"/>
      <c r="DD194" s="58"/>
      <c r="DE194" s="58"/>
      <c r="DF194" s="58"/>
      <c r="DG194" s="58"/>
      <c r="DH194" s="58"/>
      <c r="DI194" s="58"/>
      <c r="DJ194" s="58"/>
      <c r="DK194" s="58"/>
      <c r="DL194" s="345"/>
      <c r="DM194" s="345"/>
      <c r="DN194" s="345"/>
      <c r="DO194" s="345"/>
      <c r="DP194" s="345"/>
      <c r="DQ194" s="345"/>
    </row>
    <row r="195" spans="1:121" s="699" customFormat="1" x14ac:dyDescent="0.2">
      <c r="A195" s="661"/>
      <c r="B195" s="661"/>
      <c r="C195" s="661"/>
      <c r="D195" s="661"/>
      <c r="E195" s="661"/>
      <c r="F195" s="661"/>
      <c r="G195" s="661"/>
      <c r="H195" s="661"/>
      <c r="I195" s="661"/>
      <c r="J195" s="698"/>
      <c r="K195" s="698"/>
      <c r="L195" s="698"/>
      <c r="M195" s="698"/>
      <c r="N195" s="698"/>
      <c r="O195" s="698"/>
      <c r="P195" s="698"/>
      <c r="Q195" s="661"/>
      <c r="R195" s="661"/>
      <c r="S195" s="661"/>
      <c r="T195" s="661"/>
      <c r="U195" s="661"/>
      <c r="V195" s="661"/>
      <c r="W195" s="661"/>
      <c r="X195" s="661"/>
      <c r="Y195" s="661"/>
      <c r="Z195" s="661"/>
      <c r="AA195" s="661"/>
      <c r="AB195" s="661"/>
      <c r="AC195" s="661"/>
      <c r="AD195" s="661"/>
      <c r="AE195" s="661"/>
      <c r="AF195" s="661"/>
      <c r="AG195" s="661"/>
      <c r="AH195" s="661"/>
      <c r="AI195" s="661"/>
      <c r="AJ195" s="661"/>
      <c r="AK195" s="661"/>
      <c r="AL195" s="661"/>
      <c r="AM195" s="661"/>
      <c r="AN195" s="661"/>
      <c r="AO195" s="661"/>
      <c r="AP195" s="661"/>
      <c r="AQ195" s="661"/>
      <c r="AR195" s="661"/>
      <c r="AS195" s="661"/>
      <c r="AT195" s="661"/>
      <c r="AU195" s="661"/>
      <c r="AV195" s="661"/>
      <c r="AW195" s="661"/>
      <c r="AX195" s="661"/>
      <c r="AY195" s="661"/>
      <c r="AZ195" s="661"/>
      <c r="BA195" s="661"/>
      <c r="BB195" s="661"/>
      <c r="BC195" s="661"/>
      <c r="BD195" s="661"/>
      <c r="BE195" s="661"/>
      <c r="BF195" s="661"/>
      <c r="BG195" s="661"/>
      <c r="BH195" s="661"/>
      <c r="BI195" s="661"/>
      <c r="BJ195" s="661"/>
      <c r="BK195" s="661"/>
      <c r="BL195" s="661"/>
      <c r="BM195" s="661"/>
      <c r="BN195" s="661"/>
      <c r="BO195" s="661"/>
      <c r="BP195" s="661"/>
      <c r="BQ195" s="661"/>
      <c r="BR195" s="661"/>
      <c r="BS195" s="661"/>
      <c r="BT195" s="661"/>
      <c r="BU195" s="661"/>
      <c r="BV195" s="661"/>
      <c r="BW195" s="661"/>
      <c r="BX195" s="661"/>
      <c r="BY195" s="661"/>
      <c r="BZ195" s="661"/>
      <c r="CA195" s="661"/>
      <c r="CB195" s="661"/>
      <c r="CC195" s="661"/>
      <c r="CD195" s="661"/>
      <c r="CE195" s="661"/>
      <c r="CF195" s="661"/>
      <c r="CG195" s="661"/>
      <c r="CH195" s="661"/>
      <c r="CI195" s="661"/>
      <c r="CJ195" s="661"/>
      <c r="CK195" s="661"/>
      <c r="CL195" s="661"/>
      <c r="CM195" s="661"/>
      <c r="CN195" s="661"/>
      <c r="CO195" s="661"/>
      <c r="CP195" s="661"/>
      <c r="CQ195" s="661"/>
      <c r="CR195" s="661"/>
      <c r="CS195" s="661"/>
      <c r="CT195" s="661"/>
      <c r="CU195" s="661"/>
      <c r="CV195" s="39"/>
      <c r="CW195" s="58"/>
      <c r="CX195" s="58"/>
      <c r="CY195" s="58"/>
      <c r="CZ195" s="58"/>
      <c r="DA195" s="58"/>
      <c r="DB195" s="58"/>
      <c r="DC195" s="58"/>
      <c r="DD195" s="58"/>
      <c r="DE195" s="58"/>
      <c r="DF195" s="58"/>
      <c r="DG195" s="58"/>
      <c r="DH195" s="58"/>
      <c r="DI195" s="58"/>
      <c r="DJ195" s="58"/>
      <c r="DK195" s="58"/>
      <c r="DL195" s="345"/>
      <c r="DM195" s="345"/>
      <c r="DN195" s="345"/>
      <c r="DO195" s="345"/>
      <c r="DP195" s="345"/>
      <c r="DQ195" s="345"/>
    </row>
    <row r="196" spans="1:121" x14ac:dyDescent="0.2">
      <c r="B196" s="55"/>
      <c r="C196" s="55"/>
      <c r="D196" s="55"/>
      <c r="E196" s="55"/>
      <c r="F196" s="55"/>
      <c r="G196" s="55"/>
      <c r="H196" s="55"/>
      <c r="I196" s="55"/>
      <c r="J196" s="659"/>
      <c r="K196" s="659"/>
      <c r="L196" s="659"/>
      <c r="M196" s="659"/>
      <c r="N196" s="659"/>
      <c r="O196" s="659"/>
      <c r="P196" s="659"/>
      <c r="DL196" s="58"/>
      <c r="DM196" s="58"/>
      <c r="DN196" s="58"/>
      <c r="DO196" s="58"/>
      <c r="DP196" s="58"/>
      <c r="DQ196" s="58"/>
    </row>
    <row r="197" spans="1:121" x14ac:dyDescent="0.2">
      <c r="B197" s="55"/>
      <c r="C197" s="55"/>
      <c r="D197" s="55"/>
      <c r="E197" s="55"/>
      <c r="F197" s="55"/>
      <c r="G197" s="55"/>
      <c r="H197" s="55"/>
      <c r="I197" s="55"/>
      <c r="J197" s="659"/>
      <c r="K197" s="659"/>
      <c r="L197" s="659"/>
      <c r="M197" s="659"/>
      <c r="N197" s="659"/>
      <c r="O197" s="659"/>
      <c r="P197" s="659"/>
      <c r="DL197" s="58"/>
      <c r="DM197" s="58"/>
      <c r="DN197" s="58"/>
      <c r="DO197" s="58"/>
      <c r="DP197" s="58"/>
      <c r="DQ197" s="58"/>
    </row>
    <row r="198" spans="1:121" x14ac:dyDescent="0.2">
      <c r="B198" s="55"/>
      <c r="C198" s="55"/>
      <c r="D198" s="55"/>
      <c r="E198" s="55"/>
      <c r="F198" s="55"/>
      <c r="G198" s="55"/>
      <c r="H198" s="55"/>
      <c r="I198" s="55"/>
      <c r="J198" s="659"/>
      <c r="K198" s="659"/>
      <c r="L198" s="659"/>
      <c r="M198" s="659"/>
      <c r="N198" s="659"/>
      <c r="O198" s="659"/>
      <c r="P198" s="659"/>
      <c r="DL198" s="58"/>
      <c r="DM198" s="58"/>
      <c r="DN198" s="58"/>
      <c r="DO198" s="58"/>
      <c r="DP198" s="58"/>
      <c r="DQ198" s="58"/>
    </row>
    <row r="199" spans="1:121" x14ac:dyDescent="0.2">
      <c r="B199" s="55"/>
      <c r="C199" s="55"/>
      <c r="D199" s="55"/>
      <c r="E199" s="55"/>
      <c r="F199" s="55"/>
      <c r="G199" s="55"/>
      <c r="H199" s="55"/>
      <c r="I199" s="55"/>
      <c r="J199" s="659"/>
      <c r="K199" s="659"/>
      <c r="L199" s="659"/>
      <c r="M199" s="659"/>
      <c r="N199" s="659"/>
      <c r="O199" s="659"/>
      <c r="P199" s="659"/>
      <c r="DL199" s="58"/>
      <c r="DM199" s="58"/>
      <c r="DN199" s="58"/>
      <c r="DO199" s="58"/>
      <c r="DP199" s="58"/>
      <c r="DQ199" s="58"/>
    </row>
    <row r="200" spans="1:121" s="155" customFormat="1" x14ac:dyDescent="0.2">
      <c r="J200" s="704"/>
      <c r="K200" s="704"/>
      <c r="L200" s="704"/>
      <c r="M200" s="704"/>
      <c r="N200" s="704"/>
      <c r="O200" s="704"/>
      <c r="P200" s="704"/>
      <c r="CV200" s="39"/>
    </row>
    <row r="201" spans="1:121" s="199" customFormat="1" x14ac:dyDescent="0.2">
      <c r="C201" s="701">
        <f ca="1">D41</f>
        <v>2017</v>
      </c>
      <c r="D201" s="702" t="str">
        <f t="shared" ref="D201:O201" si="21">IF($C$3="English",CY3,CY2)</f>
        <v>Jan.</v>
      </c>
      <c r="E201" s="702" t="str">
        <f t="shared" si="21"/>
        <v>Febr.</v>
      </c>
      <c r="F201" s="702" t="str">
        <f t="shared" si="21"/>
        <v>März</v>
      </c>
      <c r="G201" s="702" t="str">
        <f t="shared" si="21"/>
        <v>April</v>
      </c>
      <c r="H201" s="702" t="str">
        <f t="shared" si="21"/>
        <v>Mai</v>
      </c>
      <c r="I201" s="702" t="str">
        <f t="shared" si="21"/>
        <v>Juni</v>
      </c>
      <c r="J201" s="702" t="str">
        <f t="shared" si="21"/>
        <v>Juli</v>
      </c>
      <c r="K201" s="702" t="str">
        <f t="shared" si="21"/>
        <v>Aug.</v>
      </c>
      <c r="L201" s="702" t="str">
        <f t="shared" si="21"/>
        <v>Sept.</v>
      </c>
      <c r="M201" s="702" t="str">
        <f t="shared" si="21"/>
        <v>Okt.</v>
      </c>
      <c r="N201" s="702" t="str">
        <f t="shared" si="21"/>
        <v>Nov.</v>
      </c>
      <c r="O201" s="702" t="str">
        <f t="shared" si="21"/>
        <v>Dez.</v>
      </c>
      <c r="P201" s="700"/>
      <c r="CV201" s="1067"/>
    </row>
    <row r="202" spans="1:121" s="199" customFormat="1" x14ac:dyDescent="0.2">
      <c r="C202" s="703" t="str">
        <f ca="1">"Liquiditätssaldo für das Jahr " &amp;'1 Pers.Ausgaben|Pers Expenses'!C4 &amp; " in EUR"</f>
        <v>Liquiditätssaldo für das Jahr 2017 in EUR</v>
      </c>
      <c r="D202" s="703">
        <f>IF(D37&lt;0,"",D37)</f>
        <v>0</v>
      </c>
      <c r="E202" s="703">
        <f t="shared" ref="E202:O202" si="22">IF(E37&lt;0,"",E37)</f>
        <v>0</v>
      </c>
      <c r="F202" s="703">
        <f t="shared" si="22"/>
        <v>0</v>
      </c>
      <c r="G202" s="703">
        <f t="shared" si="22"/>
        <v>0</v>
      </c>
      <c r="H202" s="703">
        <f t="shared" si="22"/>
        <v>0</v>
      </c>
      <c r="I202" s="703">
        <f t="shared" si="22"/>
        <v>0</v>
      </c>
      <c r="J202" s="703">
        <f t="shared" si="22"/>
        <v>0</v>
      </c>
      <c r="K202" s="703">
        <f t="shared" si="22"/>
        <v>0</v>
      </c>
      <c r="L202" s="703">
        <f t="shared" si="22"/>
        <v>0</v>
      </c>
      <c r="M202" s="703">
        <f t="shared" si="22"/>
        <v>0</v>
      </c>
      <c r="N202" s="703">
        <f t="shared" si="22"/>
        <v>0</v>
      </c>
      <c r="O202" s="703">
        <f t="shared" si="22"/>
        <v>0</v>
      </c>
      <c r="P202" s="700"/>
      <c r="CV202" s="663" t="str">
        <f>"Liquiditätssaldo für das Jahr " &amp;'1 Pers.Ausgaben|Pers Expenses'!CW4 &amp; " in EUR"</f>
        <v>Liquiditätssaldo für das Jahr  in EUR</v>
      </c>
    </row>
    <row r="203" spans="1:121" s="199" customFormat="1" x14ac:dyDescent="0.2">
      <c r="C203" s="703" t="s">
        <v>215</v>
      </c>
      <c r="D203" s="703">
        <f>IF(D37&gt;0,"",D37)</f>
        <v>0</v>
      </c>
      <c r="E203" s="703">
        <f t="shared" ref="E203:O203" si="23">IF(E37&gt;0,"",E37)</f>
        <v>0</v>
      </c>
      <c r="F203" s="703">
        <f t="shared" si="23"/>
        <v>0</v>
      </c>
      <c r="G203" s="703">
        <f t="shared" si="23"/>
        <v>0</v>
      </c>
      <c r="H203" s="703">
        <f t="shared" si="23"/>
        <v>0</v>
      </c>
      <c r="I203" s="703">
        <f t="shared" si="23"/>
        <v>0</v>
      </c>
      <c r="J203" s="703">
        <f t="shared" si="23"/>
        <v>0</v>
      </c>
      <c r="K203" s="703">
        <f t="shared" si="23"/>
        <v>0</v>
      </c>
      <c r="L203" s="703">
        <f t="shared" si="23"/>
        <v>0</v>
      </c>
      <c r="M203" s="703">
        <f t="shared" si="23"/>
        <v>0</v>
      </c>
      <c r="N203" s="703">
        <f t="shared" si="23"/>
        <v>0</v>
      </c>
      <c r="O203" s="703">
        <f t="shared" si="23"/>
        <v>0</v>
      </c>
      <c r="P203" s="700"/>
      <c r="CV203" s="663" t="s">
        <v>215</v>
      </c>
    </row>
    <row r="204" spans="1:121" s="199" customFormat="1" x14ac:dyDescent="0.2">
      <c r="J204" s="700"/>
      <c r="K204" s="700"/>
      <c r="L204" s="700"/>
      <c r="M204" s="700"/>
      <c r="N204" s="700"/>
      <c r="O204" s="700"/>
      <c r="P204" s="700"/>
      <c r="CV204" s="203"/>
    </row>
    <row r="205" spans="1:121" s="199" customFormat="1" x14ac:dyDescent="0.2">
      <c r="C205" s="702" t="str">
        <f>C71</f>
        <v>Liquiditätssaldo</v>
      </c>
      <c r="D205" s="702">
        <f ca="1">D41</f>
        <v>2017</v>
      </c>
      <c r="E205" s="702">
        <f ca="1">E41</f>
        <v>2018</v>
      </c>
      <c r="F205" s="702">
        <f ca="1">F41</f>
        <v>2019</v>
      </c>
      <c r="G205" s="702">
        <f ca="1">G41</f>
        <v>2020</v>
      </c>
      <c r="H205" s="702">
        <f ca="1">H41</f>
        <v>2021</v>
      </c>
      <c r="I205" s="700"/>
      <c r="J205" s="700"/>
      <c r="K205" s="700"/>
      <c r="L205" s="700"/>
      <c r="M205" s="700"/>
      <c r="N205" s="700"/>
      <c r="O205" s="700"/>
      <c r="P205" s="700"/>
      <c r="CV205" s="663" t="str">
        <f>CV71</f>
        <v>Liquiditätssaldo</v>
      </c>
    </row>
    <row r="206" spans="1:121" s="199" customFormat="1" x14ac:dyDescent="0.2">
      <c r="C206" s="703" t="s">
        <v>212</v>
      </c>
      <c r="D206" s="703" t="str">
        <f>IF(D71&lt;0,D71,"")</f>
        <v/>
      </c>
      <c r="E206" s="703" t="str">
        <f>IF(E71&lt;0,E71,"")</f>
        <v/>
      </c>
      <c r="F206" s="703" t="str">
        <f>IF(F71&lt;0,F71,"")</f>
        <v/>
      </c>
      <c r="G206" s="703" t="str">
        <f>IF(G71&lt;0,G71,"")</f>
        <v/>
      </c>
      <c r="H206" s="703" t="str">
        <f>IF(H71&lt;0,H71,"")</f>
        <v/>
      </c>
      <c r="I206" s="700"/>
      <c r="J206" s="700"/>
      <c r="K206" s="700"/>
      <c r="L206" s="700"/>
      <c r="M206" s="700"/>
      <c r="N206" s="700"/>
      <c r="O206" s="700"/>
      <c r="P206" s="700"/>
      <c r="CV206" s="663" t="s">
        <v>212</v>
      </c>
    </row>
    <row r="207" spans="1:121" s="199" customFormat="1" x14ac:dyDescent="0.2">
      <c r="C207" s="703" t="s">
        <v>213</v>
      </c>
      <c r="D207" s="703" t="str">
        <f>IF(D71&gt;0,D71,"")</f>
        <v/>
      </c>
      <c r="E207" s="703" t="str">
        <f>IF(E71&gt;0,E71,"")</f>
        <v/>
      </c>
      <c r="F207" s="703" t="str">
        <f>IF(F71&gt;0,F71,"")</f>
        <v/>
      </c>
      <c r="G207" s="703" t="str">
        <f>IF(G71&gt;0,G71,"")</f>
        <v/>
      </c>
      <c r="H207" s="703" t="str">
        <f>IF(H71&gt;0,H71,"")</f>
        <v/>
      </c>
      <c r="I207" s="700"/>
      <c r="J207" s="700"/>
      <c r="K207" s="700"/>
      <c r="L207" s="700"/>
      <c r="M207" s="700"/>
      <c r="N207" s="700"/>
      <c r="O207" s="700"/>
      <c r="P207" s="700"/>
      <c r="CV207" s="663" t="s">
        <v>213</v>
      </c>
    </row>
    <row r="208" spans="1:121" s="155" customFormat="1" x14ac:dyDescent="0.2">
      <c r="D208" s="704"/>
      <c r="E208" s="704"/>
      <c r="F208" s="704"/>
      <c r="G208" s="704"/>
      <c r="H208" s="704"/>
      <c r="I208" s="704"/>
      <c r="J208" s="704"/>
      <c r="K208" s="704"/>
      <c r="L208" s="704"/>
      <c r="M208" s="704"/>
      <c r="N208" s="704"/>
      <c r="O208" s="704"/>
      <c r="P208" s="704"/>
      <c r="CV208" s="39"/>
    </row>
    <row r="209" spans="2:121" s="155" customFormat="1" x14ac:dyDescent="0.2">
      <c r="D209" s="704"/>
      <c r="E209" s="704"/>
      <c r="F209" s="704"/>
      <c r="G209" s="704"/>
      <c r="H209" s="704"/>
      <c r="I209" s="704"/>
      <c r="J209" s="704"/>
      <c r="K209" s="704"/>
      <c r="L209" s="704"/>
      <c r="M209" s="704"/>
      <c r="N209" s="704"/>
      <c r="O209" s="704"/>
      <c r="P209" s="704"/>
      <c r="CV209" s="39"/>
    </row>
    <row r="210" spans="2:121" x14ac:dyDescent="0.2">
      <c r="B210" s="55"/>
      <c r="C210" s="55"/>
      <c r="D210" s="659"/>
      <c r="E210" s="659"/>
      <c r="F210" s="659"/>
      <c r="G210" s="659"/>
      <c r="H210" s="659"/>
      <c r="I210" s="659"/>
      <c r="J210" s="659"/>
      <c r="K210" s="659"/>
      <c r="L210" s="659"/>
      <c r="M210" s="659"/>
      <c r="N210" s="659"/>
      <c r="O210" s="659"/>
      <c r="P210" s="659"/>
      <c r="DL210" s="58"/>
      <c r="DM210" s="58"/>
      <c r="DN210" s="58"/>
      <c r="DO210" s="58"/>
      <c r="DP210" s="58"/>
      <c r="DQ210" s="58"/>
    </row>
    <row r="211" spans="2:121" x14ac:dyDescent="0.2">
      <c r="B211" s="55"/>
      <c r="C211" s="55"/>
      <c r="D211" s="659"/>
      <c r="E211" s="659"/>
      <c r="F211" s="659"/>
      <c r="G211" s="659"/>
      <c r="H211" s="659"/>
      <c r="I211" s="659"/>
      <c r="J211" s="659"/>
      <c r="K211" s="659"/>
      <c r="L211" s="659"/>
      <c r="M211" s="659"/>
      <c r="N211" s="659"/>
      <c r="O211" s="659"/>
      <c r="P211" s="659"/>
    </row>
    <row r="212" spans="2:121" x14ac:dyDescent="0.2">
      <c r="B212" s="55"/>
      <c r="C212" s="55"/>
      <c r="D212" s="659"/>
      <c r="E212" s="659"/>
      <c r="F212" s="659"/>
      <c r="G212" s="659"/>
      <c r="H212" s="659"/>
      <c r="I212" s="659"/>
      <c r="J212" s="659"/>
      <c r="K212" s="659"/>
      <c r="L212" s="659"/>
      <c r="M212" s="659"/>
      <c r="N212" s="659"/>
      <c r="O212" s="659"/>
      <c r="P212" s="659"/>
    </row>
    <row r="213" spans="2:121" x14ac:dyDescent="0.2">
      <c r="B213" s="55"/>
      <c r="C213" s="55"/>
      <c r="D213" s="659"/>
      <c r="E213" s="659"/>
      <c r="F213" s="659"/>
      <c r="G213" s="659"/>
      <c r="H213" s="659"/>
      <c r="I213" s="659"/>
      <c r="J213" s="659"/>
      <c r="K213" s="659"/>
      <c r="L213" s="659"/>
      <c r="M213" s="659"/>
      <c r="N213" s="659"/>
      <c r="O213" s="659"/>
      <c r="P213" s="659"/>
    </row>
    <row r="214" spans="2:121" x14ac:dyDescent="0.2">
      <c r="B214" s="55"/>
      <c r="C214" s="55"/>
      <c r="D214" s="659"/>
      <c r="E214" s="659"/>
      <c r="F214" s="659"/>
      <c r="G214" s="659"/>
      <c r="H214" s="659"/>
      <c r="I214" s="659"/>
      <c r="J214" s="659"/>
      <c r="K214" s="659"/>
      <c r="L214" s="659"/>
      <c r="M214" s="659"/>
      <c r="N214" s="659"/>
      <c r="O214" s="659"/>
      <c r="P214" s="659"/>
    </row>
    <row r="215" spans="2:121" x14ac:dyDescent="0.2">
      <c r="B215" s="55"/>
      <c r="C215" s="55"/>
      <c r="D215" s="659"/>
      <c r="E215" s="659"/>
      <c r="F215" s="659"/>
      <c r="G215" s="659"/>
      <c r="H215" s="659"/>
      <c r="I215" s="659"/>
      <c r="J215" s="659"/>
      <c r="K215" s="659"/>
      <c r="L215" s="659"/>
      <c r="M215" s="659"/>
      <c r="N215" s="659"/>
      <c r="O215" s="659"/>
      <c r="P215" s="659"/>
    </row>
    <row r="216" spans="2:121" x14ac:dyDescent="0.2">
      <c r="B216" s="55"/>
      <c r="C216" s="55"/>
      <c r="D216" s="659"/>
      <c r="E216" s="659"/>
      <c r="F216" s="659"/>
      <c r="G216" s="659"/>
      <c r="H216" s="659"/>
      <c r="I216" s="659"/>
      <c r="J216" s="659"/>
      <c r="K216" s="659"/>
      <c r="L216" s="659"/>
      <c r="M216" s="659"/>
      <c r="N216" s="659"/>
      <c r="O216" s="659"/>
      <c r="P216" s="659"/>
    </row>
    <row r="217" spans="2:121" x14ac:dyDescent="0.2">
      <c r="B217" s="55"/>
      <c r="C217" s="55"/>
      <c r="D217" s="659"/>
      <c r="E217" s="659"/>
      <c r="F217" s="659"/>
      <c r="G217" s="659"/>
      <c r="H217" s="659"/>
      <c r="I217" s="659"/>
      <c r="J217" s="659"/>
      <c r="K217" s="659"/>
      <c r="L217" s="659"/>
      <c r="M217" s="659"/>
      <c r="N217" s="659"/>
      <c r="O217" s="659"/>
      <c r="P217" s="659"/>
    </row>
    <row r="218" spans="2:121" x14ac:dyDescent="0.2">
      <c r="B218" s="55"/>
      <c r="C218" s="55"/>
      <c r="D218" s="659"/>
      <c r="E218" s="659"/>
      <c r="F218" s="659"/>
      <c r="G218" s="659"/>
      <c r="H218" s="659"/>
      <c r="I218" s="659"/>
      <c r="J218" s="659"/>
      <c r="K218" s="659"/>
      <c r="L218" s="659"/>
      <c r="M218" s="659"/>
      <c r="N218" s="659"/>
      <c r="O218" s="659"/>
      <c r="P218" s="659"/>
    </row>
    <row r="219" spans="2:121" x14ac:dyDescent="0.2">
      <c r="B219" s="55"/>
      <c r="C219" s="55"/>
      <c r="D219" s="659"/>
      <c r="E219" s="659"/>
      <c r="F219" s="659"/>
      <c r="G219" s="659"/>
      <c r="H219" s="659"/>
      <c r="I219" s="659"/>
      <c r="J219" s="659"/>
      <c r="K219" s="659"/>
      <c r="L219" s="659"/>
      <c r="M219" s="659"/>
      <c r="N219" s="659"/>
      <c r="O219" s="659"/>
      <c r="P219" s="659"/>
    </row>
    <row r="220" spans="2:121" x14ac:dyDescent="0.2">
      <c r="B220" s="55"/>
      <c r="C220" s="55"/>
      <c r="D220" s="659"/>
      <c r="E220" s="659"/>
      <c r="F220" s="659"/>
      <c r="G220" s="659"/>
      <c r="H220" s="659"/>
      <c r="I220" s="659"/>
      <c r="J220" s="659"/>
      <c r="K220" s="659"/>
      <c r="L220" s="659"/>
      <c r="M220" s="659"/>
      <c r="N220" s="659"/>
      <c r="O220" s="659"/>
      <c r="P220" s="659"/>
    </row>
    <row r="221" spans="2:121" x14ac:dyDescent="0.2">
      <c r="B221" s="55"/>
      <c r="C221" s="55"/>
      <c r="D221" s="659"/>
      <c r="E221" s="659"/>
      <c r="F221" s="659"/>
      <c r="G221" s="659"/>
      <c r="H221" s="659"/>
      <c r="I221" s="659"/>
      <c r="J221" s="659"/>
      <c r="K221" s="659"/>
      <c r="L221" s="659"/>
      <c r="M221" s="659"/>
      <c r="N221" s="659"/>
      <c r="O221" s="659"/>
      <c r="P221" s="659"/>
    </row>
    <row r="222" spans="2:121" x14ac:dyDescent="0.2">
      <c r="B222" s="55"/>
      <c r="C222" s="55"/>
      <c r="D222" s="659"/>
      <c r="E222" s="659"/>
      <c r="F222" s="659"/>
      <c r="G222" s="659"/>
      <c r="H222" s="659"/>
      <c r="I222" s="659"/>
      <c r="J222" s="659"/>
      <c r="K222" s="659"/>
      <c r="L222" s="659"/>
      <c r="M222" s="659"/>
      <c r="N222" s="659"/>
      <c r="O222" s="659"/>
      <c r="P222" s="659"/>
    </row>
    <row r="223" spans="2:121" x14ac:dyDescent="0.2">
      <c r="B223" s="55"/>
      <c r="C223" s="55"/>
      <c r="D223" s="659"/>
      <c r="E223" s="659"/>
      <c r="F223" s="659"/>
      <c r="G223" s="659"/>
      <c r="H223" s="659"/>
      <c r="I223" s="659"/>
      <c r="J223" s="659"/>
      <c r="K223" s="659"/>
      <c r="L223" s="659"/>
      <c r="M223" s="659"/>
      <c r="N223" s="659"/>
      <c r="O223" s="659"/>
      <c r="P223" s="659"/>
    </row>
    <row r="224" spans="2:121" x14ac:dyDescent="0.2">
      <c r="B224" s="55"/>
      <c r="C224" s="55"/>
      <c r="D224" s="659"/>
      <c r="E224" s="659"/>
      <c r="F224" s="659"/>
      <c r="G224" s="659"/>
      <c r="H224" s="659"/>
      <c r="I224" s="659"/>
      <c r="J224" s="659"/>
      <c r="K224" s="659"/>
      <c r="L224" s="659"/>
      <c r="M224" s="659"/>
      <c r="N224" s="659"/>
      <c r="O224" s="659"/>
      <c r="P224" s="659"/>
    </row>
    <row r="225" spans="2:16" x14ac:dyDescent="0.2">
      <c r="B225" s="55"/>
      <c r="C225" s="55"/>
      <c r="D225" s="659"/>
      <c r="E225" s="659"/>
      <c r="F225" s="659"/>
      <c r="G225" s="659"/>
      <c r="H225" s="659"/>
      <c r="I225" s="659"/>
      <c r="J225" s="659"/>
      <c r="K225" s="659"/>
      <c r="L225" s="659"/>
      <c r="M225" s="659"/>
      <c r="N225" s="659"/>
      <c r="O225" s="659"/>
      <c r="P225" s="659"/>
    </row>
    <row r="226" spans="2:16" x14ac:dyDescent="0.2">
      <c r="B226" s="55"/>
      <c r="C226" s="55"/>
      <c r="D226" s="659"/>
      <c r="E226" s="659"/>
      <c r="F226" s="659"/>
      <c r="G226" s="659"/>
      <c r="H226" s="659"/>
      <c r="I226" s="659"/>
      <c r="J226" s="659"/>
      <c r="K226" s="659"/>
      <c r="L226" s="659"/>
      <c r="M226" s="659"/>
      <c r="N226" s="659"/>
      <c r="O226" s="659"/>
      <c r="P226" s="659"/>
    </row>
    <row r="227" spans="2:16" x14ac:dyDescent="0.2">
      <c r="B227" s="55"/>
      <c r="C227" s="55"/>
      <c r="D227" s="659"/>
      <c r="E227" s="659"/>
      <c r="F227" s="659"/>
      <c r="G227" s="659"/>
      <c r="H227" s="659"/>
      <c r="I227" s="659"/>
      <c r="J227" s="659"/>
      <c r="K227" s="659"/>
      <c r="L227" s="659"/>
      <c r="M227" s="659"/>
      <c r="N227" s="659"/>
      <c r="O227" s="659"/>
      <c r="P227" s="659"/>
    </row>
    <row r="228" spans="2:16" x14ac:dyDescent="0.2">
      <c r="B228" s="55"/>
      <c r="C228" s="55"/>
      <c r="D228" s="659"/>
      <c r="E228" s="659"/>
      <c r="F228" s="659"/>
      <c r="G228" s="659"/>
      <c r="H228" s="659"/>
      <c r="I228" s="659"/>
      <c r="J228" s="659"/>
      <c r="K228" s="659"/>
      <c r="L228" s="659"/>
      <c r="M228" s="659"/>
      <c r="N228" s="659"/>
      <c r="O228" s="659"/>
      <c r="P228" s="659"/>
    </row>
    <row r="229" spans="2:16" x14ac:dyDescent="0.2">
      <c r="B229" s="55"/>
      <c r="C229" s="55"/>
      <c r="D229" s="659"/>
      <c r="E229" s="659"/>
      <c r="F229" s="659"/>
      <c r="G229" s="659"/>
      <c r="H229" s="659"/>
      <c r="I229" s="659"/>
      <c r="J229" s="659"/>
      <c r="K229" s="659"/>
      <c r="L229" s="659"/>
      <c r="M229" s="659"/>
      <c r="N229" s="659"/>
      <c r="O229" s="659"/>
      <c r="P229" s="659"/>
    </row>
    <row r="230" spans="2:16" x14ac:dyDescent="0.2">
      <c r="B230" s="55"/>
      <c r="C230" s="55"/>
      <c r="D230" s="659"/>
      <c r="E230" s="659"/>
      <c r="F230" s="659"/>
      <c r="G230" s="659"/>
      <c r="H230" s="659"/>
      <c r="I230" s="659"/>
      <c r="J230" s="659"/>
      <c r="K230" s="659"/>
      <c r="L230" s="659"/>
      <c r="M230" s="659"/>
      <c r="N230" s="659"/>
      <c r="O230" s="659"/>
      <c r="P230" s="659"/>
    </row>
    <row r="231" spans="2:16" x14ac:dyDescent="0.2">
      <c r="B231" s="55"/>
      <c r="C231" s="55"/>
      <c r="D231" s="659"/>
      <c r="E231" s="659"/>
      <c r="F231" s="659"/>
      <c r="G231" s="659"/>
      <c r="H231" s="659"/>
      <c r="I231" s="659"/>
      <c r="J231" s="659"/>
      <c r="K231" s="659"/>
      <c r="L231" s="659"/>
      <c r="M231" s="659"/>
      <c r="N231" s="659"/>
      <c r="O231" s="659"/>
      <c r="P231" s="659"/>
    </row>
    <row r="232" spans="2:16" x14ac:dyDescent="0.2">
      <c r="B232" s="55"/>
      <c r="C232" s="55"/>
      <c r="D232" s="659"/>
      <c r="E232" s="659"/>
      <c r="F232" s="659"/>
      <c r="G232" s="659"/>
      <c r="H232" s="659"/>
      <c r="I232" s="659"/>
      <c r="J232" s="659"/>
      <c r="K232" s="659"/>
      <c r="L232" s="659"/>
      <c r="M232" s="659"/>
      <c r="N232" s="659"/>
      <c r="O232" s="659"/>
      <c r="P232" s="659"/>
    </row>
    <row r="233" spans="2:16" x14ac:dyDescent="0.2">
      <c r="B233" s="55"/>
      <c r="C233" s="55"/>
      <c r="D233" s="659"/>
      <c r="E233" s="659"/>
      <c r="F233" s="659"/>
      <c r="G233" s="659"/>
      <c r="H233" s="659"/>
      <c r="I233" s="659"/>
      <c r="J233" s="659"/>
      <c r="K233" s="659"/>
      <c r="L233" s="659"/>
      <c r="M233" s="659"/>
      <c r="N233" s="659"/>
      <c r="O233" s="659"/>
      <c r="P233" s="659"/>
    </row>
    <row r="234" spans="2:16" x14ac:dyDescent="0.2">
      <c r="B234" s="55"/>
      <c r="C234" s="55"/>
      <c r="D234" s="659"/>
      <c r="E234" s="659"/>
      <c r="F234" s="659"/>
      <c r="G234" s="659"/>
      <c r="H234" s="659"/>
      <c r="I234" s="659"/>
      <c r="J234" s="659"/>
      <c r="K234" s="659"/>
      <c r="L234" s="659"/>
      <c r="M234" s="659"/>
      <c r="N234" s="659"/>
      <c r="O234" s="659"/>
      <c r="P234" s="659"/>
    </row>
    <row r="235" spans="2:16" x14ac:dyDescent="0.2">
      <c r="B235" s="55"/>
      <c r="C235" s="55"/>
      <c r="D235" s="659"/>
      <c r="E235" s="659"/>
      <c r="F235" s="659"/>
      <c r="G235" s="659"/>
      <c r="H235" s="659"/>
      <c r="I235" s="659"/>
      <c r="J235" s="659"/>
      <c r="K235" s="659"/>
      <c r="L235" s="659"/>
      <c r="M235" s="659"/>
      <c r="N235" s="659"/>
      <c r="O235" s="659"/>
      <c r="P235" s="659"/>
    </row>
    <row r="236" spans="2:16" x14ac:dyDescent="0.2">
      <c r="B236" s="55"/>
      <c r="C236" s="55"/>
      <c r="D236" s="659"/>
      <c r="E236" s="659"/>
      <c r="F236" s="659"/>
      <c r="G236" s="659"/>
      <c r="H236" s="659"/>
      <c r="I236" s="659"/>
      <c r="J236" s="659"/>
      <c r="K236" s="659"/>
      <c r="L236" s="659"/>
      <c r="M236" s="659"/>
      <c r="N236" s="659"/>
      <c r="O236" s="659"/>
      <c r="P236" s="659"/>
    </row>
    <row r="237" spans="2:16" x14ac:dyDescent="0.2">
      <c r="B237" s="55"/>
      <c r="C237" s="55"/>
      <c r="D237" s="659"/>
      <c r="E237" s="659"/>
      <c r="F237" s="659"/>
      <c r="G237" s="659"/>
      <c r="H237" s="659"/>
      <c r="I237" s="659"/>
      <c r="J237" s="659"/>
      <c r="K237" s="659"/>
      <c r="L237" s="659"/>
      <c r="M237" s="659"/>
      <c r="N237" s="659"/>
      <c r="O237" s="659"/>
      <c r="P237" s="659"/>
    </row>
    <row r="238" spans="2:16" x14ac:dyDescent="0.2">
      <c r="B238" s="55"/>
      <c r="C238" s="55"/>
      <c r="D238" s="659"/>
      <c r="E238" s="659"/>
      <c r="F238" s="659"/>
      <c r="G238" s="659"/>
      <c r="H238" s="659"/>
      <c r="I238" s="659"/>
      <c r="J238" s="659"/>
      <c r="K238" s="659"/>
      <c r="L238" s="659"/>
      <c r="M238" s="659"/>
      <c r="N238" s="659"/>
      <c r="O238" s="659"/>
      <c r="P238" s="659"/>
    </row>
    <row r="239" spans="2:16" x14ac:dyDescent="0.2">
      <c r="B239" s="55"/>
      <c r="C239" s="55"/>
      <c r="D239" s="659"/>
      <c r="E239" s="659"/>
      <c r="F239" s="659"/>
      <c r="G239" s="659"/>
      <c r="H239" s="659"/>
      <c r="I239" s="659"/>
      <c r="J239" s="659"/>
      <c r="K239" s="659"/>
      <c r="L239" s="659"/>
      <c r="M239" s="659"/>
      <c r="N239" s="659"/>
      <c r="O239" s="659"/>
      <c r="P239" s="659"/>
    </row>
    <row r="240" spans="2:16" x14ac:dyDescent="0.2">
      <c r="B240" s="55"/>
      <c r="C240" s="55"/>
      <c r="D240" s="659"/>
      <c r="E240" s="659"/>
      <c r="F240" s="659"/>
      <c r="G240" s="659"/>
      <c r="H240" s="659"/>
      <c r="I240" s="659"/>
      <c r="J240" s="659"/>
      <c r="K240" s="659"/>
      <c r="L240" s="659"/>
      <c r="M240" s="659"/>
      <c r="N240" s="659"/>
      <c r="O240" s="659"/>
      <c r="P240" s="659"/>
    </row>
    <row r="241" spans="2:16" x14ac:dyDescent="0.2">
      <c r="B241" s="55"/>
      <c r="C241" s="55"/>
      <c r="D241" s="659"/>
      <c r="E241" s="659"/>
      <c r="F241" s="659"/>
      <c r="G241" s="659"/>
      <c r="H241" s="659"/>
      <c r="I241" s="659"/>
      <c r="J241" s="659"/>
      <c r="K241" s="659"/>
      <c r="L241" s="659"/>
      <c r="M241" s="659"/>
      <c r="N241" s="659"/>
      <c r="O241" s="659"/>
      <c r="P241" s="659"/>
    </row>
    <row r="242" spans="2:16" x14ac:dyDescent="0.2">
      <c r="B242" s="55"/>
      <c r="C242" s="55"/>
      <c r="D242" s="659"/>
      <c r="E242" s="659"/>
      <c r="F242" s="659"/>
      <c r="G242" s="659"/>
      <c r="H242" s="659"/>
      <c r="I242" s="659"/>
      <c r="J242" s="659"/>
      <c r="K242" s="659"/>
      <c r="L242" s="659"/>
      <c r="M242" s="659"/>
      <c r="N242" s="659"/>
      <c r="O242" s="659"/>
      <c r="P242" s="659"/>
    </row>
    <row r="243" spans="2:16" x14ac:dyDescent="0.2">
      <c r="B243" s="55"/>
      <c r="C243" s="55"/>
      <c r="D243" s="659"/>
      <c r="E243" s="659"/>
      <c r="F243" s="659"/>
      <c r="G243" s="659"/>
      <c r="H243" s="659"/>
      <c r="I243" s="659"/>
      <c r="J243" s="659"/>
      <c r="K243" s="659"/>
      <c r="L243" s="659"/>
      <c r="M243" s="659"/>
      <c r="N243" s="659"/>
      <c r="O243" s="659"/>
      <c r="P243" s="659"/>
    </row>
    <row r="244" spans="2:16" x14ac:dyDescent="0.2">
      <c r="B244" s="55"/>
      <c r="C244" s="55"/>
      <c r="D244" s="659"/>
      <c r="E244" s="659"/>
      <c r="F244" s="659"/>
      <c r="G244" s="659"/>
      <c r="H244" s="659"/>
      <c r="I244" s="659"/>
      <c r="J244" s="659"/>
      <c r="K244" s="659"/>
      <c r="L244" s="659"/>
      <c r="M244" s="659"/>
      <c r="N244" s="659"/>
      <c r="O244" s="659"/>
      <c r="P244" s="659"/>
    </row>
    <row r="245" spans="2:16" x14ac:dyDescent="0.2">
      <c r="B245" s="55"/>
      <c r="C245" s="55"/>
      <c r="D245" s="659"/>
      <c r="E245" s="659"/>
      <c r="F245" s="659"/>
      <c r="G245" s="659"/>
      <c r="H245" s="659"/>
      <c r="I245" s="659"/>
      <c r="J245" s="659"/>
      <c r="K245" s="659"/>
      <c r="L245" s="659"/>
      <c r="M245" s="659"/>
      <c r="N245" s="659"/>
      <c r="O245" s="659"/>
      <c r="P245" s="659"/>
    </row>
    <row r="246" spans="2:16" x14ac:dyDescent="0.2">
      <c r="B246" s="55"/>
      <c r="C246" s="55"/>
      <c r="D246" s="659"/>
      <c r="E246" s="659"/>
      <c r="F246" s="659"/>
      <c r="G246" s="659"/>
      <c r="H246" s="659"/>
      <c r="I246" s="659"/>
      <c r="J246" s="659"/>
      <c r="K246" s="659"/>
      <c r="L246" s="659"/>
      <c r="M246" s="659"/>
      <c r="N246" s="659"/>
      <c r="O246" s="659"/>
      <c r="P246" s="659"/>
    </row>
    <row r="247" spans="2:16" x14ac:dyDescent="0.2">
      <c r="B247" s="55"/>
      <c r="C247" s="55"/>
      <c r="D247" s="659"/>
      <c r="E247" s="659"/>
      <c r="F247" s="659"/>
      <c r="G247" s="659"/>
      <c r="H247" s="659"/>
      <c r="I247" s="659"/>
      <c r="J247" s="659"/>
      <c r="K247" s="659"/>
      <c r="L247" s="659"/>
      <c r="M247" s="659"/>
      <c r="N247" s="659"/>
      <c r="O247" s="659"/>
      <c r="P247" s="659"/>
    </row>
    <row r="248" spans="2:16" x14ac:dyDescent="0.2">
      <c r="B248" s="55"/>
      <c r="C248" s="55"/>
      <c r="D248" s="659"/>
      <c r="E248" s="659"/>
      <c r="F248" s="659"/>
      <c r="G248" s="659"/>
      <c r="H248" s="659"/>
      <c r="I248" s="659"/>
      <c r="J248" s="659"/>
      <c r="K248" s="659"/>
      <c r="L248" s="659"/>
      <c r="M248" s="659"/>
      <c r="N248" s="659"/>
      <c r="O248" s="659"/>
      <c r="P248" s="659"/>
    </row>
    <row r="249" spans="2:16" x14ac:dyDescent="0.2">
      <c r="B249" s="55"/>
      <c r="C249" s="55"/>
      <c r="D249" s="659"/>
      <c r="E249" s="659"/>
      <c r="F249" s="659"/>
      <c r="G249" s="659"/>
      <c r="H249" s="659"/>
      <c r="I249" s="659"/>
      <c r="J249" s="659"/>
      <c r="K249" s="659"/>
      <c r="L249" s="659"/>
      <c r="M249" s="659"/>
      <c r="N249" s="659"/>
      <c r="O249" s="659"/>
      <c r="P249" s="659"/>
    </row>
    <row r="250" spans="2:16" x14ac:dyDescent="0.2">
      <c r="B250" s="55"/>
      <c r="C250" s="55"/>
      <c r="D250" s="659"/>
      <c r="E250" s="659"/>
      <c r="F250" s="659"/>
      <c r="G250" s="659"/>
      <c r="H250" s="659"/>
      <c r="I250" s="659"/>
      <c r="J250" s="659"/>
      <c r="K250" s="659"/>
      <c r="L250" s="659"/>
      <c r="M250" s="659"/>
      <c r="N250" s="659"/>
      <c r="O250" s="659"/>
      <c r="P250" s="659"/>
    </row>
    <row r="251" spans="2:16" x14ac:dyDescent="0.2">
      <c r="B251" s="55"/>
      <c r="C251" s="55"/>
      <c r="D251" s="659"/>
      <c r="E251" s="659"/>
      <c r="F251" s="659"/>
      <c r="G251" s="659"/>
      <c r="H251" s="659"/>
      <c r="I251" s="659"/>
      <c r="J251" s="659"/>
      <c r="K251" s="659"/>
      <c r="L251" s="659"/>
      <c r="M251" s="659"/>
      <c r="N251" s="659"/>
      <c r="O251" s="659"/>
      <c r="P251" s="659"/>
    </row>
    <row r="252" spans="2:16" x14ac:dyDescent="0.2">
      <c r="B252" s="55"/>
      <c r="C252" s="55"/>
      <c r="D252" s="659"/>
      <c r="E252" s="659"/>
      <c r="F252" s="659"/>
      <c r="G252" s="659"/>
      <c r="H252" s="659"/>
      <c r="I252" s="659"/>
      <c r="J252" s="659"/>
      <c r="K252" s="659"/>
      <c r="L252" s="659"/>
      <c r="M252" s="659"/>
      <c r="N252" s="659"/>
      <c r="O252" s="659"/>
      <c r="P252" s="659"/>
    </row>
    <row r="253" spans="2:16" x14ac:dyDescent="0.2">
      <c r="B253" s="55"/>
      <c r="C253" s="55"/>
      <c r="D253" s="659"/>
      <c r="E253" s="659"/>
      <c r="F253" s="659"/>
      <c r="G253" s="659"/>
      <c r="H253" s="659"/>
      <c r="I253" s="659"/>
      <c r="J253" s="659"/>
      <c r="K253" s="659"/>
      <c r="L253" s="659"/>
      <c r="M253" s="659"/>
      <c r="N253" s="659"/>
      <c r="O253" s="659"/>
      <c r="P253" s="659"/>
    </row>
    <row r="254" spans="2:16" x14ac:dyDescent="0.2">
      <c r="B254" s="55"/>
      <c r="C254" s="55"/>
      <c r="D254" s="659"/>
      <c r="E254" s="659"/>
      <c r="F254" s="659"/>
      <c r="G254" s="659"/>
      <c r="H254" s="659"/>
      <c r="I254" s="659"/>
      <c r="J254" s="659"/>
      <c r="K254" s="659"/>
      <c r="L254" s="659"/>
      <c r="M254" s="659"/>
      <c r="N254" s="659"/>
      <c r="O254" s="659"/>
      <c r="P254" s="659"/>
    </row>
    <row r="255" spans="2:16" x14ac:dyDescent="0.2">
      <c r="B255" s="55"/>
      <c r="C255" s="55"/>
      <c r="D255" s="659"/>
      <c r="E255" s="659"/>
      <c r="F255" s="659"/>
      <c r="G255" s="659"/>
      <c r="H255" s="659"/>
      <c r="I255" s="659"/>
      <c r="J255" s="659"/>
      <c r="K255" s="659"/>
      <c r="L255" s="659"/>
      <c r="M255" s="659"/>
      <c r="N255" s="659"/>
      <c r="O255" s="659"/>
      <c r="P255" s="659"/>
    </row>
    <row r="256" spans="2:16" x14ac:dyDescent="0.2">
      <c r="B256" s="55"/>
      <c r="C256" s="55"/>
      <c r="D256" s="659"/>
      <c r="E256" s="659"/>
      <c r="F256" s="659"/>
      <c r="G256" s="659"/>
      <c r="H256" s="659"/>
      <c r="I256" s="659"/>
      <c r="J256" s="659"/>
      <c r="K256" s="659"/>
      <c r="L256" s="659"/>
      <c r="M256" s="659"/>
      <c r="N256" s="659"/>
      <c r="O256" s="659"/>
      <c r="P256" s="659"/>
    </row>
    <row r="257" spans="2:16" x14ac:dyDescent="0.2">
      <c r="B257" s="55"/>
      <c r="C257" s="55"/>
      <c r="D257" s="659"/>
      <c r="E257" s="659"/>
      <c r="F257" s="659"/>
      <c r="G257" s="659"/>
      <c r="H257" s="659"/>
      <c r="I257" s="659"/>
      <c r="J257" s="659"/>
      <c r="K257" s="659"/>
      <c r="L257" s="659"/>
      <c r="M257" s="659"/>
      <c r="N257" s="659"/>
      <c r="O257" s="659"/>
      <c r="P257" s="659"/>
    </row>
    <row r="258" spans="2:16" x14ac:dyDescent="0.2">
      <c r="B258" s="55"/>
      <c r="C258" s="55"/>
      <c r="D258" s="659"/>
      <c r="E258" s="659"/>
      <c r="F258" s="659"/>
      <c r="G258" s="659"/>
      <c r="H258" s="659"/>
      <c r="I258" s="659"/>
      <c r="J258" s="659"/>
      <c r="K258" s="659"/>
      <c r="L258" s="659"/>
      <c r="M258" s="659"/>
      <c r="N258" s="659"/>
      <c r="O258" s="659"/>
      <c r="P258" s="659"/>
    </row>
    <row r="259" spans="2:16" x14ac:dyDescent="0.2">
      <c r="B259" s="55"/>
      <c r="C259" s="55"/>
      <c r="D259" s="659"/>
      <c r="E259" s="659"/>
      <c r="F259" s="659"/>
      <c r="G259" s="659"/>
      <c r="H259" s="659"/>
      <c r="I259" s="659"/>
      <c r="J259" s="659"/>
      <c r="K259" s="659"/>
      <c r="L259" s="659"/>
      <c r="M259" s="659"/>
      <c r="N259" s="659"/>
      <c r="O259" s="659"/>
      <c r="P259" s="659"/>
    </row>
    <row r="260" spans="2:16" x14ac:dyDescent="0.2">
      <c r="B260" s="55"/>
      <c r="C260" s="55"/>
      <c r="D260" s="659"/>
      <c r="E260" s="659"/>
      <c r="F260" s="659"/>
      <c r="G260" s="659"/>
      <c r="H260" s="659"/>
      <c r="I260" s="659"/>
      <c r="J260" s="659"/>
      <c r="K260" s="659"/>
      <c r="L260" s="659"/>
      <c r="M260" s="659"/>
      <c r="N260" s="659"/>
      <c r="O260" s="659"/>
      <c r="P260" s="659"/>
    </row>
    <row r="261" spans="2:16" x14ac:dyDescent="0.2">
      <c r="B261" s="55"/>
      <c r="C261" s="55"/>
      <c r="D261" s="659"/>
      <c r="E261" s="659"/>
      <c r="F261" s="659"/>
      <c r="G261" s="659"/>
      <c r="H261" s="659"/>
      <c r="I261" s="659"/>
      <c r="J261" s="659"/>
      <c r="K261" s="659"/>
      <c r="L261" s="659"/>
      <c r="M261" s="659"/>
      <c r="N261" s="659"/>
      <c r="O261" s="659"/>
      <c r="P261" s="659"/>
    </row>
    <row r="262" spans="2:16" x14ac:dyDescent="0.2">
      <c r="B262" s="55"/>
      <c r="C262" s="55"/>
      <c r="D262" s="659"/>
      <c r="E262" s="659"/>
      <c r="F262" s="659"/>
      <c r="G262" s="659"/>
      <c r="H262" s="659"/>
      <c r="I262" s="659"/>
      <c r="J262" s="659"/>
      <c r="K262" s="659"/>
      <c r="L262" s="659"/>
      <c r="M262" s="659"/>
      <c r="N262" s="659"/>
      <c r="O262" s="659"/>
      <c r="P262" s="659"/>
    </row>
    <row r="263" spans="2:16" x14ac:dyDescent="0.2">
      <c r="B263" s="55"/>
      <c r="C263" s="55"/>
      <c r="D263" s="659"/>
      <c r="E263" s="659"/>
      <c r="F263" s="659"/>
      <c r="G263" s="659"/>
      <c r="H263" s="659"/>
      <c r="I263" s="659"/>
      <c r="J263" s="659"/>
      <c r="K263" s="659"/>
      <c r="L263" s="659"/>
      <c r="M263" s="659"/>
      <c r="N263" s="659"/>
      <c r="O263" s="659"/>
      <c r="P263" s="659"/>
    </row>
    <row r="264" spans="2:16" x14ac:dyDescent="0.2">
      <c r="B264" s="55"/>
      <c r="C264" s="55"/>
      <c r="D264" s="659"/>
      <c r="E264" s="659"/>
      <c r="F264" s="659"/>
      <c r="G264" s="659"/>
      <c r="H264" s="659"/>
      <c r="I264" s="659"/>
      <c r="J264" s="659"/>
      <c r="K264" s="659"/>
      <c r="L264" s="659"/>
      <c r="M264" s="659"/>
      <c r="N264" s="659"/>
      <c r="O264" s="659"/>
      <c r="P264" s="659"/>
    </row>
    <row r="265" spans="2:16" x14ac:dyDescent="0.2">
      <c r="B265" s="55"/>
      <c r="C265" s="55"/>
      <c r="D265" s="659"/>
      <c r="E265" s="659"/>
      <c r="F265" s="659"/>
      <c r="G265" s="659"/>
      <c r="H265" s="659"/>
      <c r="I265" s="659"/>
      <c r="J265" s="659"/>
      <c r="K265" s="659"/>
      <c r="L265" s="659"/>
      <c r="M265" s="659"/>
      <c r="N265" s="659"/>
      <c r="O265" s="659"/>
      <c r="P265" s="659"/>
    </row>
    <row r="266" spans="2:16" x14ac:dyDescent="0.2">
      <c r="B266" s="55"/>
      <c r="C266" s="55"/>
      <c r="D266" s="659"/>
      <c r="E266" s="659"/>
      <c r="F266" s="659"/>
      <c r="G266" s="659"/>
      <c r="H266" s="659"/>
      <c r="I266" s="659"/>
      <c r="J266" s="659"/>
      <c r="K266" s="659"/>
      <c r="L266" s="659"/>
      <c r="M266" s="659"/>
      <c r="N266" s="659"/>
      <c r="O266" s="659"/>
      <c r="P266" s="659"/>
    </row>
    <row r="267" spans="2:16" x14ac:dyDescent="0.2">
      <c r="B267" s="55"/>
      <c r="C267" s="55"/>
      <c r="D267" s="659"/>
      <c r="E267" s="659"/>
      <c r="F267" s="659"/>
      <c r="G267" s="659"/>
      <c r="H267" s="659"/>
      <c r="I267" s="659"/>
      <c r="J267" s="659"/>
      <c r="K267" s="659"/>
      <c r="L267" s="659"/>
      <c r="M267" s="659"/>
      <c r="N267" s="659"/>
      <c r="O267" s="659"/>
      <c r="P267" s="659"/>
    </row>
    <row r="268" spans="2:16" x14ac:dyDescent="0.2">
      <c r="B268" s="55"/>
      <c r="C268" s="55"/>
      <c r="D268" s="659"/>
      <c r="E268" s="659"/>
      <c r="F268" s="659"/>
      <c r="G268" s="659"/>
      <c r="H268" s="659"/>
      <c r="I268" s="659"/>
      <c r="J268" s="659"/>
      <c r="K268" s="659"/>
      <c r="L268" s="659"/>
      <c r="M268" s="659"/>
      <c r="N268" s="659"/>
      <c r="O268" s="659"/>
      <c r="P268" s="659"/>
    </row>
    <row r="269" spans="2:16" x14ac:dyDescent="0.2">
      <c r="B269" s="55"/>
      <c r="C269" s="55"/>
      <c r="D269" s="659"/>
      <c r="E269" s="659"/>
      <c r="F269" s="659"/>
      <c r="G269" s="659"/>
      <c r="H269" s="659"/>
      <c r="I269" s="659"/>
      <c r="J269" s="659"/>
      <c r="K269" s="659"/>
      <c r="L269" s="659"/>
      <c r="M269" s="659"/>
      <c r="N269" s="659"/>
      <c r="O269" s="659"/>
      <c r="P269" s="659"/>
    </row>
    <row r="270" spans="2:16" x14ac:dyDescent="0.2">
      <c r="B270" s="55"/>
      <c r="C270" s="55"/>
      <c r="D270" s="659"/>
      <c r="E270" s="659"/>
      <c r="F270" s="659"/>
      <c r="G270" s="659"/>
      <c r="H270" s="659"/>
      <c r="I270" s="659"/>
      <c r="J270" s="659"/>
      <c r="K270" s="659"/>
      <c r="L270" s="659"/>
      <c r="M270" s="659"/>
      <c r="N270" s="659"/>
      <c r="O270" s="659"/>
      <c r="P270" s="659"/>
    </row>
    <row r="271" spans="2:16" x14ac:dyDescent="0.2">
      <c r="B271" s="55"/>
      <c r="C271" s="55"/>
      <c r="D271" s="659"/>
      <c r="E271" s="659"/>
      <c r="F271" s="659"/>
      <c r="G271" s="659"/>
      <c r="H271" s="659"/>
      <c r="I271" s="659"/>
      <c r="J271" s="659"/>
      <c r="K271" s="659"/>
      <c r="L271" s="659"/>
      <c r="M271" s="659"/>
      <c r="N271" s="659"/>
      <c r="O271" s="659"/>
      <c r="P271" s="659"/>
    </row>
    <row r="272" spans="2:16" x14ac:dyDescent="0.2">
      <c r="B272" s="55"/>
      <c r="C272" s="55"/>
      <c r="D272" s="659"/>
      <c r="E272" s="659"/>
      <c r="F272" s="659"/>
      <c r="G272" s="659"/>
      <c r="H272" s="659"/>
      <c r="I272" s="659"/>
      <c r="J272" s="659"/>
      <c r="K272" s="659"/>
      <c r="L272" s="659"/>
      <c r="M272" s="659"/>
      <c r="N272" s="659"/>
      <c r="O272" s="659"/>
      <c r="P272" s="659"/>
    </row>
    <row r="273" spans="2:16" x14ac:dyDescent="0.2">
      <c r="B273" s="55"/>
      <c r="C273" s="55"/>
      <c r="D273" s="659"/>
      <c r="E273" s="659"/>
      <c r="F273" s="659"/>
      <c r="G273" s="659"/>
      <c r="H273" s="659"/>
      <c r="I273" s="659"/>
      <c r="J273" s="659"/>
      <c r="K273" s="659"/>
      <c r="L273" s="659"/>
      <c r="M273" s="659"/>
      <c r="N273" s="659"/>
      <c r="O273" s="659"/>
      <c r="P273" s="659"/>
    </row>
    <row r="274" spans="2:16" x14ac:dyDescent="0.2">
      <c r="B274" s="55"/>
      <c r="C274" s="55"/>
      <c r="D274" s="659"/>
      <c r="E274" s="659"/>
      <c r="F274" s="659"/>
      <c r="G274" s="659"/>
      <c r="H274" s="659"/>
      <c r="I274" s="659"/>
      <c r="J274" s="659"/>
      <c r="K274" s="659"/>
      <c r="L274" s="659"/>
      <c r="M274" s="659"/>
      <c r="N274" s="659"/>
      <c r="O274" s="659"/>
      <c r="P274" s="659"/>
    </row>
    <row r="275" spans="2:16" x14ac:dyDescent="0.2">
      <c r="B275" s="55"/>
      <c r="C275" s="55"/>
      <c r="D275" s="659"/>
      <c r="E275" s="659"/>
      <c r="F275" s="659"/>
      <c r="G275" s="659"/>
      <c r="H275" s="659"/>
      <c r="I275" s="659"/>
      <c r="J275" s="659"/>
      <c r="K275" s="659"/>
      <c r="L275" s="659"/>
      <c r="M275" s="659"/>
      <c r="N275" s="659"/>
      <c r="O275" s="659"/>
      <c r="P275" s="659"/>
    </row>
    <row r="276" spans="2:16" x14ac:dyDescent="0.2">
      <c r="B276" s="55"/>
      <c r="C276" s="55"/>
      <c r="D276" s="659"/>
      <c r="E276" s="659"/>
      <c r="F276" s="659"/>
      <c r="G276" s="659"/>
      <c r="H276" s="659"/>
      <c r="I276" s="659"/>
      <c r="J276" s="659"/>
      <c r="K276" s="659"/>
      <c r="L276" s="659"/>
      <c r="M276" s="659"/>
      <c r="N276" s="659"/>
      <c r="O276" s="659"/>
      <c r="P276" s="659"/>
    </row>
    <row r="277" spans="2:16" x14ac:dyDescent="0.2">
      <c r="B277" s="55"/>
      <c r="C277" s="55"/>
      <c r="D277" s="659"/>
      <c r="E277" s="659"/>
      <c r="F277" s="659"/>
      <c r="G277" s="659"/>
      <c r="H277" s="659"/>
      <c r="I277" s="659"/>
      <c r="J277" s="659"/>
      <c r="K277" s="659"/>
      <c r="L277" s="659"/>
      <c r="M277" s="659"/>
      <c r="N277" s="659"/>
      <c r="O277" s="659"/>
      <c r="P277" s="659"/>
    </row>
    <row r="278" spans="2:16" x14ac:dyDescent="0.2">
      <c r="B278" s="55"/>
      <c r="C278" s="55"/>
      <c r="D278" s="659"/>
      <c r="E278" s="659"/>
      <c r="F278" s="659"/>
      <c r="G278" s="659"/>
      <c r="H278" s="659"/>
      <c r="I278" s="659"/>
      <c r="J278" s="659"/>
      <c r="K278" s="659"/>
      <c r="L278" s="659"/>
      <c r="M278" s="659"/>
      <c r="N278" s="659"/>
      <c r="O278" s="659"/>
      <c r="P278" s="659"/>
    </row>
    <row r="279" spans="2:16" x14ac:dyDescent="0.2">
      <c r="B279" s="55"/>
      <c r="C279" s="55"/>
      <c r="D279" s="659"/>
      <c r="E279" s="659"/>
      <c r="F279" s="659"/>
      <c r="G279" s="659"/>
      <c r="H279" s="659"/>
      <c r="I279" s="659"/>
      <c r="J279" s="659"/>
      <c r="K279" s="659"/>
      <c r="L279" s="659"/>
      <c r="M279" s="659"/>
      <c r="N279" s="659"/>
      <c r="O279" s="659"/>
      <c r="P279" s="659"/>
    </row>
    <row r="280" spans="2:16" x14ac:dyDescent="0.2">
      <c r="B280" s="55"/>
      <c r="C280" s="55"/>
      <c r="D280" s="659"/>
      <c r="E280" s="659"/>
      <c r="F280" s="659"/>
      <c r="G280" s="659"/>
      <c r="H280" s="659"/>
      <c r="I280" s="659"/>
      <c r="J280" s="659"/>
      <c r="K280" s="659"/>
      <c r="L280" s="659"/>
      <c r="M280" s="659"/>
      <c r="N280" s="659"/>
      <c r="O280" s="659"/>
      <c r="P280" s="659"/>
    </row>
    <row r="281" spans="2:16" x14ac:dyDescent="0.2">
      <c r="B281" s="55"/>
      <c r="C281" s="55"/>
      <c r="D281" s="659"/>
      <c r="E281" s="659"/>
      <c r="F281" s="659"/>
      <c r="G281" s="659"/>
      <c r="H281" s="659"/>
      <c r="I281" s="659"/>
      <c r="J281" s="659"/>
      <c r="K281" s="659"/>
      <c r="L281" s="659"/>
      <c r="M281" s="659"/>
      <c r="N281" s="659"/>
      <c r="O281" s="659"/>
      <c r="P281" s="659"/>
    </row>
    <row r="282" spans="2:16" x14ac:dyDescent="0.2">
      <c r="B282" s="55"/>
      <c r="C282" s="55"/>
      <c r="D282" s="659"/>
      <c r="E282" s="659"/>
      <c r="F282" s="659"/>
      <c r="G282" s="659"/>
      <c r="H282" s="659"/>
      <c r="I282" s="659"/>
      <c r="J282" s="659"/>
      <c r="K282" s="659"/>
      <c r="L282" s="659"/>
      <c r="M282" s="659"/>
      <c r="N282" s="659"/>
      <c r="O282" s="659"/>
      <c r="P282" s="659"/>
    </row>
    <row r="283" spans="2:16" x14ac:dyDescent="0.2">
      <c r="B283" s="55"/>
      <c r="C283" s="55"/>
      <c r="D283" s="659"/>
      <c r="E283" s="659"/>
      <c r="F283" s="659"/>
      <c r="G283" s="659"/>
      <c r="H283" s="659"/>
      <c r="I283" s="659"/>
      <c r="J283" s="659"/>
      <c r="K283" s="659"/>
      <c r="L283" s="659"/>
      <c r="M283" s="659"/>
      <c r="N283" s="659"/>
      <c r="O283" s="659"/>
      <c r="P283" s="659"/>
    </row>
    <row r="284" spans="2:16" x14ac:dyDescent="0.2">
      <c r="B284" s="55"/>
      <c r="C284" s="55"/>
      <c r="D284" s="659"/>
      <c r="E284" s="659"/>
      <c r="F284" s="659"/>
      <c r="G284" s="659"/>
      <c r="H284" s="659"/>
      <c r="I284" s="659"/>
      <c r="J284" s="659"/>
      <c r="K284" s="659"/>
      <c r="L284" s="659"/>
      <c r="M284" s="659"/>
      <c r="N284" s="659"/>
      <c r="O284" s="659"/>
      <c r="P284" s="659"/>
    </row>
    <row r="285" spans="2:16" x14ac:dyDescent="0.2">
      <c r="B285" s="55"/>
      <c r="C285" s="55"/>
      <c r="D285" s="659"/>
      <c r="E285" s="659"/>
      <c r="F285" s="659"/>
      <c r="G285" s="659"/>
      <c r="H285" s="659"/>
      <c r="I285" s="659"/>
      <c r="J285" s="659"/>
      <c r="K285" s="659"/>
      <c r="L285" s="659"/>
      <c r="M285" s="659"/>
      <c r="N285" s="659"/>
      <c r="O285" s="659"/>
      <c r="P285" s="659"/>
    </row>
    <row r="286" spans="2:16" x14ac:dyDescent="0.2">
      <c r="B286" s="55"/>
      <c r="C286" s="55"/>
      <c r="D286" s="659"/>
      <c r="E286" s="659"/>
      <c r="F286" s="659"/>
      <c r="G286" s="659"/>
      <c r="H286" s="659"/>
      <c r="I286" s="659"/>
      <c r="J286" s="659"/>
      <c r="K286" s="659"/>
      <c r="L286" s="659"/>
      <c r="M286" s="659"/>
      <c r="N286" s="659"/>
      <c r="O286" s="659"/>
      <c r="P286" s="659"/>
    </row>
    <row r="287" spans="2:16" x14ac:dyDescent="0.2">
      <c r="B287" s="55"/>
      <c r="C287" s="55"/>
      <c r="D287" s="659"/>
      <c r="E287" s="659"/>
      <c r="F287" s="659"/>
      <c r="G287" s="659"/>
      <c r="H287" s="659"/>
      <c r="I287" s="659"/>
      <c r="J287" s="659"/>
      <c r="K287" s="659"/>
      <c r="L287" s="659"/>
      <c r="M287" s="659"/>
      <c r="N287" s="659"/>
      <c r="O287" s="659"/>
      <c r="P287" s="659"/>
    </row>
    <row r="288" spans="2:16" x14ac:dyDescent="0.2">
      <c r="B288" s="55"/>
      <c r="C288" s="55"/>
      <c r="D288" s="659"/>
      <c r="E288" s="659"/>
      <c r="F288" s="659"/>
      <c r="G288" s="659"/>
      <c r="H288" s="659"/>
      <c r="I288" s="659"/>
      <c r="J288" s="659"/>
      <c r="K288" s="659"/>
      <c r="L288" s="659"/>
      <c r="M288" s="659"/>
      <c r="N288" s="659"/>
      <c r="O288" s="659"/>
      <c r="P288" s="659"/>
    </row>
    <row r="289" spans="2:16" x14ac:dyDescent="0.2">
      <c r="B289" s="55"/>
      <c r="C289" s="55"/>
      <c r="D289" s="659"/>
      <c r="E289" s="659"/>
      <c r="F289" s="659"/>
      <c r="G289" s="659"/>
      <c r="H289" s="659"/>
      <c r="I289" s="659"/>
      <c r="J289" s="659"/>
      <c r="K289" s="659"/>
      <c r="L289" s="659"/>
      <c r="M289" s="659"/>
      <c r="N289" s="659"/>
      <c r="O289" s="659"/>
      <c r="P289" s="659"/>
    </row>
    <row r="290" spans="2:16" x14ac:dyDescent="0.2">
      <c r="B290" s="55"/>
      <c r="C290" s="55"/>
      <c r="D290" s="659"/>
      <c r="E290" s="659"/>
      <c r="F290" s="659"/>
      <c r="G290" s="659"/>
      <c r="H290" s="659"/>
      <c r="I290" s="659"/>
      <c r="J290" s="659"/>
      <c r="K290" s="659"/>
      <c r="L290" s="659"/>
      <c r="M290" s="659"/>
      <c r="N290" s="659"/>
      <c r="O290" s="659"/>
      <c r="P290" s="659"/>
    </row>
    <row r="291" spans="2:16" x14ac:dyDescent="0.2">
      <c r="B291" s="55"/>
      <c r="C291" s="55"/>
      <c r="D291" s="659"/>
      <c r="E291" s="659"/>
      <c r="F291" s="659"/>
      <c r="G291" s="659"/>
      <c r="H291" s="659"/>
      <c r="I291" s="659"/>
      <c r="J291" s="659"/>
      <c r="K291" s="659"/>
      <c r="L291" s="659"/>
      <c r="M291" s="659"/>
      <c r="N291" s="659"/>
      <c r="O291" s="659"/>
      <c r="P291" s="659"/>
    </row>
    <row r="292" spans="2:16" x14ac:dyDescent="0.2">
      <c r="B292" s="55"/>
      <c r="C292" s="55"/>
      <c r="D292" s="659"/>
      <c r="E292" s="659"/>
      <c r="F292" s="659"/>
      <c r="G292" s="659"/>
      <c r="H292" s="659"/>
      <c r="I292" s="659"/>
      <c r="J292" s="659"/>
      <c r="K292" s="659"/>
      <c r="L292" s="659"/>
      <c r="M292" s="659"/>
      <c r="N292" s="659"/>
      <c r="O292" s="659"/>
      <c r="P292" s="659"/>
    </row>
    <row r="293" spans="2:16" x14ac:dyDescent="0.2">
      <c r="B293" s="55"/>
      <c r="C293" s="55"/>
      <c r="D293" s="659"/>
      <c r="E293" s="659"/>
      <c r="F293" s="659"/>
      <c r="G293" s="659"/>
      <c r="H293" s="659"/>
      <c r="I293" s="659"/>
      <c r="J293" s="659"/>
      <c r="K293" s="659"/>
      <c r="L293" s="659"/>
      <c r="M293" s="659"/>
      <c r="N293" s="659"/>
      <c r="O293" s="659"/>
      <c r="P293" s="659"/>
    </row>
    <row r="294" spans="2:16" x14ac:dyDescent="0.2">
      <c r="B294" s="55"/>
      <c r="C294" s="55"/>
      <c r="D294" s="659"/>
      <c r="E294" s="659"/>
      <c r="F294" s="659"/>
      <c r="G294" s="659"/>
      <c r="H294" s="659"/>
      <c r="I294" s="659"/>
      <c r="J294" s="659"/>
      <c r="K294" s="659"/>
      <c r="L294" s="659"/>
      <c r="M294" s="659"/>
      <c r="N294" s="659"/>
      <c r="O294" s="659"/>
      <c r="P294" s="659"/>
    </row>
    <row r="295" spans="2:16" x14ac:dyDescent="0.2">
      <c r="B295" s="55"/>
      <c r="C295" s="55"/>
      <c r="D295" s="659"/>
      <c r="E295" s="659"/>
      <c r="F295" s="659"/>
      <c r="G295" s="659"/>
      <c r="H295" s="659"/>
      <c r="I295" s="659"/>
      <c r="J295" s="659"/>
      <c r="K295" s="659"/>
      <c r="L295" s="659"/>
      <c r="M295" s="659"/>
      <c r="N295" s="659"/>
      <c r="O295" s="659"/>
      <c r="P295" s="659"/>
    </row>
    <row r="296" spans="2:16" x14ac:dyDescent="0.2">
      <c r="B296" s="55"/>
      <c r="C296" s="55"/>
      <c r="D296" s="659"/>
      <c r="E296" s="659"/>
      <c r="F296" s="659"/>
      <c r="G296" s="659"/>
      <c r="H296" s="659"/>
      <c r="I296" s="659"/>
      <c r="J296" s="659"/>
      <c r="K296" s="659"/>
      <c r="L296" s="659"/>
      <c r="M296" s="659"/>
      <c r="N296" s="659"/>
      <c r="O296" s="659"/>
      <c r="P296" s="659"/>
    </row>
    <row r="297" spans="2:16" x14ac:dyDescent="0.2">
      <c r="B297" s="55"/>
      <c r="C297" s="55"/>
      <c r="D297" s="659"/>
      <c r="E297" s="659"/>
      <c r="F297" s="659"/>
      <c r="G297" s="659"/>
      <c r="H297" s="659"/>
      <c r="I297" s="659"/>
      <c r="J297" s="659"/>
      <c r="K297" s="659"/>
      <c r="L297" s="659"/>
      <c r="M297" s="659"/>
      <c r="N297" s="659"/>
      <c r="O297" s="659"/>
      <c r="P297" s="659"/>
    </row>
    <row r="298" spans="2:16" x14ac:dyDescent="0.2">
      <c r="B298" s="55"/>
      <c r="C298" s="55"/>
      <c r="D298" s="659"/>
      <c r="E298" s="659"/>
      <c r="F298" s="659"/>
      <c r="G298" s="659"/>
      <c r="H298" s="659"/>
      <c r="I298" s="659"/>
      <c r="J298" s="659"/>
      <c r="K298" s="659"/>
      <c r="L298" s="659"/>
      <c r="M298" s="659"/>
      <c r="N298" s="659"/>
      <c r="O298" s="659"/>
      <c r="P298" s="659"/>
    </row>
    <row r="299" spans="2:16" x14ac:dyDescent="0.2">
      <c r="B299" s="55"/>
      <c r="C299" s="55"/>
      <c r="D299" s="659"/>
      <c r="E299" s="659"/>
      <c r="F299" s="659"/>
      <c r="G299" s="659"/>
      <c r="H299" s="659"/>
      <c r="I299" s="659"/>
      <c r="J299" s="659"/>
      <c r="K299" s="659"/>
      <c r="L299" s="659"/>
      <c r="M299" s="659"/>
      <c r="N299" s="659"/>
      <c r="O299" s="659"/>
      <c r="P299" s="659"/>
    </row>
    <row r="300" spans="2:16" x14ac:dyDescent="0.2">
      <c r="B300" s="55"/>
      <c r="C300" s="55"/>
      <c r="D300" s="659"/>
      <c r="E300" s="659"/>
      <c r="F300" s="659"/>
      <c r="G300" s="659"/>
      <c r="H300" s="659"/>
      <c r="I300" s="659"/>
      <c r="J300" s="659"/>
      <c r="K300" s="659"/>
      <c r="L300" s="659"/>
      <c r="M300" s="659"/>
      <c r="N300" s="659"/>
      <c r="O300" s="659"/>
      <c r="P300" s="659"/>
    </row>
    <row r="301" spans="2:16" x14ac:dyDescent="0.2">
      <c r="B301" s="55"/>
      <c r="C301" s="55"/>
      <c r="D301" s="659"/>
      <c r="E301" s="659"/>
      <c r="F301" s="659"/>
      <c r="G301" s="659"/>
      <c r="H301" s="659"/>
      <c r="I301" s="659"/>
      <c r="J301" s="659"/>
      <c r="K301" s="659"/>
      <c r="L301" s="659"/>
      <c r="M301" s="659"/>
      <c r="N301" s="659"/>
      <c r="O301" s="659"/>
      <c r="P301" s="659"/>
    </row>
    <row r="302" spans="2:16" x14ac:dyDescent="0.2">
      <c r="B302" s="55"/>
      <c r="C302" s="55"/>
      <c r="D302" s="659"/>
      <c r="E302" s="659"/>
      <c r="F302" s="659"/>
      <c r="G302" s="659"/>
      <c r="H302" s="659"/>
      <c r="I302" s="659"/>
      <c r="J302" s="659"/>
      <c r="K302" s="659"/>
      <c r="L302" s="659"/>
      <c r="M302" s="659"/>
      <c r="N302" s="659"/>
      <c r="O302" s="659"/>
      <c r="P302" s="659"/>
    </row>
    <row r="303" spans="2:16" x14ac:dyDescent="0.2">
      <c r="B303" s="55"/>
      <c r="C303" s="55"/>
      <c r="D303" s="659"/>
      <c r="E303" s="659"/>
      <c r="F303" s="659"/>
      <c r="G303" s="659"/>
      <c r="H303" s="659"/>
      <c r="I303" s="659"/>
      <c r="J303" s="659"/>
      <c r="K303" s="659"/>
      <c r="L303" s="659"/>
      <c r="M303" s="659"/>
      <c r="N303" s="659"/>
      <c r="O303" s="659"/>
      <c r="P303" s="659"/>
    </row>
    <row r="304" spans="2:16" x14ac:dyDescent="0.2">
      <c r="B304" s="55"/>
      <c r="C304" s="55"/>
      <c r="D304" s="659"/>
      <c r="E304" s="659"/>
      <c r="F304" s="659"/>
      <c r="G304" s="659"/>
      <c r="H304" s="659"/>
      <c r="I304" s="659"/>
      <c r="J304" s="659"/>
      <c r="K304" s="659"/>
      <c r="L304" s="659"/>
      <c r="M304" s="659"/>
      <c r="N304" s="659"/>
      <c r="O304" s="659"/>
      <c r="P304" s="659"/>
    </row>
    <row r="305" spans="2:16" x14ac:dyDescent="0.2">
      <c r="B305" s="55"/>
      <c r="C305" s="55"/>
      <c r="D305" s="659"/>
      <c r="E305" s="659"/>
      <c r="F305" s="659"/>
      <c r="G305" s="659"/>
      <c r="H305" s="659"/>
      <c r="I305" s="659"/>
      <c r="J305" s="659"/>
      <c r="K305" s="659"/>
      <c r="L305" s="659"/>
      <c r="M305" s="659"/>
      <c r="N305" s="659"/>
      <c r="O305" s="659"/>
      <c r="P305" s="659"/>
    </row>
    <row r="306" spans="2:16" x14ac:dyDescent="0.2">
      <c r="B306" s="55"/>
      <c r="C306" s="55"/>
      <c r="D306" s="659"/>
      <c r="E306" s="659"/>
      <c r="F306" s="659"/>
      <c r="G306" s="659"/>
      <c r="H306" s="659"/>
      <c r="I306" s="659"/>
      <c r="J306" s="659"/>
      <c r="K306" s="659"/>
      <c r="L306" s="659"/>
      <c r="M306" s="659"/>
      <c r="N306" s="659"/>
      <c r="O306" s="659"/>
      <c r="P306" s="659"/>
    </row>
    <row r="307" spans="2:16" x14ac:dyDescent="0.2">
      <c r="B307" s="55"/>
      <c r="C307" s="55"/>
      <c r="D307" s="659"/>
      <c r="E307" s="659"/>
      <c r="F307" s="659"/>
      <c r="G307" s="659"/>
      <c r="H307" s="659"/>
      <c r="I307" s="659"/>
      <c r="J307" s="659"/>
      <c r="K307" s="659"/>
      <c r="L307" s="659"/>
      <c r="M307" s="659"/>
      <c r="N307" s="659"/>
      <c r="O307" s="659"/>
      <c r="P307" s="659"/>
    </row>
    <row r="308" spans="2:16" x14ac:dyDescent="0.2">
      <c r="B308" s="55"/>
      <c r="C308" s="55"/>
      <c r="D308" s="659"/>
      <c r="E308" s="659"/>
      <c r="F308" s="659"/>
      <c r="G308" s="659"/>
      <c r="H308" s="659"/>
      <c r="I308" s="659"/>
      <c r="J308" s="659"/>
      <c r="K308" s="659"/>
      <c r="L308" s="659"/>
      <c r="M308" s="659"/>
      <c r="N308" s="659"/>
      <c r="O308" s="659"/>
      <c r="P308" s="659"/>
    </row>
    <row r="309" spans="2:16" x14ac:dyDescent="0.2">
      <c r="B309" s="55"/>
      <c r="C309" s="55"/>
      <c r="D309" s="659"/>
      <c r="E309" s="659"/>
      <c r="F309" s="659"/>
      <c r="G309" s="659"/>
      <c r="H309" s="659"/>
      <c r="I309" s="659"/>
      <c r="J309" s="659"/>
      <c r="K309" s="659"/>
      <c r="L309" s="659"/>
      <c r="M309" s="659"/>
      <c r="N309" s="659"/>
      <c r="O309" s="659"/>
      <c r="P309" s="659"/>
    </row>
    <row r="310" spans="2:16" x14ac:dyDescent="0.2">
      <c r="B310" s="55"/>
      <c r="C310" s="55"/>
      <c r="D310" s="659"/>
      <c r="E310" s="659"/>
      <c r="F310" s="659"/>
      <c r="G310" s="659"/>
      <c r="H310" s="659"/>
      <c r="I310" s="659"/>
      <c r="J310" s="659"/>
      <c r="K310" s="659"/>
      <c r="L310" s="659"/>
      <c r="M310" s="659"/>
      <c r="N310" s="659"/>
      <c r="O310" s="659"/>
      <c r="P310" s="659"/>
    </row>
    <row r="311" spans="2:16" x14ac:dyDescent="0.2">
      <c r="B311" s="55"/>
      <c r="C311" s="55"/>
      <c r="D311" s="659"/>
      <c r="E311" s="659"/>
      <c r="F311" s="659"/>
      <c r="G311" s="659"/>
      <c r="H311" s="659"/>
      <c r="I311" s="659"/>
      <c r="J311" s="659"/>
      <c r="K311" s="659"/>
      <c r="L311" s="659"/>
      <c r="M311" s="659"/>
      <c r="N311" s="659"/>
      <c r="O311" s="659"/>
      <c r="P311" s="659"/>
    </row>
    <row r="312" spans="2:16" x14ac:dyDescent="0.2">
      <c r="B312" s="55"/>
      <c r="C312" s="55"/>
      <c r="D312" s="659"/>
      <c r="E312" s="659"/>
      <c r="F312" s="659"/>
      <c r="G312" s="659"/>
      <c r="H312" s="659"/>
      <c r="I312" s="659"/>
      <c r="J312" s="659"/>
      <c r="K312" s="659"/>
      <c r="L312" s="659"/>
      <c r="M312" s="659"/>
      <c r="N312" s="659"/>
      <c r="O312" s="659"/>
      <c r="P312" s="659"/>
    </row>
    <row r="313" spans="2:16" x14ac:dyDescent="0.2">
      <c r="B313" s="55"/>
      <c r="C313" s="55"/>
      <c r="D313" s="659"/>
      <c r="E313" s="659"/>
      <c r="F313" s="659"/>
      <c r="G313" s="659"/>
      <c r="H313" s="659"/>
      <c r="I313" s="659"/>
      <c r="J313" s="659"/>
      <c r="K313" s="659"/>
      <c r="L313" s="659"/>
      <c r="M313" s="659"/>
      <c r="N313" s="659"/>
      <c r="O313" s="659"/>
      <c r="P313" s="659"/>
    </row>
    <row r="314" spans="2:16" x14ac:dyDescent="0.2">
      <c r="B314" s="55"/>
      <c r="C314" s="55"/>
      <c r="D314" s="659"/>
      <c r="E314" s="659"/>
      <c r="F314" s="659"/>
      <c r="G314" s="659"/>
      <c r="H314" s="659"/>
      <c r="I314" s="659"/>
      <c r="J314" s="659"/>
      <c r="K314" s="659"/>
      <c r="L314" s="659"/>
      <c r="M314" s="659"/>
      <c r="N314" s="659"/>
      <c r="O314" s="659"/>
      <c r="P314" s="659"/>
    </row>
    <row r="315" spans="2:16" x14ac:dyDescent="0.2">
      <c r="B315" s="55"/>
      <c r="C315" s="55"/>
      <c r="D315" s="659"/>
      <c r="E315" s="659"/>
      <c r="F315" s="659"/>
      <c r="G315" s="659"/>
      <c r="H315" s="659"/>
      <c r="I315" s="659"/>
      <c r="J315" s="659"/>
      <c r="K315" s="659"/>
      <c r="L315" s="659"/>
      <c r="M315" s="659"/>
      <c r="N315" s="659"/>
      <c r="O315" s="659"/>
      <c r="P315" s="659"/>
    </row>
    <row r="316" spans="2:16" x14ac:dyDescent="0.2">
      <c r="B316" s="55"/>
      <c r="C316" s="55"/>
      <c r="D316" s="659"/>
      <c r="E316" s="659"/>
      <c r="F316" s="659"/>
      <c r="G316" s="659"/>
      <c r="H316" s="659"/>
      <c r="I316" s="659"/>
      <c r="J316" s="659"/>
      <c r="K316" s="659"/>
      <c r="L316" s="659"/>
      <c r="M316" s="659"/>
      <c r="N316" s="659"/>
      <c r="O316" s="659"/>
      <c r="P316" s="659"/>
    </row>
    <row r="317" spans="2:16" x14ac:dyDescent="0.2">
      <c r="B317" s="55"/>
      <c r="C317" s="55"/>
      <c r="D317" s="659"/>
      <c r="E317" s="659"/>
      <c r="F317" s="659"/>
      <c r="G317" s="659"/>
      <c r="H317" s="659"/>
      <c r="I317" s="659"/>
      <c r="J317" s="659"/>
      <c r="K317" s="659"/>
      <c r="L317" s="659"/>
      <c r="M317" s="659"/>
      <c r="N317" s="659"/>
      <c r="O317" s="659"/>
      <c r="P317" s="659"/>
    </row>
    <row r="318" spans="2:16" x14ac:dyDescent="0.2">
      <c r="B318" s="55"/>
      <c r="C318" s="55"/>
      <c r="D318" s="659"/>
      <c r="E318" s="659"/>
      <c r="F318" s="659"/>
      <c r="G318" s="659"/>
      <c r="H318" s="659"/>
      <c r="I318" s="659"/>
      <c r="J318" s="659"/>
      <c r="K318" s="659"/>
      <c r="L318" s="659"/>
      <c r="M318" s="659"/>
      <c r="N318" s="659"/>
      <c r="O318" s="659"/>
      <c r="P318" s="659"/>
    </row>
    <row r="319" spans="2:16" x14ac:dyDescent="0.2">
      <c r="B319" s="55"/>
      <c r="C319" s="55"/>
      <c r="D319" s="659"/>
      <c r="E319" s="659"/>
      <c r="F319" s="659"/>
      <c r="G319" s="659"/>
      <c r="H319" s="659"/>
      <c r="I319" s="659"/>
      <c r="J319" s="659"/>
      <c r="K319" s="659"/>
      <c r="L319" s="659"/>
      <c r="M319" s="659"/>
      <c r="N319" s="659"/>
      <c r="O319" s="659"/>
      <c r="P319" s="659"/>
    </row>
    <row r="320" spans="2:16" x14ac:dyDescent="0.2">
      <c r="B320" s="55"/>
      <c r="C320" s="55"/>
      <c r="D320" s="659"/>
      <c r="E320" s="659"/>
      <c r="F320" s="659"/>
      <c r="G320" s="659"/>
      <c r="H320" s="659"/>
      <c r="I320" s="659"/>
      <c r="J320" s="659"/>
      <c r="K320" s="659"/>
      <c r="L320" s="659"/>
      <c r="M320" s="659"/>
      <c r="N320" s="659"/>
      <c r="O320" s="659"/>
      <c r="P320" s="659"/>
    </row>
    <row r="321" spans="2:16" x14ac:dyDescent="0.2">
      <c r="B321" s="55"/>
      <c r="C321" s="55"/>
      <c r="D321" s="659"/>
      <c r="E321" s="659"/>
      <c r="F321" s="659"/>
      <c r="G321" s="659"/>
      <c r="H321" s="659"/>
      <c r="I321" s="659"/>
      <c r="J321" s="659"/>
      <c r="K321" s="659"/>
      <c r="L321" s="659"/>
      <c r="M321" s="659"/>
      <c r="N321" s="659"/>
      <c r="O321" s="659"/>
      <c r="P321" s="659"/>
    </row>
    <row r="322" spans="2:16" x14ac:dyDescent="0.2">
      <c r="B322" s="55"/>
      <c r="C322" s="55"/>
      <c r="D322" s="659"/>
      <c r="E322" s="659"/>
      <c r="F322" s="659"/>
      <c r="G322" s="659"/>
      <c r="H322" s="659"/>
      <c r="I322" s="659"/>
      <c r="J322" s="659"/>
      <c r="K322" s="659"/>
      <c r="L322" s="659"/>
      <c r="M322" s="659"/>
      <c r="N322" s="659"/>
      <c r="O322" s="659"/>
      <c r="P322" s="659"/>
    </row>
    <row r="323" spans="2:16" x14ac:dyDescent="0.2">
      <c r="B323" s="55"/>
      <c r="C323" s="55"/>
      <c r="D323" s="659"/>
      <c r="E323" s="659"/>
      <c r="F323" s="659"/>
      <c r="G323" s="659"/>
      <c r="H323" s="659"/>
      <c r="I323" s="659"/>
      <c r="J323" s="659"/>
      <c r="K323" s="659"/>
      <c r="L323" s="659"/>
      <c r="M323" s="659"/>
      <c r="N323" s="659"/>
      <c r="O323" s="659"/>
      <c r="P323" s="659"/>
    </row>
    <row r="324" spans="2:16" x14ac:dyDescent="0.2">
      <c r="B324" s="55"/>
      <c r="C324" s="55"/>
      <c r="D324" s="659"/>
      <c r="E324" s="659"/>
      <c r="F324" s="659"/>
      <c r="G324" s="659"/>
      <c r="H324" s="659"/>
      <c r="I324" s="659"/>
      <c r="J324" s="659"/>
      <c r="K324" s="659"/>
      <c r="L324" s="659"/>
      <c r="M324" s="659"/>
      <c r="N324" s="659"/>
      <c r="O324" s="659"/>
      <c r="P324" s="659"/>
    </row>
    <row r="325" spans="2:16" x14ac:dyDescent="0.2">
      <c r="B325" s="55"/>
      <c r="C325" s="55"/>
      <c r="D325" s="659"/>
      <c r="E325" s="659"/>
      <c r="F325" s="659"/>
      <c r="G325" s="659"/>
      <c r="H325" s="659"/>
      <c r="I325" s="659"/>
      <c r="J325" s="659"/>
      <c r="K325" s="659"/>
      <c r="L325" s="659"/>
      <c r="M325" s="659"/>
      <c r="N325" s="659"/>
      <c r="O325" s="659"/>
      <c r="P325" s="659"/>
    </row>
    <row r="326" spans="2:16" x14ac:dyDescent="0.2">
      <c r="B326" s="55"/>
      <c r="C326" s="55"/>
      <c r="D326" s="659"/>
      <c r="E326" s="659"/>
      <c r="F326" s="659"/>
      <c r="G326" s="659"/>
      <c r="H326" s="659"/>
      <c r="I326" s="659"/>
      <c r="J326" s="659"/>
      <c r="K326" s="659"/>
      <c r="L326" s="659"/>
      <c r="M326" s="659"/>
      <c r="N326" s="659"/>
      <c r="O326" s="659"/>
      <c r="P326" s="659"/>
    </row>
    <row r="327" spans="2:16" x14ac:dyDescent="0.2">
      <c r="B327" s="55"/>
      <c r="C327" s="55"/>
      <c r="D327" s="659"/>
      <c r="E327" s="659"/>
      <c r="F327" s="659"/>
      <c r="G327" s="659"/>
      <c r="H327" s="659"/>
      <c r="I327" s="659"/>
      <c r="J327" s="659"/>
      <c r="K327" s="659"/>
      <c r="L327" s="659"/>
      <c r="M327" s="659"/>
      <c r="N327" s="659"/>
      <c r="O327" s="659"/>
      <c r="P327" s="659"/>
    </row>
    <row r="328" spans="2:16" x14ac:dyDescent="0.2">
      <c r="B328" s="55"/>
      <c r="C328" s="55"/>
      <c r="D328" s="659"/>
      <c r="E328" s="659"/>
      <c r="F328" s="659"/>
      <c r="G328" s="659"/>
      <c r="H328" s="659"/>
      <c r="I328" s="659"/>
      <c r="J328" s="659"/>
      <c r="K328" s="659"/>
      <c r="L328" s="659"/>
      <c r="M328" s="659"/>
      <c r="N328" s="659"/>
      <c r="O328" s="659"/>
      <c r="P328" s="659"/>
    </row>
    <row r="329" spans="2:16" x14ac:dyDescent="0.2">
      <c r="B329" s="55"/>
      <c r="C329" s="55"/>
      <c r="D329" s="659"/>
      <c r="E329" s="659"/>
      <c r="F329" s="659"/>
      <c r="G329" s="659"/>
      <c r="H329" s="659"/>
      <c r="I329" s="659"/>
      <c r="J329" s="659"/>
      <c r="K329" s="659"/>
      <c r="L329" s="659"/>
      <c r="M329" s="659"/>
      <c r="N329" s="659"/>
      <c r="O329" s="659"/>
      <c r="P329" s="659"/>
    </row>
    <row r="330" spans="2:16" x14ac:dyDescent="0.2">
      <c r="B330" s="55"/>
      <c r="C330" s="55"/>
      <c r="D330" s="659"/>
      <c r="E330" s="659"/>
      <c r="F330" s="659"/>
      <c r="G330" s="659"/>
      <c r="H330" s="659"/>
      <c r="I330" s="659"/>
      <c r="J330" s="659"/>
      <c r="K330" s="659"/>
      <c r="L330" s="659"/>
      <c r="M330" s="659"/>
      <c r="N330" s="659"/>
      <c r="O330" s="659"/>
      <c r="P330" s="659"/>
    </row>
    <row r="331" spans="2:16" x14ac:dyDescent="0.2">
      <c r="B331" s="55"/>
      <c r="C331" s="55"/>
      <c r="D331" s="659"/>
      <c r="E331" s="659"/>
      <c r="F331" s="659"/>
      <c r="G331" s="659"/>
      <c r="H331" s="659"/>
      <c r="I331" s="659"/>
      <c r="J331" s="659"/>
      <c r="K331" s="659"/>
      <c r="L331" s="659"/>
      <c r="M331" s="659"/>
      <c r="N331" s="659"/>
      <c r="O331" s="659"/>
      <c r="P331" s="659"/>
    </row>
    <row r="332" spans="2:16" x14ac:dyDescent="0.2">
      <c r="B332" s="55"/>
      <c r="C332" s="55"/>
      <c r="D332" s="659"/>
      <c r="E332" s="659"/>
      <c r="F332" s="659"/>
      <c r="G332" s="659"/>
      <c r="H332" s="659"/>
      <c r="I332" s="659"/>
      <c r="J332" s="659"/>
      <c r="K332" s="659"/>
      <c r="L332" s="659"/>
      <c r="M332" s="659"/>
      <c r="N332" s="659"/>
      <c r="O332" s="659"/>
      <c r="P332" s="659"/>
    </row>
    <row r="333" spans="2:16" x14ac:dyDescent="0.2">
      <c r="B333" s="55"/>
      <c r="C333" s="55"/>
      <c r="D333" s="659"/>
      <c r="E333" s="659"/>
      <c r="F333" s="659"/>
      <c r="G333" s="659"/>
      <c r="H333" s="659"/>
      <c r="I333" s="659"/>
      <c r="J333" s="659"/>
      <c r="K333" s="659"/>
      <c r="L333" s="659"/>
      <c r="M333" s="659"/>
      <c r="N333" s="659"/>
      <c r="O333" s="659"/>
      <c r="P333" s="659"/>
    </row>
    <row r="334" spans="2:16" x14ac:dyDescent="0.2">
      <c r="B334" s="55"/>
      <c r="C334" s="55"/>
      <c r="D334" s="659"/>
      <c r="E334" s="659"/>
      <c r="F334" s="659"/>
      <c r="G334" s="659"/>
      <c r="H334" s="659"/>
      <c r="I334" s="659"/>
      <c r="J334" s="659"/>
      <c r="K334" s="659"/>
      <c r="L334" s="659"/>
      <c r="M334" s="659"/>
      <c r="N334" s="659"/>
      <c r="O334" s="659"/>
      <c r="P334" s="659"/>
    </row>
    <row r="335" spans="2:16" x14ac:dyDescent="0.2">
      <c r="B335" s="55"/>
      <c r="C335" s="55"/>
      <c r="D335" s="659"/>
      <c r="E335" s="659"/>
      <c r="F335" s="659"/>
      <c r="G335" s="659"/>
      <c r="H335" s="659"/>
      <c r="I335" s="659"/>
      <c r="J335" s="659"/>
      <c r="K335" s="659"/>
      <c r="L335" s="659"/>
      <c r="M335" s="659"/>
      <c r="N335" s="659"/>
      <c r="O335" s="659"/>
      <c r="P335" s="659"/>
    </row>
    <row r="336" spans="2:16" x14ac:dyDescent="0.2">
      <c r="B336" s="55"/>
      <c r="C336" s="55"/>
      <c r="D336" s="659"/>
      <c r="E336" s="659"/>
      <c r="F336" s="659"/>
      <c r="G336" s="659"/>
      <c r="H336" s="659"/>
      <c r="I336" s="659"/>
      <c r="J336" s="659"/>
      <c r="K336" s="659"/>
      <c r="L336" s="659"/>
      <c r="M336" s="659"/>
      <c r="N336" s="659"/>
      <c r="O336" s="659"/>
      <c r="P336" s="659"/>
    </row>
    <row r="337" spans="2:16" x14ac:dyDescent="0.2">
      <c r="B337" s="55"/>
      <c r="C337" s="55"/>
      <c r="D337" s="659"/>
      <c r="E337" s="659"/>
      <c r="F337" s="659"/>
      <c r="G337" s="659"/>
      <c r="H337" s="659"/>
      <c r="I337" s="659"/>
      <c r="J337" s="659"/>
      <c r="K337" s="659"/>
      <c r="L337" s="659"/>
      <c r="M337" s="659"/>
      <c r="N337" s="659"/>
      <c r="O337" s="659"/>
      <c r="P337" s="659"/>
    </row>
    <row r="338" spans="2:16" x14ac:dyDescent="0.2">
      <c r="B338" s="55"/>
      <c r="C338" s="55"/>
      <c r="D338" s="659"/>
      <c r="E338" s="659"/>
      <c r="F338" s="659"/>
      <c r="G338" s="659"/>
      <c r="H338" s="659"/>
      <c r="I338" s="659"/>
      <c r="J338" s="659"/>
      <c r="K338" s="659"/>
      <c r="L338" s="659"/>
      <c r="M338" s="659"/>
      <c r="N338" s="659"/>
      <c r="O338" s="659"/>
      <c r="P338" s="659"/>
    </row>
    <row r="339" spans="2:16" x14ac:dyDescent="0.2">
      <c r="B339" s="55"/>
      <c r="C339" s="55"/>
      <c r="D339" s="659"/>
      <c r="E339" s="659"/>
      <c r="F339" s="659"/>
      <c r="G339" s="659"/>
      <c r="H339" s="659"/>
      <c r="I339" s="659"/>
      <c r="J339" s="659"/>
      <c r="K339" s="659"/>
      <c r="L339" s="659"/>
      <c r="M339" s="659"/>
      <c r="N339" s="659"/>
      <c r="O339" s="659"/>
      <c r="P339" s="659"/>
    </row>
    <row r="340" spans="2:16" x14ac:dyDescent="0.2">
      <c r="B340" s="55"/>
      <c r="C340" s="55"/>
      <c r="D340" s="659"/>
      <c r="E340" s="659"/>
      <c r="F340" s="659"/>
      <c r="G340" s="659"/>
      <c r="H340" s="659"/>
      <c r="I340" s="659"/>
      <c r="J340" s="659"/>
      <c r="K340" s="659"/>
      <c r="L340" s="659"/>
      <c r="M340" s="659"/>
      <c r="N340" s="659"/>
      <c r="O340" s="659"/>
      <c r="P340" s="659"/>
    </row>
    <row r="341" spans="2:16" x14ac:dyDescent="0.2">
      <c r="B341" s="55"/>
      <c r="C341" s="55"/>
      <c r="D341" s="659"/>
      <c r="E341" s="659"/>
      <c r="F341" s="659"/>
      <c r="G341" s="659"/>
      <c r="H341" s="659"/>
      <c r="I341" s="659"/>
      <c r="J341" s="659"/>
      <c r="K341" s="659"/>
      <c r="L341" s="659"/>
      <c r="M341" s="659"/>
      <c r="N341" s="659"/>
      <c r="O341" s="659"/>
      <c r="P341" s="659"/>
    </row>
    <row r="342" spans="2:16" x14ac:dyDescent="0.2">
      <c r="B342" s="55"/>
      <c r="C342" s="55"/>
      <c r="D342" s="659"/>
      <c r="E342" s="659"/>
      <c r="F342" s="659"/>
      <c r="G342" s="659"/>
      <c r="H342" s="659"/>
      <c r="I342" s="659"/>
      <c r="J342" s="659"/>
      <c r="K342" s="659"/>
      <c r="L342" s="659"/>
      <c r="M342" s="659"/>
      <c r="N342" s="659"/>
      <c r="O342" s="659"/>
      <c r="P342" s="659"/>
    </row>
    <row r="343" spans="2:16" x14ac:dyDescent="0.2">
      <c r="B343" s="55"/>
      <c r="C343" s="55"/>
      <c r="D343" s="659"/>
      <c r="E343" s="659"/>
      <c r="F343" s="659"/>
      <c r="G343" s="659"/>
      <c r="H343" s="659"/>
      <c r="I343" s="659"/>
      <c r="J343" s="659"/>
      <c r="K343" s="659"/>
      <c r="L343" s="659"/>
      <c r="M343" s="659"/>
      <c r="N343" s="659"/>
      <c r="O343" s="659"/>
      <c r="P343" s="659"/>
    </row>
    <row r="344" spans="2:16" x14ac:dyDescent="0.2">
      <c r="B344" s="55"/>
      <c r="C344" s="55"/>
      <c r="D344" s="659"/>
      <c r="E344" s="659"/>
      <c r="F344" s="659"/>
      <c r="G344" s="659"/>
      <c r="H344" s="659"/>
      <c r="I344" s="659"/>
      <c r="J344" s="659"/>
      <c r="K344" s="659"/>
      <c r="L344" s="659"/>
      <c r="M344" s="659"/>
      <c r="N344" s="659"/>
      <c r="O344" s="659"/>
      <c r="P344" s="659"/>
    </row>
    <row r="345" spans="2:16" x14ac:dyDescent="0.2">
      <c r="B345" s="55"/>
      <c r="C345" s="55"/>
      <c r="D345" s="659"/>
      <c r="E345" s="659"/>
      <c r="F345" s="659"/>
      <c r="G345" s="659"/>
      <c r="H345" s="659"/>
      <c r="I345" s="659"/>
      <c r="J345" s="659"/>
      <c r="K345" s="659"/>
      <c r="L345" s="659"/>
      <c r="M345" s="659"/>
      <c r="N345" s="659"/>
      <c r="O345" s="659"/>
      <c r="P345" s="659"/>
    </row>
    <row r="346" spans="2:16" x14ac:dyDescent="0.2">
      <c r="B346" s="55"/>
      <c r="C346" s="55"/>
      <c r="D346" s="659"/>
      <c r="E346" s="659"/>
      <c r="F346" s="659"/>
      <c r="G346" s="659"/>
      <c r="H346" s="659"/>
      <c r="I346" s="659"/>
      <c r="J346" s="659"/>
      <c r="K346" s="659"/>
      <c r="L346" s="659"/>
      <c r="M346" s="659"/>
      <c r="N346" s="659"/>
      <c r="O346" s="659"/>
      <c r="P346" s="659"/>
    </row>
    <row r="347" spans="2:16" x14ac:dyDescent="0.2">
      <c r="B347" s="55"/>
      <c r="C347" s="55"/>
      <c r="D347" s="659"/>
      <c r="E347" s="659"/>
      <c r="F347" s="659"/>
      <c r="G347" s="659"/>
      <c r="H347" s="659"/>
      <c r="I347" s="659"/>
      <c r="J347" s="659"/>
      <c r="K347" s="659"/>
      <c r="L347" s="659"/>
      <c r="M347" s="659"/>
      <c r="N347" s="659"/>
      <c r="O347" s="659"/>
      <c r="P347" s="659"/>
    </row>
    <row r="348" spans="2:16" x14ac:dyDescent="0.2">
      <c r="B348" s="55"/>
      <c r="C348" s="55"/>
      <c r="D348" s="659"/>
      <c r="E348" s="659"/>
      <c r="F348" s="659"/>
      <c r="G348" s="659"/>
      <c r="H348" s="659"/>
      <c r="I348" s="659"/>
      <c r="J348" s="659"/>
      <c r="K348" s="659"/>
      <c r="L348" s="659"/>
      <c r="M348" s="659"/>
      <c r="N348" s="659"/>
      <c r="O348" s="659"/>
      <c r="P348" s="659"/>
    </row>
    <row r="349" spans="2:16" x14ac:dyDescent="0.2">
      <c r="B349" s="55"/>
      <c r="C349" s="55"/>
      <c r="D349" s="659"/>
      <c r="E349" s="659"/>
      <c r="F349" s="659"/>
      <c r="G349" s="659"/>
      <c r="H349" s="659"/>
      <c r="I349" s="659"/>
      <c r="J349" s="659"/>
      <c r="K349" s="659"/>
      <c r="L349" s="659"/>
      <c r="M349" s="659"/>
      <c r="N349" s="659"/>
      <c r="O349" s="659"/>
      <c r="P349" s="659"/>
    </row>
    <row r="350" spans="2:16" x14ac:dyDescent="0.2">
      <c r="B350" s="55"/>
      <c r="C350" s="55"/>
      <c r="D350" s="659"/>
      <c r="E350" s="659"/>
      <c r="F350" s="659"/>
      <c r="G350" s="659"/>
      <c r="H350" s="659"/>
      <c r="I350" s="659"/>
      <c r="J350" s="659"/>
      <c r="K350" s="659"/>
      <c r="L350" s="659"/>
      <c r="M350" s="659"/>
      <c r="N350" s="659"/>
      <c r="O350" s="659"/>
      <c r="P350" s="659"/>
    </row>
    <row r="351" spans="2:16" x14ac:dyDescent="0.2">
      <c r="B351" s="55"/>
      <c r="C351" s="55"/>
      <c r="D351" s="659"/>
      <c r="E351" s="659"/>
      <c r="F351" s="659"/>
      <c r="G351" s="659"/>
      <c r="H351" s="659"/>
      <c r="I351" s="659"/>
      <c r="J351" s="659"/>
      <c r="K351" s="659"/>
      <c r="L351" s="659"/>
      <c r="M351" s="659"/>
      <c r="N351" s="659"/>
      <c r="O351" s="659"/>
      <c r="P351" s="659"/>
    </row>
    <row r="352" spans="2:16" x14ac:dyDescent="0.2">
      <c r="B352" s="55"/>
      <c r="C352" s="55"/>
      <c r="D352" s="659"/>
      <c r="E352" s="659"/>
      <c r="F352" s="659"/>
      <c r="G352" s="659"/>
      <c r="H352" s="659"/>
      <c r="I352" s="659"/>
      <c r="J352" s="659"/>
      <c r="K352" s="659"/>
      <c r="L352" s="659"/>
      <c r="M352" s="659"/>
      <c r="N352" s="659"/>
      <c r="O352" s="659"/>
      <c r="P352" s="659"/>
    </row>
    <row r="353" spans="2:16" x14ac:dyDescent="0.2">
      <c r="B353" s="55"/>
      <c r="C353" s="55"/>
      <c r="D353" s="659"/>
      <c r="E353" s="659"/>
      <c r="F353" s="659"/>
      <c r="G353" s="659"/>
      <c r="H353" s="659"/>
      <c r="I353" s="659"/>
      <c r="J353" s="659"/>
      <c r="K353" s="659"/>
      <c r="L353" s="659"/>
      <c r="M353" s="659"/>
      <c r="N353" s="659"/>
      <c r="O353" s="659"/>
      <c r="P353" s="659"/>
    </row>
    <row r="354" spans="2:16" x14ac:dyDescent="0.2">
      <c r="B354" s="55"/>
      <c r="C354" s="55"/>
      <c r="D354" s="659"/>
      <c r="E354" s="659"/>
      <c r="F354" s="659"/>
      <c r="G354" s="659"/>
      <c r="H354" s="659"/>
      <c r="I354" s="659"/>
      <c r="J354" s="659"/>
      <c r="K354" s="659"/>
      <c r="L354" s="659"/>
      <c r="M354" s="659"/>
      <c r="N354" s="659"/>
      <c r="O354" s="659"/>
      <c r="P354" s="659"/>
    </row>
    <row r="355" spans="2:16" x14ac:dyDescent="0.2">
      <c r="B355" s="55"/>
      <c r="C355" s="55"/>
      <c r="D355" s="659"/>
      <c r="E355" s="659"/>
      <c r="F355" s="659"/>
      <c r="G355" s="659"/>
      <c r="H355" s="659"/>
      <c r="I355" s="659"/>
      <c r="J355" s="659"/>
      <c r="K355" s="659"/>
      <c r="L355" s="659"/>
      <c r="M355" s="659"/>
      <c r="N355" s="659"/>
      <c r="O355" s="659"/>
      <c r="P355" s="659"/>
    </row>
    <row r="356" spans="2:16" x14ac:dyDescent="0.2">
      <c r="B356" s="55"/>
      <c r="C356" s="55"/>
      <c r="D356" s="659"/>
      <c r="E356" s="659"/>
      <c r="F356" s="659"/>
      <c r="G356" s="659"/>
      <c r="H356" s="659"/>
      <c r="I356" s="659"/>
      <c r="J356" s="659"/>
      <c r="K356" s="659"/>
      <c r="L356" s="659"/>
      <c r="M356" s="659"/>
      <c r="N356" s="659"/>
      <c r="O356" s="659"/>
      <c r="P356" s="659"/>
    </row>
    <row r="357" spans="2:16" x14ac:dyDescent="0.2">
      <c r="B357" s="55"/>
      <c r="C357" s="55"/>
      <c r="D357" s="659"/>
      <c r="E357" s="659"/>
      <c r="F357" s="659"/>
      <c r="G357" s="659"/>
      <c r="H357" s="659"/>
      <c r="I357" s="659"/>
      <c r="J357" s="659"/>
      <c r="K357" s="659"/>
      <c r="L357" s="659"/>
      <c r="M357" s="659"/>
      <c r="N357" s="659"/>
      <c r="O357" s="659"/>
      <c r="P357" s="659"/>
    </row>
    <row r="358" spans="2:16" x14ac:dyDescent="0.2">
      <c r="B358" s="55"/>
      <c r="C358" s="55"/>
      <c r="D358" s="659"/>
      <c r="E358" s="659"/>
      <c r="F358" s="659"/>
      <c r="G358" s="659"/>
      <c r="H358" s="659"/>
      <c r="I358" s="659"/>
      <c r="J358" s="659"/>
      <c r="K358" s="659"/>
      <c r="L358" s="659"/>
      <c r="M358" s="659"/>
      <c r="N358" s="659"/>
      <c r="O358" s="659"/>
      <c r="P358" s="659"/>
    </row>
    <row r="359" spans="2:16" x14ac:dyDescent="0.2">
      <c r="B359" s="55"/>
      <c r="C359" s="55"/>
      <c r="D359" s="659"/>
      <c r="E359" s="659"/>
      <c r="F359" s="659"/>
      <c r="G359" s="659"/>
      <c r="H359" s="659"/>
      <c r="I359" s="659"/>
      <c r="J359" s="659"/>
      <c r="K359" s="659"/>
      <c r="L359" s="659"/>
      <c r="M359" s="659"/>
      <c r="N359" s="659"/>
      <c r="O359" s="659"/>
      <c r="P359" s="659"/>
    </row>
    <row r="360" spans="2:16" x14ac:dyDescent="0.2">
      <c r="B360" s="55"/>
      <c r="C360" s="55"/>
      <c r="D360" s="659"/>
      <c r="E360" s="659"/>
      <c r="F360" s="659"/>
      <c r="G360" s="659"/>
      <c r="H360" s="659"/>
      <c r="I360" s="659"/>
      <c r="J360" s="659"/>
      <c r="K360" s="659"/>
      <c r="L360" s="659"/>
      <c r="M360" s="659"/>
      <c r="N360" s="659"/>
      <c r="O360" s="659"/>
      <c r="P360" s="659"/>
    </row>
    <row r="361" spans="2:16" x14ac:dyDescent="0.2">
      <c r="B361" s="55"/>
      <c r="C361" s="55"/>
      <c r="D361" s="659"/>
      <c r="E361" s="659"/>
      <c r="F361" s="659"/>
      <c r="G361" s="659"/>
      <c r="H361" s="659"/>
      <c r="I361" s="659"/>
      <c r="J361" s="659"/>
      <c r="K361" s="659"/>
      <c r="L361" s="659"/>
      <c r="M361" s="659"/>
      <c r="N361" s="659"/>
      <c r="O361" s="659"/>
      <c r="P361" s="659"/>
    </row>
    <row r="362" spans="2:16" x14ac:dyDescent="0.2">
      <c r="B362" s="55"/>
      <c r="C362" s="55"/>
      <c r="D362" s="659"/>
      <c r="E362" s="659"/>
      <c r="F362" s="659"/>
      <c r="G362" s="659"/>
      <c r="H362" s="659"/>
      <c r="I362" s="659"/>
      <c r="J362" s="659"/>
      <c r="K362" s="659"/>
      <c r="L362" s="659"/>
      <c r="M362" s="659"/>
      <c r="N362" s="659"/>
      <c r="O362" s="659"/>
      <c r="P362" s="659"/>
    </row>
    <row r="363" spans="2:16" x14ac:dyDescent="0.2">
      <c r="B363" s="55"/>
      <c r="C363" s="55"/>
      <c r="D363" s="659"/>
      <c r="E363" s="659"/>
      <c r="F363" s="659"/>
      <c r="G363" s="659"/>
      <c r="H363" s="659"/>
      <c r="I363" s="659"/>
      <c r="J363" s="659"/>
      <c r="K363" s="659"/>
      <c r="L363" s="659"/>
      <c r="M363" s="659"/>
      <c r="N363" s="659"/>
      <c r="O363" s="659"/>
      <c r="P363" s="659"/>
    </row>
    <row r="364" spans="2:16" x14ac:dyDescent="0.2">
      <c r="B364" s="55"/>
      <c r="C364" s="55"/>
      <c r="D364" s="659"/>
      <c r="E364" s="659"/>
      <c r="F364" s="659"/>
      <c r="G364" s="659"/>
      <c r="H364" s="659"/>
      <c r="I364" s="659"/>
      <c r="J364" s="659"/>
      <c r="K364" s="659"/>
      <c r="L364" s="659"/>
      <c r="M364" s="659"/>
      <c r="N364" s="659"/>
      <c r="O364" s="659"/>
      <c r="P364" s="659"/>
    </row>
    <row r="365" spans="2:16" x14ac:dyDescent="0.2">
      <c r="B365" s="55"/>
      <c r="C365" s="55"/>
      <c r="D365" s="659"/>
      <c r="E365" s="659"/>
      <c r="F365" s="659"/>
      <c r="G365" s="659"/>
      <c r="H365" s="659"/>
      <c r="I365" s="659"/>
      <c r="J365" s="659"/>
      <c r="K365" s="659"/>
      <c r="L365" s="659"/>
      <c r="M365" s="659"/>
      <c r="N365" s="659"/>
      <c r="O365" s="659"/>
      <c r="P365" s="659"/>
    </row>
    <row r="366" spans="2:16" x14ac:dyDescent="0.2">
      <c r="B366" s="55"/>
      <c r="C366" s="55"/>
      <c r="D366" s="659"/>
      <c r="E366" s="659"/>
      <c r="F366" s="659"/>
      <c r="G366" s="659"/>
      <c r="H366" s="659"/>
      <c r="I366" s="659"/>
      <c r="J366" s="659"/>
      <c r="K366" s="659"/>
      <c r="L366" s="659"/>
      <c r="M366" s="659"/>
      <c r="N366" s="659"/>
      <c r="O366" s="659"/>
      <c r="P366" s="659"/>
    </row>
    <row r="367" spans="2:16" x14ac:dyDescent="0.2">
      <c r="B367" s="55"/>
      <c r="C367" s="55"/>
      <c r="D367" s="659"/>
      <c r="E367" s="659"/>
      <c r="F367" s="659"/>
      <c r="G367" s="659"/>
      <c r="H367" s="659"/>
      <c r="I367" s="659"/>
      <c r="J367" s="659"/>
      <c r="K367" s="659"/>
      <c r="L367" s="659"/>
      <c r="M367" s="659"/>
      <c r="N367" s="659"/>
      <c r="O367" s="659"/>
      <c r="P367" s="659"/>
    </row>
    <row r="368" spans="2:16" x14ac:dyDescent="0.2">
      <c r="B368" s="55"/>
      <c r="C368" s="55"/>
      <c r="D368" s="659"/>
      <c r="E368" s="659"/>
      <c r="F368" s="659"/>
      <c r="G368" s="659"/>
      <c r="H368" s="659"/>
      <c r="I368" s="659"/>
      <c r="J368" s="659"/>
      <c r="K368" s="659"/>
      <c r="L368" s="659"/>
      <c r="M368" s="659"/>
      <c r="N368" s="659"/>
      <c r="O368" s="659"/>
      <c r="P368" s="659"/>
    </row>
    <row r="369" spans="2:16" x14ac:dyDescent="0.2">
      <c r="B369" s="55"/>
      <c r="C369" s="55"/>
      <c r="D369" s="659"/>
      <c r="E369" s="659"/>
      <c r="F369" s="659"/>
      <c r="G369" s="659"/>
      <c r="H369" s="659"/>
      <c r="I369" s="659"/>
      <c r="J369" s="659"/>
      <c r="K369" s="659"/>
      <c r="L369" s="659"/>
      <c r="M369" s="659"/>
      <c r="N369" s="659"/>
      <c r="O369" s="659"/>
      <c r="P369" s="659"/>
    </row>
    <row r="370" spans="2:16" x14ac:dyDescent="0.2">
      <c r="B370" s="55"/>
      <c r="C370" s="55"/>
      <c r="D370" s="659"/>
      <c r="E370" s="659"/>
      <c r="F370" s="659"/>
      <c r="G370" s="659"/>
      <c r="H370" s="659"/>
      <c r="I370" s="659"/>
      <c r="J370" s="659"/>
      <c r="K370" s="659"/>
      <c r="L370" s="659"/>
      <c r="M370" s="659"/>
      <c r="N370" s="659"/>
      <c r="O370" s="659"/>
      <c r="P370" s="659"/>
    </row>
    <row r="371" spans="2:16" x14ac:dyDescent="0.2">
      <c r="B371" s="55"/>
      <c r="C371" s="55"/>
      <c r="D371" s="659"/>
      <c r="E371" s="659"/>
      <c r="F371" s="659"/>
      <c r="G371" s="659"/>
      <c r="H371" s="659"/>
      <c r="I371" s="659"/>
      <c r="J371" s="659"/>
      <c r="K371" s="659"/>
      <c r="L371" s="659"/>
      <c r="M371" s="659"/>
      <c r="N371" s="659"/>
      <c r="O371" s="659"/>
      <c r="P371" s="659"/>
    </row>
    <row r="372" spans="2:16" x14ac:dyDescent="0.2">
      <c r="B372" s="55"/>
      <c r="C372" s="55"/>
      <c r="D372" s="659"/>
      <c r="E372" s="659"/>
      <c r="F372" s="659"/>
      <c r="G372" s="659"/>
      <c r="H372" s="659"/>
      <c r="I372" s="659"/>
      <c r="J372" s="659"/>
      <c r="K372" s="659"/>
      <c r="L372" s="659"/>
      <c r="M372" s="659"/>
      <c r="N372" s="659"/>
      <c r="O372" s="659"/>
      <c r="P372" s="659"/>
    </row>
    <row r="373" spans="2:16" x14ac:dyDescent="0.2">
      <c r="B373" s="55"/>
      <c r="C373" s="55"/>
      <c r="D373" s="659"/>
      <c r="E373" s="659"/>
      <c r="F373" s="659"/>
      <c r="G373" s="659"/>
      <c r="H373" s="659"/>
      <c r="I373" s="659"/>
      <c r="J373" s="659"/>
      <c r="K373" s="659"/>
      <c r="L373" s="659"/>
      <c r="M373" s="659"/>
      <c r="N373" s="659"/>
      <c r="O373" s="659"/>
      <c r="P373" s="659"/>
    </row>
    <row r="374" spans="2:16" x14ac:dyDescent="0.2">
      <c r="B374" s="55"/>
      <c r="C374" s="55"/>
      <c r="D374" s="659"/>
      <c r="E374" s="659"/>
      <c r="F374" s="659"/>
      <c r="G374" s="659"/>
      <c r="H374" s="659"/>
      <c r="I374" s="659"/>
      <c r="J374" s="659"/>
      <c r="K374" s="659"/>
      <c r="L374" s="659"/>
      <c r="M374" s="659"/>
      <c r="N374" s="659"/>
      <c r="O374" s="659"/>
      <c r="P374" s="659"/>
    </row>
    <row r="375" spans="2:16" x14ac:dyDescent="0.2">
      <c r="B375" s="55"/>
      <c r="C375" s="55"/>
      <c r="D375" s="659"/>
      <c r="E375" s="659"/>
      <c r="F375" s="659"/>
      <c r="G375" s="659"/>
      <c r="H375" s="659"/>
      <c r="I375" s="659"/>
      <c r="J375" s="659"/>
      <c r="K375" s="659"/>
      <c r="L375" s="659"/>
      <c r="M375" s="659"/>
      <c r="N375" s="659"/>
      <c r="O375" s="659"/>
      <c r="P375" s="659"/>
    </row>
    <row r="376" spans="2:16" x14ac:dyDescent="0.2">
      <c r="B376" s="55"/>
      <c r="C376" s="55"/>
      <c r="D376" s="659"/>
      <c r="E376" s="659"/>
      <c r="F376" s="659"/>
      <c r="G376" s="659"/>
      <c r="H376" s="659"/>
      <c r="I376" s="659"/>
      <c r="J376" s="659"/>
      <c r="K376" s="659"/>
      <c r="L376" s="659"/>
      <c r="M376" s="659"/>
      <c r="N376" s="659"/>
      <c r="O376" s="659"/>
      <c r="P376" s="659"/>
    </row>
    <row r="377" spans="2:16" x14ac:dyDescent="0.2">
      <c r="B377" s="55"/>
      <c r="C377" s="55"/>
      <c r="D377" s="659"/>
      <c r="E377" s="659"/>
      <c r="F377" s="659"/>
      <c r="G377" s="659"/>
      <c r="H377" s="659"/>
      <c r="I377" s="659"/>
      <c r="J377" s="659"/>
      <c r="K377" s="659"/>
      <c r="L377" s="659"/>
      <c r="M377" s="659"/>
      <c r="N377" s="659"/>
      <c r="O377" s="659"/>
      <c r="P377" s="659"/>
    </row>
    <row r="378" spans="2:16" x14ac:dyDescent="0.2">
      <c r="B378" s="55"/>
      <c r="C378" s="55"/>
      <c r="D378" s="659"/>
      <c r="E378" s="659"/>
      <c r="F378" s="659"/>
      <c r="G378" s="659"/>
      <c r="H378" s="659"/>
      <c r="I378" s="659"/>
      <c r="J378" s="659"/>
      <c r="K378" s="659"/>
      <c r="L378" s="659"/>
      <c r="M378" s="659"/>
      <c r="N378" s="659"/>
      <c r="O378" s="659"/>
      <c r="P378" s="659"/>
    </row>
    <row r="379" spans="2:16" x14ac:dyDescent="0.2">
      <c r="B379" s="55"/>
      <c r="C379" s="55"/>
      <c r="D379" s="659"/>
      <c r="E379" s="659"/>
      <c r="F379" s="659"/>
      <c r="G379" s="659"/>
      <c r="H379" s="659"/>
      <c r="I379" s="659"/>
      <c r="J379" s="659"/>
      <c r="K379" s="659"/>
      <c r="L379" s="659"/>
      <c r="M379" s="659"/>
      <c r="N379" s="659"/>
      <c r="O379" s="659"/>
      <c r="P379" s="659"/>
    </row>
    <row r="380" spans="2:16" x14ac:dyDescent="0.2">
      <c r="B380" s="55"/>
      <c r="C380" s="55"/>
      <c r="D380" s="659"/>
      <c r="E380" s="659"/>
      <c r="F380" s="659"/>
      <c r="G380" s="659"/>
      <c r="H380" s="659"/>
      <c r="I380" s="659"/>
      <c r="J380" s="659"/>
      <c r="K380" s="659"/>
      <c r="L380" s="659"/>
      <c r="M380" s="659"/>
      <c r="N380" s="659"/>
      <c r="O380" s="659"/>
      <c r="P380" s="659"/>
    </row>
    <row r="381" spans="2:16" x14ac:dyDescent="0.2">
      <c r="B381" s="55"/>
      <c r="C381" s="55"/>
      <c r="D381" s="659"/>
      <c r="E381" s="659"/>
      <c r="F381" s="659"/>
      <c r="G381" s="659"/>
      <c r="H381" s="659"/>
      <c r="I381" s="659"/>
      <c r="J381" s="659"/>
      <c r="K381" s="659"/>
      <c r="L381" s="659"/>
      <c r="M381" s="659"/>
      <c r="N381" s="659"/>
      <c r="O381" s="659"/>
      <c r="P381" s="659"/>
    </row>
    <row r="382" spans="2:16" x14ac:dyDescent="0.2">
      <c r="B382" s="55"/>
      <c r="C382" s="55"/>
      <c r="D382" s="659"/>
      <c r="E382" s="659"/>
      <c r="F382" s="659"/>
      <c r="G382" s="659"/>
      <c r="H382" s="659"/>
      <c r="I382" s="659"/>
      <c r="J382" s="659"/>
      <c r="K382" s="659"/>
      <c r="L382" s="659"/>
      <c r="M382" s="659"/>
      <c r="N382" s="659"/>
      <c r="O382" s="659"/>
      <c r="P382" s="659"/>
    </row>
    <row r="383" spans="2:16" x14ac:dyDescent="0.2">
      <c r="B383" s="55"/>
      <c r="C383" s="55"/>
      <c r="D383" s="659"/>
      <c r="E383" s="659"/>
      <c r="F383" s="659"/>
      <c r="G383" s="659"/>
      <c r="H383" s="659"/>
      <c r="I383" s="659"/>
      <c r="J383" s="659"/>
      <c r="K383" s="659"/>
      <c r="L383" s="659"/>
      <c r="M383" s="659"/>
      <c r="N383" s="659"/>
      <c r="O383" s="659"/>
      <c r="P383" s="659"/>
    </row>
    <row r="384" spans="2:16" x14ac:dyDescent="0.2">
      <c r="B384" s="55"/>
      <c r="C384" s="55"/>
      <c r="D384" s="659"/>
      <c r="E384" s="659"/>
      <c r="F384" s="659"/>
      <c r="G384" s="659"/>
      <c r="H384" s="659"/>
      <c r="I384" s="659"/>
      <c r="J384" s="659"/>
      <c r="K384" s="659"/>
      <c r="L384" s="659"/>
      <c r="M384" s="659"/>
      <c r="N384" s="659"/>
      <c r="O384" s="659"/>
      <c r="P384" s="659"/>
    </row>
    <row r="385" spans="2:16" x14ac:dyDescent="0.2">
      <c r="B385" s="55"/>
      <c r="C385" s="55"/>
      <c r="D385" s="659"/>
      <c r="E385" s="659"/>
      <c r="F385" s="659"/>
      <c r="G385" s="659"/>
      <c r="H385" s="659"/>
      <c r="I385" s="659"/>
      <c r="J385" s="659"/>
      <c r="K385" s="659"/>
      <c r="L385" s="659"/>
      <c r="M385" s="659"/>
      <c r="N385" s="659"/>
      <c r="O385" s="659"/>
      <c r="P385" s="659"/>
    </row>
    <row r="386" spans="2:16" x14ac:dyDescent="0.2">
      <c r="B386" s="55"/>
      <c r="C386" s="55"/>
      <c r="D386" s="659"/>
      <c r="E386" s="659"/>
      <c r="F386" s="659"/>
      <c r="G386" s="659"/>
      <c r="H386" s="659"/>
      <c r="I386" s="659"/>
      <c r="J386" s="659"/>
      <c r="K386" s="659"/>
      <c r="L386" s="659"/>
      <c r="M386" s="659"/>
      <c r="N386" s="659"/>
      <c r="O386" s="659"/>
      <c r="P386" s="659"/>
    </row>
    <row r="387" spans="2:16" x14ac:dyDescent="0.2">
      <c r="B387" s="55"/>
      <c r="C387" s="55"/>
      <c r="D387" s="659"/>
      <c r="E387" s="659"/>
      <c r="F387" s="659"/>
      <c r="G387" s="659"/>
      <c r="H387" s="659"/>
      <c r="I387" s="659"/>
      <c r="J387" s="659"/>
      <c r="K387" s="659"/>
      <c r="L387" s="659"/>
      <c r="M387" s="659"/>
      <c r="N387" s="659"/>
      <c r="O387" s="659"/>
      <c r="P387" s="659"/>
    </row>
    <row r="388" spans="2:16" x14ac:dyDescent="0.2">
      <c r="B388" s="55"/>
      <c r="C388" s="55"/>
      <c r="D388" s="659"/>
      <c r="E388" s="659"/>
      <c r="F388" s="659"/>
      <c r="G388" s="659"/>
      <c r="H388" s="659"/>
      <c r="I388" s="659"/>
      <c r="J388" s="659"/>
      <c r="K388" s="659"/>
      <c r="L388" s="659"/>
      <c r="M388" s="659"/>
      <c r="N388" s="659"/>
      <c r="O388" s="659"/>
      <c r="P388" s="659"/>
    </row>
    <row r="389" spans="2:16" x14ac:dyDescent="0.2">
      <c r="B389" s="55"/>
      <c r="C389" s="55"/>
      <c r="D389" s="659"/>
      <c r="E389" s="659"/>
      <c r="F389" s="659"/>
      <c r="G389" s="659"/>
      <c r="H389" s="659"/>
      <c r="I389" s="659"/>
      <c r="J389" s="659"/>
      <c r="K389" s="659"/>
      <c r="L389" s="659"/>
      <c r="M389" s="659"/>
      <c r="N389" s="659"/>
      <c r="O389" s="659"/>
      <c r="P389" s="659"/>
    </row>
    <row r="390" spans="2:16" x14ac:dyDescent="0.2">
      <c r="B390" s="55"/>
      <c r="C390" s="55"/>
      <c r="D390" s="659"/>
      <c r="E390" s="659"/>
      <c r="F390" s="659"/>
      <c r="G390" s="659"/>
      <c r="H390" s="659"/>
      <c r="I390" s="659"/>
      <c r="J390" s="659"/>
      <c r="K390" s="659"/>
      <c r="L390" s="659"/>
      <c r="M390" s="659"/>
      <c r="N390" s="659"/>
      <c r="O390" s="659"/>
      <c r="P390" s="659"/>
    </row>
    <row r="391" spans="2:16" x14ac:dyDescent="0.2">
      <c r="B391" s="55"/>
      <c r="C391" s="55"/>
      <c r="D391" s="659"/>
      <c r="E391" s="659"/>
      <c r="F391" s="659"/>
      <c r="G391" s="659"/>
      <c r="H391" s="659"/>
      <c r="I391" s="659"/>
      <c r="J391" s="659"/>
      <c r="K391" s="659"/>
      <c r="L391" s="659"/>
      <c r="M391" s="659"/>
      <c r="N391" s="659"/>
      <c r="O391" s="659"/>
      <c r="P391" s="659"/>
    </row>
    <row r="392" spans="2:16" x14ac:dyDescent="0.2">
      <c r="B392" s="55"/>
      <c r="C392" s="55"/>
      <c r="D392" s="659"/>
      <c r="E392" s="659"/>
      <c r="F392" s="659"/>
      <c r="G392" s="659"/>
      <c r="H392" s="659"/>
      <c r="I392" s="659"/>
      <c r="J392" s="659"/>
      <c r="K392" s="659"/>
      <c r="L392" s="659"/>
      <c r="M392" s="659"/>
      <c r="N392" s="659"/>
      <c r="O392" s="659"/>
      <c r="P392" s="659"/>
    </row>
    <row r="393" spans="2:16" x14ac:dyDescent="0.2">
      <c r="B393" s="55"/>
      <c r="C393" s="55"/>
      <c r="D393" s="659"/>
      <c r="E393" s="659"/>
      <c r="F393" s="659"/>
      <c r="G393" s="659"/>
      <c r="H393" s="659"/>
      <c r="I393" s="659"/>
      <c r="J393" s="659"/>
      <c r="K393" s="659"/>
      <c r="L393" s="659"/>
      <c r="M393" s="659"/>
      <c r="N393" s="659"/>
      <c r="O393" s="659"/>
      <c r="P393" s="659"/>
    </row>
    <row r="394" spans="2:16" x14ac:dyDescent="0.2">
      <c r="B394" s="55"/>
      <c r="C394" s="55"/>
      <c r="D394" s="659"/>
      <c r="E394" s="659"/>
      <c r="F394" s="659"/>
      <c r="G394" s="659"/>
      <c r="H394" s="659"/>
      <c r="I394" s="659"/>
      <c r="J394" s="659"/>
      <c r="K394" s="659"/>
      <c r="L394" s="659"/>
      <c r="M394" s="659"/>
      <c r="N394" s="659"/>
      <c r="O394" s="659"/>
      <c r="P394" s="659"/>
    </row>
    <row r="395" spans="2:16" x14ac:dyDescent="0.2">
      <c r="B395" s="55"/>
      <c r="C395" s="55"/>
      <c r="D395" s="659"/>
      <c r="E395" s="659"/>
      <c r="F395" s="659"/>
      <c r="G395" s="659"/>
      <c r="H395" s="659"/>
      <c r="I395" s="659"/>
      <c r="J395" s="659"/>
      <c r="K395" s="659"/>
      <c r="L395" s="659"/>
      <c r="M395" s="659"/>
      <c r="N395" s="659"/>
      <c r="O395" s="659"/>
      <c r="P395" s="659"/>
    </row>
    <row r="396" spans="2:16" x14ac:dyDescent="0.2">
      <c r="B396" s="55"/>
      <c r="C396" s="55"/>
      <c r="D396" s="659"/>
      <c r="E396" s="659"/>
      <c r="F396" s="659"/>
      <c r="G396" s="659"/>
      <c r="H396" s="659"/>
      <c r="I396" s="659"/>
      <c r="J396" s="659"/>
      <c r="K396" s="659"/>
      <c r="L396" s="659"/>
      <c r="M396" s="659"/>
      <c r="N396" s="659"/>
      <c r="O396" s="659"/>
      <c r="P396" s="659"/>
    </row>
    <row r="397" spans="2:16" x14ac:dyDescent="0.2">
      <c r="B397" s="55"/>
      <c r="C397" s="55"/>
      <c r="D397" s="659"/>
      <c r="E397" s="659"/>
      <c r="F397" s="659"/>
      <c r="G397" s="659"/>
      <c r="H397" s="659"/>
      <c r="I397" s="659"/>
      <c r="J397" s="659"/>
      <c r="K397" s="659"/>
      <c r="L397" s="659"/>
      <c r="M397" s="659"/>
      <c r="N397" s="659"/>
      <c r="O397" s="659"/>
      <c r="P397" s="659"/>
    </row>
    <row r="398" spans="2:16" x14ac:dyDescent="0.2">
      <c r="B398" s="55"/>
      <c r="C398" s="55"/>
      <c r="D398" s="659"/>
      <c r="E398" s="659"/>
      <c r="F398" s="659"/>
      <c r="G398" s="659"/>
      <c r="H398" s="659"/>
      <c r="I398" s="659"/>
      <c r="J398" s="659"/>
      <c r="K398" s="659"/>
      <c r="L398" s="659"/>
      <c r="M398" s="659"/>
      <c r="N398" s="659"/>
      <c r="O398" s="659"/>
      <c r="P398" s="659"/>
    </row>
    <row r="399" spans="2:16" x14ac:dyDescent="0.2">
      <c r="B399" s="55"/>
      <c r="C399" s="55"/>
      <c r="D399" s="659"/>
      <c r="E399" s="659"/>
      <c r="F399" s="659"/>
      <c r="G399" s="659"/>
      <c r="H399" s="659"/>
      <c r="I399" s="659"/>
      <c r="J399" s="659"/>
      <c r="K399" s="659"/>
      <c r="L399" s="659"/>
      <c r="M399" s="659"/>
      <c r="N399" s="659"/>
      <c r="O399" s="659"/>
      <c r="P399" s="659"/>
    </row>
    <row r="400" spans="2:16" x14ac:dyDescent="0.2">
      <c r="B400" s="55"/>
      <c r="C400" s="55"/>
      <c r="D400" s="659"/>
      <c r="E400" s="659"/>
      <c r="F400" s="659"/>
      <c r="G400" s="659"/>
      <c r="H400" s="659"/>
      <c r="I400" s="659"/>
      <c r="J400" s="659"/>
      <c r="K400" s="659"/>
      <c r="L400" s="659"/>
      <c r="M400" s="659"/>
      <c r="N400" s="659"/>
      <c r="O400" s="659"/>
      <c r="P400" s="659"/>
    </row>
    <row r="401" spans="2:16" x14ac:dyDescent="0.2">
      <c r="B401" s="55"/>
      <c r="C401" s="55"/>
      <c r="D401" s="659"/>
      <c r="E401" s="659"/>
      <c r="F401" s="659"/>
      <c r="G401" s="659"/>
      <c r="H401" s="659"/>
      <c r="I401" s="659"/>
      <c r="J401" s="659"/>
      <c r="K401" s="659"/>
      <c r="L401" s="659"/>
      <c r="M401" s="659"/>
      <c r="N401" s="659"/>
      <c r="O401" s="659"/>
      <c r="P401" s="659"/>
    </row>
    <row r="402" spans="2:16" x14ac:dyDescent="0.2">
      <c r="B402" s="55"/>
      <c r="C402" s="55"/>
      <c r="D402" s="659"/>
      <c r="E402" s="659"/>
      <c r="F402" s="659"/>
      <c r="G402" s="659"/>
      <c r="H402" s="659"/>
      <c r="I402" s="659"/>
      <c r="J402" s="659"/>
      <c r="K402" s="659"/>
      <c r="L402" s="659"/>
      <c r="M402" s="659"/>
      <c r="N402" s="659"/>
      <c r="O402" s="659"/>
      <c r="P402" s="659"/>
    </row>
    <row r="403" spans="2:16" x14ac:dyDescent="0.2">
      <c r="B403" s="55"/>
      <c r="C403" s="55"/>
      <c r="D403" s="659"/>
      <c r="E403" s="659"/>
      <c r="F403" s="659"/>
      <c r="G403" s="659"/>
      <c r="H403" s="659"/>
      <c r="I403" s="659"/>
      <c r="J403" s="659"/>
      <c r="K403" s="659"/>
      <c r="L403" s="659"/>
      <c r="M403" s="659"/>
      <c r="N403" s="659"/>
      <c r="O403" s="659"/>
      <c r="P403" s="659"/>
    </row>
    <row r="404" spans="2:16" x14ac:dyDescent="0.2">
      <c r="B404" s="55"/>
      <c r="C404" s="55"/>
      <c r="D404" s="659"/>
      <c r="E404" s="659"/>
      <c r="F404" s="659"/>
      <c r="G404" s="659"/>
      <c r="H404" s="659"/>
      <c r="I404" s="659"/>
      <c r="J404" s="659"/>
      <c r="K404" s="659"/>
      <c r="L404" s="659"/>
      <c r="M404" s="659"/>
      <c r="N404" s="659"/>
      <c r="O404" s="659"/>
      <c r="P404" s="659"/>
    </row>
    <row r="405" spans="2:16" x14ac:dyDescent="0.2">
      <c r="B405" s="55"/>
      <c r="C405" s="55"/>
      <c r="D405" s="659"/>
      <c r="E405" s="659"/>
      <c r="F405" s="659"/>
      <c r="G405" s="659"/>
      <c r="H405" s="659"/>
      <c r="I405" s="659"/>
      <c r="J405" s="659"/>
      <c r="K405" s="659"/>
      <c r="L405" s="659"/>
      <c r="M405" s="659"/>
      <c r="N405" s="659"/>
      <c r="O405" s="659"/>
      <c r="P405" s="659"/>
    </row>
    <row r="406" spans="2:16" x14ac:dyDescent="0.2">
      <c r="B406" s="55"/>
      <c r="C406" s="55"/>
      <c r="D406" s="659"/>
      <c r="E406" s="659"/>
      <c r="F406" s="659"/>
      <c r="G406" s="659"/>
      <c r="H406" s="659"/>
      <c r="I406" s="659"/>
      <c r="J406" s="659"/>
      <c r="K406" s="659"/>
      <c r="L406" s="659"/>
      <c r="M406" s="659"/>
      <c r="N406" s="659"/>
      <c r="O406" s="659"/>
      <c r="P406" s="659"/>
    </row>
    <row r="407" spans="2:16" x14ac:dyDescent="0.2">
      <c r="B407" s="55"/>
      <c r="C407" s="55"/>
      <c r="D407" s="659"/>
      <c r="E407" s="659"/>
      <c r="F407" s="659"/>
      <c r="G407" s="659"/>
      <c r="H407" s="659"/>
      <c r="I407" s="659"/>
      <c r="J407" s="659"/>
      <c r="K407" s="659"/>
      <c r="L407" s="659"/>
      <c r="M407" s="659"/>
      <c r="N407" s="659"/>
      <c r="O407" s="659"/>
      <c r="P407" s="659"/>
    </row>
    <row r="408" spans="2:16" x14ac:dyDescent="0.2">
      <c r="B408" s="55"/>
      <c r="C408" s="55"/>
      <c r="D408" s="659"/>
      <c r="E408" s="659"/>
      <c r="F408" s="659"/>
      <c r="G408" s="659"/>
      <c r="H408" s="659"/>
      <c r="I408" s="659"/>
      <c r="J408" s="659"/>
      <c r="K408" s="659"/>
      <c r="L408" s="659"/>
      <c r="M408" s="659"/>
      <c r="N408" s="659"/>
      <c r="O408" s="659"/>
      <c r="P408" s="659"/>
    </row>
    <row r="409" spans="2:16" x14ac:dyDescent="0.2">
      <c r="B409" s="55"/>
      <c r="C409" s="55"/>
      <c r="D409" s="659"/>
      <c r="E409" s="659"/>
      <c r="F409" s="659"/>
      <c r="G409" s="659"/>
      <c r="H409" s="659"/>
      <c r="I409" s="659"/>
      <c r="J409" s="659"/>
      <c r="K409" s="659"/>
      <c r="L409" s="659"/>
      <c r="M409" s="659"/>
      <c r="N409" s="659"/>
      <c r="O409" s="659"/>
      <c r="P409" s="659"/>
    </row>
    <row r="410" spans="2:16" x14ac:dyDescent="0.2">
      <c r="B410" s="55"/>
      <c r="C410" s="55"/>
      <c r="D410" s="659"/>
      <c r="E410" s="659"/>
      <c r="F410" s="659"/>
      <c r="G410" s="659"/>
      <c r="H410" s="659"/>
      <c r="I410" s="659"/>
      <c r="J410" s="659"/>
      <c r="K410" s="659"/>
      <c r="L410" s="659"/>
      <c r="M410" s="659"/>
      <c r="N410" s="659"/>
      <c r="O410" s="659"/>
      <c r="P410" s="659"/>
    </row>
    <row r="411" spans="2:16" x14ac:dyDescent="0.2">
      <c r="B411" s="55"/>
      <c r="C411" s="55"/>
      <c r="D411" s="659"/>
      <c r="E411" s="659"/>
      <c r="F411" s="659"/>
      <c r="G411" s="659"/>
      <c r="H411" s="659"/>
      <c r="I411" s="659"/>
      <c r="J411" s="659"/>
      <c r="K411" s="659"/>
      <c r="L411" s="659"/>
      <c r="M411" s="659"/>
      <c r="N411" s="659"/>
      <c r="O411" s="659"/>
      <c r="P411" s="659"/>
    </row>
    <row r="412" spans="2:16" x14ac:dyDescent="0.2">
      <c r="B412" s="55"/>
      <c r="C412" s="55"/>
      <c r="D412" s="659"/>
      <c r="E412" s="659"/>
      <c r="F412" s="659"/>
      <c r="G412" s="659"/>
      <c r="H412" s="659"/>
      <c r="I412" s="659"/>
      <c r="J412" s="659"/>
      <c r="K412" s="659"/>
      <c r="L412" s="659"/>
      <c r="M412" s="659"/>
      <c r="N412" s="659"/>
      <c r="O412" s="659"/>
      <c r="P412" s="659"/>
    </row>
    <row r="413" spans="2:16" x14ac:dyDescent="0.2">
      <c r="B413" s="55"/>
      <c r="C413" s="55"/>
      <c r="D413" s="659"/>
      <c r="E413" s="659"/>
      <c r="F413" s="659"/>
      <c r="G413" s="659"/>
      <c r="H413" s="659"/>
      <c r="I413" s="659"/>
      <c r="J413" s="659"/>
      <c r="K413" s="659"/>
      <c r="L413" s="659"/>
      <c r="M413" s="659"/>
      <c r="N413" s="659"/>
      <c r="O413" s="659"/>
      <c r="P413" s="659"/>
    </row>
    <row r="414" spans="2:16" x14ac:dyDescent="0.2">
      <c r="B414" s="55"/>
      <c r="C414" s="55"/>
      <c r="D414" s="659"/>
      <c r="E414" s="659"/>
      <c r="F414" s="659"/>
      <c r="G414" s="659"/>
      <c r="H414" s="659"/>
      <c r="I414" s="659"/>
      <c r="J414" s="659"/>
      <c r="K414" s="659"/>
      <c r="L414" s="659"/>
      <c r="M414" s="659"/>
      <c r="N414" s="659"/>
      <c r="O414" s="659"/>
      <c r="P414" s="659"/>
    </row>
    <row r="415" spans="2:16" x14ac:dyDescent="0.2">
      <c r="B415" s="55"/>
      <c r="C415" s="55"/>
      <c r="D415" s="659"/>
      <c r="E415" s="659"/>
      <c r="F415" s="659"/>
      <c r="G415" s="659"/>
      <c r="H415" s="659"/>
      <c r="I415" s="659"/>
      <c r="J415" s="659"/>
      <c r="K415" s="659"/>
      <c r="L415" s="659"/>
      <c r="M415" s="659"/>
      <c r="N415" s="659"/>
      <c r="O415" s="659"/>
      <c r="P415" s="659"/>
    </row>
    <row r="416" spans="2:16" x14ac:dyDescent="0.2">
      <c r="B416" s="55"/>
      <c r="C416" s="55"/>
      <c r="D416" s="659"/>
      <c r="E416" s="659"/>
      <c r="F416" s="659"/>
      <c r="G416" s="659"/>
      <c r="H416" s="659"/>
      <c r="I416" s="659"/>
      <c r="J416" s="659"/>
      <c r="K416" s="659"/>
      <c r="L416" s="659"/>
      <c r="M416" s="659"/>
      <c r="N416" s="659"/>
      <c r="O416" s="659"/>
      <c r="P416" s="659"/>
    </row>
    <row r="417" spans="2:16" x14ac:dyDescent="0.2">
      <c r="B417" s="55"/>
      <c r="C417" s="55"/>
      <c r="D417" s="659"/>
      <c r="E417" s="659"/>
      <c r="F417" s="659"/>
      <c r="G417" s="659"/>
      <c r="H417" s="659"/>
      <c r="I417" s="659"/>
      <c r="J417" s="659"/>
      <c r="K417" s="659"/>
      <c r="L417" s="659"/>
      <c r="M417" s="659"/>
      <c r="N417" s="659"/>
      <c r="O417" s="659"/>
      <c r="P417" s="659"/>
    </row>
    <row r="418" spans="2:16" x14ac:dyDescent="0.2">
      <c r="B418" s="55"/>
      <c r="C418" s="55"/>
      <c r="D418" s="659"/>
      <c r="E418" s="659"/>
      <c r="F418" s="659"/>
      <c r="G418" s="659"/>
      <c r="H418" s="659"/>
      <c r="I418" s="659"/>
      <c r="J418" s="659"/>
      <c r="K418" s="659"/>
      <c r="L418" s="659"/>
      <c r="M418" s="659"/>
      <c r="N418" s="659"/>
      <c r="O418" s="659"/>
      <c r="P418" s="659"/>
    </row>
    <row r="419" spans="2:16" x14ac:dyDescent="0.2">
      <c r="B419" s="55"/>
      <c r="C419" s="55"/>
      <c r="D419" s="659"/>
      <c r="E419" s="659"/>
      <c r="F419" s="659"/>
      <c r="G419" s="659"/>
      <c r="H419" s="659"/>
      <c r="I419" s="659"/>
      <c r="J419" s="659"/>
      <c r="K419" s="659"/>
      <c r="L419" s="659"/>
      <c r="M419" s="659"/>
      <c r="N419" s="659"/>
      <c r="O419" s="659"/>
      <c r="P419" s="659"/>
    </row>
    <row r="420" spans="2:16" x14ac:dyDescent="0.2">
      <c r="B420" s="55"/>
      <c r="C420" s="55"/>
      <c r="D420" s="659"/>
      <c r="E420" s="659"/>
      <c r="F420" s="659"/>
      <c r="G420" s="659"/>
      <c r="H420" s="659"/>
      <c r="I420" s="659"/>
      <c r="J420" s="659"/>
      <c r="K420" s="659"/>
      <c r="L420" s="659"/>
      <c r="M420" s="659"/>
      <c r="N420" s="659"/>
      <c r="O420" s="659"/>
      <c r="P420" s="659"/>
    </row>
    <row r="421" spans="2:16" x14ac:dyDescent="0.2">
      <c r="B421" s="55"/>
      <c r="C421" s="55"/>
      <c r="D421" s="659"/>
      <c r="E421" s="659"/>
      <c r="F421" s="659"/>
      <c r="G421" s="659"/>
      <c r="H421" s="659"/>
      <c r="I421" s="659"/>
      <c r="J421" s="659"/>
      <c r="K421" s="659"/>
      <c r="L421" s="659"/>
      <c r="M421" s="659"/>
      <c r="N421" s="659"/>
      <c r="O421" s="659"/>
      <c r="P421" s="659"/>
    </row>
    <row r="422" spans="2:16" x14ac:dyDescent="0.2">
      <c r="B422" s="55"/>
      <c r="C422" s="55"/>
      <c r="D422" s="659"/>
      <c r="E422" s="659"/>
      <c r="F422" s="659"/>
      <c r="G422" s="659"/>
      <c r="H422" s="659"/>
      <c r="I422" s="659"/>
      <c r="J422" s="659"/>
      <c r="K422" s="659"/>
      <c r="L422" s="659"/>
      <c r="M422" s="659"/>
      <c r="N422" s="659"/>
      <c r="O422" s="659"/>
      <c r="P422" s="659"/>
    </row>
    <row r="423" spans="2:16" x14ac:dyDescent="0.2">
      <c r="B423" s="55"/>
      <c r="C423" s="55"/>
      <c r="D423" s="659"/>
      <c r="E423" s="659"/>
      <c r="F423" s="659"/>
      <c r="G423" s="659"/>
      <c r="H423" s="659"/>
      <c r="I423" s="659"/>
      <c r="J423" s="659"/>
      <c r="K423" s="659"/>
      <c r="L423" s="659"/>
      <c r="M423" s="659"/>
      <c r="N423" s="659"/>
      <c r="O423" s="659"/>
      <c r="P423" s="659"/>
    </row>
    <row r="424" spans="2:16" x14ac:dyDescent="0.2">
      <c r="B424" s="55"/>
      <c r="C424" s="55"/>
      <c r="D424" s="659"/>
      <c r="E424" s="659"/>
      <c r="F424" s="659"/>
      <c r="G424" s="659"/>
      <c r="H424" s="659"/>
      <c r="I424" s="659"/>
      <c r="J424" s="659"/>
      <c r="K424" s="659"/>
      <c r="L424" s="659"/>
      <c r="M424" s="659"/>
      <c r="N424" s="659"/>
      <c r="O424" s="659"/>
      <c r="P424" s="659"/>
    </row>
    <row r="425" spans="2:16" x14ac:dyDescent="0.2">
      <c r="B425" s="55"/>
      <c r="C425" s="55"/>
      <c r="D425" s="659"/>
      <c r="E425" s="659"/>
      <c r="F425" s="659"/>
      <c r="G425" s="659"/>
      <c r="H425" s="659"/>
      <c r="I425" s="659"/>
      <c r="J425" s="659"/>
      <c r="K425" s="659"/>
      <c r="L425" s="659"/>
      <c r="M425" s="659"/>
      <c r="N425" s="659"/>
      <c r="O425" s="659"/>
      <c r="P425" s="659"/>
    </row>
    <row r="426" spans="2:16" x14ac:dyDescent="0.2">
      <c r="B426" s="55"/>
      <c r="C426" s="55"/>
      <c r="D426" s="659"/>
      <c r="E426" s="659"/>
      <c r="F426" s="659"/>
      <c r="G426" s="659"/>
      <c r="H426" s="659"/>
      <c r="I426" s="659"/>
      <c r="J426" s="659"/>
      <c r="K426" s="659"/>
      <c r="L426" s="659"/>
      <c r="M426" s="659"/>
      <c r="N426" s="659"/>
      <c r="O426" s="659"/>
      <c r="P426" s="659"/>
    </row>
    <row r="427" spans="2:16" x14ac:dyDescent="0.2">
      <c r="B427" s="55"/>
      <c r="C427" s="55"/>
      <c r="D427" s="659"/>
      <c r="E427" s="659"/>
      <c r="F427" s="659"/>
      <c r="G427" s="659"/>
      <c r="H427" s="659"/>
      <c r="I427" s="659"/>
      <c r="J427" s="659"/>
      <c r="K427" s="659"/>
      <c r="L427" s="659"/>
      <c r="M427" s="659"/>
      <c r="N427" s="659"/>
      <c r="O427" s="659"/>
      <c r="P427" s="659"/>
    </row>
    <row r="428" spans="2:16" x14ac:dyDescent="0.2">
      <c r="B428" s="55"/>
      <c r="C428" s="55"/>
      <c r="D428" s="659"/>
      <c r="E428" s="659"/>
      <c r="F428" s="659"/>
      <c r="G428" s="659"/>
      <c r="H428" s="659"/>
      <c r="I428" s="659"/>
      <c r="J428" s="659"/>
      <c r="K428" s="659"/>
      <c r="L428" s="659"/>
      <c r="M428" s="659"/>
      <c r="N428" s="659"/>
      <c r="O428" s="659"/>
      <c r="P428" s="659"/>
    </row>
    <row r="429" spans="2:16" x14ac:dyDescent="0.2">
      <c r="B429" s="55"/>
      <c r="C429" s="55"/>
      <c r="D429" s="659"/>
      <c r="E429" s="659"/>
      <c r="F429" s="659"/>
      <c r="G429" s="659"/>
      <c r="H429" s="659"/>
      <c r="I429" s="659"/>
      <c r="J429" s="659"/>
      <c r="K429" s="659"/>
      <c r="L429" s="659"/>
      <c r="M429" s="659"/>
      <c r="N429" s="659"/>
      <c r="O429" s="659"/>
      <c r="P429" s="659"/>
    </row>
    <row r="430" spans="2:16" x14ac:dyDescent="0.2">
      <c r="B430" s="55"/>
      <c r="C430" s="55"/>
      <c r="D430" s="659"/>
      <c r="E430" s="659"/>
      <c r="F430" s="659"/>
      <c r="G430" s="659"/>
      <c r="H430" s="659"/>
      <c r="I430" s="659"/>
      <c r="J430" s="659"/>
      <c r="K430" s="659"/>
      <c r="L430" s="659"/>
      <c r="M430" s="659"/>
      <c r="N430" s="659"/>
      <c r="O430" s="659"/>
      <c r="P430" s="659"/>
    </row>
    <row r="431" spans="2:16" x14ac:dyDescent="0.2">
      <c r="B431" s="55"/>
      <c r="C431" s="55"/>
      <c r="D431" s="659"/>
      <c r="E431" s="659"/>
      <c r="F431" s="659"/>
      <c r="G431" s="659"/>
      <c r="H431" s="659"/>
      <c r="I431" s="659"/>
      <c r="J431" s="659"/>
      <c r="K431" s="659"/>
      <c r="L431" s="659"/>
      <c r="M431" s="659"/>
      <c r="N431" s="659"/>
      <c r="O431" s="659"/>
      <c r="P431" s="659"/>
    </row>
    <row r="432" spans="2:16" x14ac:dyDescent="0.2">
      <c r="B432" s="55"/>
      <c r="C432" s="55"/>
      <c r="D432" s="659"/>
      <c r="E432" s="659"/>
      <c r="F432" s="659"/>
      <c r="G432" s="659"/>
      <c r="H432" s="659"/>
      <c r="I432" s="659"/>
      <c r="J432" s="659"/>
      <c r="K432" s="659"/>
      <c r="L432" s="659"/>
      <c r="M432" s="659"/>
      <c r="N432" s="659"/>
      <c r="O432" s="659"/>
      <c r="P432" s="659"/>
    </row>
    <row r="433" spans="2:16" x14ac:dyDescent="0.2">
      <c r="B433" s="55"/>
      <c r="C433" s="55"/>
      <c r="D433" s="659"/>
      <c r="E433" s="659"/>
      <c r="F433" s="659"/>
      <c r="G433" s="659"/>
      <c r="H433" s="659"/>
      <c r="I433" s="659"/>
      <c r="J433" s="659"/>
      <c r="K433" s="659"/>
      <c r="L433" s="659"/>
      <c r="M433" s="659"/>
      <c r="N433" s="659"/>
      <c r="O433" s="659"/>
      <c r="P433" s="659"/>
    </row>
    <row r="434" spans="2:16" x14ac:dyDescent="0.2">
      <c r="B434" s="55"/>
      <c r="C434" s="55"/>
      <c r="D434" s="659"/>
      <c r="E434" s="659"/>
      <c r="F434" s="659"/>
      <c r="G434" s="659"/>
      <c r="H434" s="659"/>
      <c r="I434" s="659"/>
      <c r="J434" s="659"/>
      <c r="K434" s="659"/>
      <c r="L434" s="659"/>
      <c r="M434" s="659"/>
      <c r="N434" s="659"/>
      <c r="O434" s="659"/>
      <c r="P434" s="659"/>
    </row>
    <row r="435" spans="2:16" x14ac:dyDescent="0.2">
      <c r="B435" s="55"/>
      <c r="C435" s="55"/>
      <c r="D435" s="659"/>
      <c r="E435" s="659"/>
      <c r="F435" s="659"/>
      <c r="G435" s="659"/>
      <c r="H435" s="659"/>
      <c r="I435" s="659"/>
      <c r="J435" s="659"/>
      <c r="K435" s="659"/>
      <c r="L435" s="659"/>
      <c r="M435" s="659"/>
      <c r="N435" s="659"/>
      <c r="O435" s="659"/>
      <c r="P435" s="659"/>
    </row>
    <row r="436" spans="2:16" x14ac:dyDescent="0.2">
      <c r="B436" s="55"/>
      <c r="C436" s="55"/>
      <c r="D436" s="659"/>
      <c r="E436" s="659"/>
      <c r="F436" s="659"/>
      <c r="G436" s="659"/>
      <c r="H436" s="659"/>
      <c r="I436" s="659"/>
      <c r="J436" s="659"/>
      <c r="K436" s="659"/>
      <c r="L436" s="659"/>
      <c r="M436" s="659"/>
      <c r="N436" s="659"/>
      <c r="O436" s="659"/>
      <c r="P436" s="659"/>
    </row>
    <row r="437" spans="2:16" x14ac:dyDescent="0.2">
      <c r="B437" s="55"/>
      <c r="C437" s="55"/>
      <c r="D437" s="659"/>
      <c r="E437" s="659"/>
      <c r="F437" s="659"/>
      <c r="G437" s="659"/>
      <c r="H437" s="659"/>
      <c r="I437" s="659"/>
      <c r="J437" s="659"/>
      <c r="K437" s="659"/>
      <c r="L437" s="659"/>
      <c r="M437" s="659"/>
      <c r="N437" s="659"/>
      <c r="O437" s="659"/>
      <c r="P437" s="659"/>
    </row>
    <row r="438" spans="2:16" x14ac:dyDescent="0.2">
      <c r="B438" s="55"/>
      <c r="C438" s="55"/>
      <c r="D438" s="659"/>
      <c r="E438" s="659"/>
      <c r="F438" s="659"/>
      <c r="G438" s="659"/>
      <c r="H438" s="659"/>
      <c r="I438" s="659"/>
      <c r="J438" s="659"/>
      <c r="K438" s="659"/>
      <c r="L438" s="659"/>
      <c r="M438" s="659"/>
      <c r="N438" s="659"/>
      <c r="O438" s="659"/>
      <c r="P438" s="659"/>
    </row>
    <row r="439" spans="2:16" x14ac:dyDescent="0.2">
      <c r="B439" s="55"/>
      <c r="C439" s="55"/>
      <c r="D439" s="659"/>
      <c r="E439" s="659"/>
      <c r="F439" s="659"/>
      <c r="G439" s="659"/>
      <c r="H439" s="659"/>
      <c r="I439" s="659"/>
      <c r="J439" s="659"/>
      <c r="K439" s="659"/>
      <c r="L439" s="659"/>
      <c r="M439" s="659"/>
      <c r="N439" s="659"/>
      <c r="O439" s="659"/>
      <c r="P439" s="659"/>
    </row>
    <row r="440" spans="2:16" x14ac:dyDescent="0.2">
      <c r="B440" s="55"/>
      <c r="C440" s="55"/>
      <c r="D440" s="659"/>
      <c r="E440" s="659"/>
      <c r="F440" s="659"/>
      <c r="G440" s="659"/>
      <c r="H440" s="659"/>
      <c r="I440" s="659"/>
      <c r="J440" s="659"/>
      <c r="K440" s="659"/>
      <c r="L440" s="659"/>
      <c r="M440" s="659"/>
      <c r="N440" s="659"/>
      <c r="O440" s="659"/>
      <c r="P440" s="659"/>
    </row>
    <row r="441" spans="2:16" x14ac:dyDescent="0.2">
      <c r="B441" s="55"/>
      <c r="C441" s="55"/>
      <c r="D441" s="659"/>
      <c r="E441" s="659"/>
      <c r="F441" s="659"/>
      <c r="G441" s="659"/>
      <c r="H441" s="659"/>
      <c r="I441" s="659"/>
      <c r="J441" s="659"/>
      <c r="K441" s="659"/>
      <c r="L441" s="659"/>
      <c r="M441" s="659"/>
      <c r="N441" s="659"/>
      <c r="O441" s="659"/>
      <c r="P441" s="659"/>
    </row>
    <row r="442" spans="2:16" x14ac:dyDescent="0.2">
      <c r="B442" s="55"/>
      <c r="C442" s="55"/>
      <c r="D442" s="659"/>
      <c r="E442" s="659"/>
      <c r="F442" s="659"/>
      <c r="G442" s="659"/>
      <c r="H442" s="659"/>
      <c r="I442" s="659"/>
      <c r="J442" s="659"/>
      <c r="K442" s="659"/>
      <c r="L442" s="659"/>
      <c r="M442" s="659"/>
      <c r="N442" s="659"/>
      <c r="O442" s="659"/>
      <c r="P442" s="659"/>
    </row>
    <row r="443" spans="2:16" x14ac:dyDescent="0.2">
      <c r="B443" s="55"/>
      <c r="C443" s="55"/>
      <c r="D443" s="659"/>
      <c r="E443" s="659"/>
      <c r="F443" s="659"/>
      <c r="G443" s="659"/>
      <c r="H443" s="659"/>
      <c r="I443" s="659"/>
      <c r="J443" s="659"/>
      <c r="K443" s="659"/>
      <c r="L443" s="659"/>
      <c r="M443" s="659"/>
      <c r="N443" s="659"/>
      <c r="O443" s="659"/>
      <c r="P443" s="659"/>
    </row>
    <row r="444" spans="2:16" x14ac:dyDescent="0.2">
      <c r="B444" s="55"/>
      <c r="C444" s="55"/>
      <c r="D444" s="659"/>
      <c r="E444" s="659"/>
      <c r="F444" s="659"/>
      <c r="G444" s="659"/>
      <c r="H444" s="659"/>
      <c r="I444" s="659"/>
      <c r="J444" s="659"/>
      <c r="K444" s="659"/>
      <c r="L444" s="659"/>
      <c r="M444" s="659"/>
      <c r="N444" s="659"/>
      <c r="O444" s="659"/>
      <c r="P444" s="659"/>
    </row>
    <row r="445" spans="2:16" x14ac:dyDescent="0.2">
      <c r="B445" s="55"/>
      <c r="C445" s="55"/>
      <c r="D445" s="659"/>
      <c r="E445" s="659"/>
      <c r="F445" s="659"/>
      <c r="G445" s="659"/>
      <c r="H445" s="659"/>
      <c r="I445" s="659"/>
      <c r="J445" s="659"/>
      <c r="K445" s="659"/>
      <c r="L445" s="659"/>
      <c r="M445" s="659"/>
      <c r="N445" s="659"/>
      <c r="O445" s="659"/>
      <c r="P445" s="659"/>
    </row>
    <row r="446" spans="2:16" x14ac:dyDescent="0.2">
      <c r="B446" s="55"/>
      <c r="C446" s="55"/>
      <c r="D446" s="659"/>
      <c r="E446" s="659"/>
      <c r="F446" s="659"/>
      <c r="G446" s="659"/>
      <c r="H446" s="659"/>
      <c r="I446" s="659"/>
      <c r="J446" s="659"/>
      <c r="K446" s="659"/>
      <c r="L446" s="659"/>
      <c r="M446" s="659"/>
      <c r="N446" s="659"/>
      <c r="O446" s="659"/>
      <c r="P446" s="659"/>
    </row>
    <row r="447" spans="2:16" x14ac:dyDescent="0.2">
      <c r="B447" s="55"/>
      <c r="C447" s="55"/>
      <c r="D447" s="659"/>
      <c r="E447" s="659"/>
      <c r="F447" s="659"/>
      <c r="G447" s="659"/>
      <c r="H447" s="659"/>
      <c r="I447" s="659"/>
      <c r="J447" s="659"/>
      <c r="K447" s="659"/>
      <c r="L447" s="659"/>
      <c r="M447" s="659"/>
      <c r="N447" s="659"/>
      <c r="O447" s="659"/>
      <c r="P447" s="659"/>
    </row>
    <row r="448" spans="2:16" x14ac:dyDescent="0.2">
      <c r="B448" s="55"/>
      <c r="C448" s="55"/>
      <c r="D448" s="659"/>
      <c r="E448" s="659"/>
      <c r="F448" s="659"/>
      <c r="G448" s="659"/>
      <c r="H448" s="659"/>
      <c r="I448" s="659"/>
      <c r="J448" s="659"/>
      <c r="K448" s="659"/>
      <c r="L448" s="659"/>
      <c r="M448" s="659"/>
      <c r="N448" s="659"/>
      <c r="O448" s="659"/>
      <c r="P448" s="659"/>
    </row>
    <row r="449" spans="2:16" x14ac:dyDescent="0.2">
      <c r="B449" s="55"/>
      <c r="C449" s="55"/>
      <c r="D449" s="659"/>
      <c r="E449" s="659"/>
      <c r="F449" s="659"/>
      <c r="G449" s="659"/>
      <c r="H449" s="659"/>
      <c r="I449" s="659"/>
      <c r="J449" s="659"/>
      <c r="K449" s="659"/>
      <c r="L449" s="659"/>
      <c r="M449" s="659"/>
      <c r="N449" s="659"/>
      <c r="O449" s="659"/>
      <c r="P449" s="659"/>
    </row>
    <row r="450" spans="2:16" x14ac:dyDescent="0.2">
      <c r="B450" s="55"/>
      <c r="C450" s="55"/>
      <c r="D450" s="659"/>
      <c r="E450" s="659"/>
      <c r="F450" s="659"/>
      <c r="G450" s="659"/>
      <c r="H450" s="659"/>
      <c r="I450" s="659"/>
      <c r="J450" s="659"/>
      <c r="K450" s="659"/>
      <c r="L450" s="659"/>
      <c r="M450" s="659"/>
      <c r="N450" s="659"/>
      <c r="O450" s="659"/>
      <c r="P450" s="659"/>
    </row>
    <row r="451" spans="2:16" x14ac:dyDescent="0.2">
      <c r="B451" s="55"/>
      <c r="C451" s="55"/>
      <c r="D451" s="659"/>
      <c r="E451" s="659"/>
      <c r="F451" s="659"/>
      <c r="G451" s="659"/>
      <c r="H451" s="659"/>
      <c r="I451" s="659"/>
      <c r="J451" s="659"/>
      <c r="K451" s="659"/>
      <c r="L451" s="659"/>
      <c r="M451" s="659"/>
      <c r="N451" s="659"/>
      <c r="O451" s="659"/>
      <c r="P451" s="659"/>
    </row>
    <row r="452" spans="2:16" x14ac:dyDescent="0.2">
      <c r="B452" s="55"/>
      <c r="C452" s="55"/>
      <c r="D452" s="659"/>
      <c r="E452" s="659"/>
      <c r="F452" s="659"/>
      <c r="G452" s="659"/>
      <c r="H452" s="659"/>
      <c r="I452" s="659"/>
      <c r="J452" s="659"/>
      <c r="K452" s="659"/>
      <c r="L452" s="659"/>
      <c r="M452" s="659"/>
      <c r="N452" s="659"/>
      <c r="O452" s="659"/>
      <c r="P452" s="659"/>
    </row>
    <row r="453" spans="2:16" x14ac:dyDescent="0.2">
      <c r="B453" s="55"/>
      <c r="C453" s="55"/>
      <c r="D453" s="659"/>
      <c r="E453" s="659"/>
      <c r="F453" s="659"/>
      <c r="G453" s="659"/>
      <c r="H453" s="659"/>
      <c r="I453" s="659"/>
      <c r="J453" s="659"/>
      <c r="K453" s="659"/>
      <c r="L453" s="659"/>
      <c r="M453" s="659"/>
      <c r="N453" s="659"/>
      <c r="O453" s="659"/>
      <c r="P453" s="659"/>
    </row>
    <row r="454" spans="2:16" x14ac:dyDescent="0.2">
      <c r="B454" s="55"/>
      <c r="C454" s="55"/>
      <c r="D454" s="659"/>
      <c r="E454" s="659"/>
      <c r="F454" s="659"/>
      <c r="G454" s="659"/>
      <c r="H454" s="659"/>
      <c r="I454" s="659"/>
      <c r="J454" s="659"/>
      <c r="K454" s="659"/>
      <c r="L454" s="659"/>
      <c r="M454" s="659"/>
      <c r="N454" s="659"/>
      <c r="O454" s="659"/>
      <c r="P454" s="659"/>
    </row>
    <row r="455" spans="2:16" x14ac:dyDescent="0.2">
      <c r="B455" s="55"/>
      <c r="C455" s="55"/>
      <c r="D455" s="659"/>
      <c r="E455" s="659"/>
      <c r="F455" s="659"/>
      <c r="G455" s="659"/>
      <c r="H455" s="659"/>
      <c r="I455" s="659"/>
      <c r="J455" s="659"/>
      <c r="K455" s="659"/>
      <c r="L455" s="659"/>
      <c r="M455" s="659"/>
      <c r="N455" s="659"/>
      <c r="O455" s="659"/>
      <c r="P455" s="659"/>
    </row>
    <row r="456" spans="2:16" x14ac:dyDescent="0.2">
      <c r="B456" s="55"/>
      <c r="C456" s="55"/>
      <c r="D456" s="659"/>
      <c r="E456" s="659"/>
      <c r="F456" s="659"/>
      <c r="G456" s="659"/>
      <c r="H456" s="659"/>
      <c r="I456" s="659"/>
      <c r="J456" s="659"/>
      <c r="K456" s="659"/>
      <c r="L456" s="659"/>
      <c r="M456" s="659"/>
      <c r="N456" s="659"/>
      <c r="O456" s="659"/>
      <c r="P456" s="659"/>
    </row>
    <row r="457" spans="2:16" x14ac:dyDescent="0.2">
      <c r="B457" s="55"/>
      <c r="C457" s="55"/>
      <c r="D457" s="659"/>
      <c r="E457" s="659"/>
      <c r="F457" s="659"/>
      <c r="G457" s="659"/>
      <c r="H457" s="659"/>
      <c r="I457" s="659"/>
      <c r="J457" s="659"/>
      <c r="K457" s="659"/>
      <c r="L457" s="659"/>
      <c r="M457" s="659"/>
      <c r="N457" s="659"/>
      <c r="O457" s="659"/>
      <c r="P457" s="659"/>
    </row>
    <row r="458" spans="2:16" x14ac:dyDescent="0.2">
      <c r="B458" s="55"/>
      <c r="C458" s="55"/>
      <c r="D458" s="659"/>
      <c r="E458" s="659"/>
      <c r="F458" s="659"/>
      <c r="G458" s="659"/>
      <c r="H458" s="659"/>
      <c r="I458" s="659"/>
      <c r="J458" s="659"/>
      <c r="K458" s="659"/>
      <c r="L458" s="659"/>
      <c r="M458" s="659"/>
      <c r="N458" s="659"/>
      <c r="O458" s="659"/>
      <c r="P458" s="659"/>
    </row>
    <row r="459" spans="2:16" x14ac:dyDescent="0.2">
      <c r="B459" s="55"/>
      <c r="C459" s="55"/>
      <c r="D459" s="659"/>
      <c r="E459" s="659"/>
      <c r="F459" s="659"/>
      <c r="G459" s="659"/>
      <c r="H459" s="659"/>
      <c r="I459" s="659"/>
      <c r="J459" s="659"/>
      <c r="K459" s="659"/>
      <c r="L459" s="659"/>
      <c r="M459" s="659"/>
      <c r="N459" s="659"/>
      <c r="O459" s="659"/>
      <c r="P459" s="659"/>
    </row>
    <row r="460" spans="2:16" x14ac:dyDescent="0.2">
      <c r="B460" s="55"/>
      <c r="C460" s="55"/>
      <c r="D460" s="659"/>
      <c r="E460" s="659"/>
      <c r="F460" s="659"/>
      <c r="G460" s="659"/>
      <c r="H460" s="659"/>
      <c r="I460" s="659"/>
      <c r="J460" s="659"/>
      <c r="K460" s="659"/>
      <c r="L460" s="659"/>
      <c r="M460" s="659"/>
      <c r="N460" s="659"/>
      <c r="O460" s="659"/>
      <c r="P460" s="659"/>
    </row>
    <row r="461" spans="2:16" x14ac:dyDescent="0.2">
      <c r="B461" s="55"/>
      <c r="C461" s="55"/>
      <c r="D461" s="659"/>
      <c r="E461" s="659"/>
      <c r="F461" s="659"/>
      <c r="G461" s="659"/>
      <c r="H461" s="659"/>
      <c r="I461" s="659"/>
      <c r="J461" s="659"/>
      <c r="K461" s="659"/>
      <c r="L461" s="659"/>
      <c r="M461" s="659"/>
      <c r="N461" s="659"/>
      <c r="O461" s="659"/>
      <c r="P461" s="659"/>
    </row>
    <row r="462" spans="2:16" x14ac:dyDescent="0.2">
      <c r="B462" s="55"/>
      <c r="C462" s="55"/>
      <c r="D462" s="659"/>
      <c r="E462" s="659"/>
      <c r="F462" s="659"/>
      <c r="G462" s="659"/>
      <c r="H462" s="659"/>
      <c r="I462" s="659"/>
      <c r="J462" s="659"/>
      <c r="K462" s="659"/>
      <c r="L462" s="659"/>
      <c r="M462" s="659"/>
      <c r="N462" s="659"/>
      <c r="O462" s="659"/>
      <c r="P462" s="659"/>
    </row>
    <row r="463" spans="2:16" x14ac:dyDescent="0.2">
      <c r="B463" s="55"/>
      <c r="C463" s="55"/>
      <c r="D463" s="659"/>
      <c r="E463" s="659"/>
      <c r="F463" s="659"/>
      <c r="G463" s="659"/>
      <c r="H463" s="659"/>
      <c r="I463" s="659"/>
      <c r="J463" s="659"/>
      <c r="K463" s="659"/>
      <c r="L463" s="659"/>
      <c r="M463" s="659"/>
      <c r="N463" s="659"/>
      <c r="O463" s="659"/>
      <c r="P463" s="659"/>
    </row>
    <row r="464" spans="2:16" x14ac:dyDescent="0.2">
      <c r="B464" s="55"/>
      <c r="C464" s="55"/>
      <c r="D464" s="659"/>
      <c r="E464" s="659"/>
      <c r="F464" s="659"/>
      <c r="G464" s="659"/>
      <c r="H464" s="659"/>
      <c r="I464" s="659"/>
      <c r="J464" s="659"/>
      <c r="K464" s="659"/>
      <c r="L464" s="659"/>
      <c r="M464" s="659"/>
      <c r="N464" s="659"/>
      <c r="O464" s="659"/>
      <c r="P464" s="659"/>
    </row>
    <row r="465" spans="2:16" x14ac:dyDescent="0.2">
      <c r="B465" s="55"/>
      <c r="C465" s="55"/>
      <c r="D465" s="659"/>
      <c r="E465" s="659"/>
      <c r="F465" s="659"/>
      <c r="G465" s="659"/>
      <c r="H465" s="659"/>
      <c r="I465" s="659"/>
      <c r="J465" s="659"/>
      <c r="K465" s="659"/>
      <c r="L465" s="659"/>
      <c r="M465" s="659"/>
      <c r="N465" s="659"/>
      <c r="O465" s="659"/>
      <c r="P465" s="659"/>
    </row>
    <row r="466" spans="2:16" x14ac:dyDescent="0.2">
      <c r="B466" s="55"/>
      <c r="C466" s="55"/>
      <c r="D466" s="659"/>
      <c r="E466" s="659"/>
      <c r="F466" s="659"/>
      <c r="G466" s="659"/>
      <c r="H466" s="659"/>
      <c r="I466" s="659"/>
      <c r="J466" s="659"/>
      <c r="K466" s="659"/>
      <c r="L466" s="659"/>
      <c r="M466" s="659"/>
      <c r="N466" s="659"/>
      <c r="O466" s="659"/>
      <c r="P466" s="659"/>
    </row>
    <row r="467" spans="2:16" x14ac:dyDescent="0.2">
      <c r="B467" s="55"/>
      <c r="C467" s="55"/>
      <c r="D467" s="659"/>
      <c r="E467" s="659"/>
      <c r="F467" s="659"/>
      <c r="G467" s="659"/>
      <c r="H467" s="659"/>
      <c r="I467" s="659"/>
      <c r="J467" s="659"/>
      <c r="K467" s="659"/>
      <c r="L467" s="659"/>
      <c r="M467" s="659"/>
      <c r="N467" s="659"/>
      <c r="O467" s="659"/>
      <c r="P467" s="659"/>
    </row>
    <row r="468" spans="2:16" x14ac:dyDescent="0.2">
      <c r="B468" s="55"/>
      <c r="C468" s="55"/>
      <c r="D468" s="659"/>
      <c r="E468" s="659"/>
      <c r="F468" s="659"/>
      <c r="G468" s="659"/>
      <c r="H468" s="659"/>
      <c r="I468" s="659"/>
      <c r="J468" s="659"/>
      <c r="K468" s="659"/>
      <c r="L468" s="659"/>
      <c r="M468" s="659"/>
      <c r="N468" s="659"/>
      <c r="O468" s="659"/>
      <c r="P468" s="659"/>
    </row>
    <row r="469" spans="2:16" x14ac:dyDescent="0.2">
      <c r="B469" s="55"/>
      <c r="C469" s="55"/>
      <c r="D469" s="659"/>
      <c r="E469" s="659"/>
      <c r="F469" s="659"/>
      <c r="G469" s="659"/>
      <c r="H469" s="659"/>
      <c r="I469" s="659"/>
      <c r="J469" s="659"/>
      <c r="K469" s="659"/>
      <c r="L469" s="659"/>
      <c r="M469" s="659"/>
      <c r="N469" s="659"/>
      <c r="O469" s="659"/>
      <c r="P469" s="659"/>
    </row>
    <row r="470" spans="2:16" x14ac:dyDescent="0.2">
      <c r="B470" s="55"/>
      <c r="C470" s="55"/>
      <c r="D470" s="659"/>
      <c r="E470" s="659"/>
      <c r="F470" s="659"/>
      <c r="G470" s="659"/>
      <c r="H470" s="659"/>
      <c r="I470" s="659"/>
      <c r="J470" s="659"/>
      <c r="K470" s="659"/>
      <c r="L470" s="659"/>
      <c r="M470" s="659"/>
      <c r="N470" s="659"/>
      <c r="O470" s="659"/>
      <c r="P470" s="659"/>
    </row>
    <row r="471" spans="2:16" x14ac:dyDescent="0.2">
      <c r="B471" s="55"/>
      <c r="C471" s="55"/>
      <c r="D471" s="659"/>
      <c r="E471" s="659"/>
      <c r="F471" s="659"/>
      <c r="G471" s="659"/>
      <c r="H471" s="659"/>
      <c r="I471" s="659"/>
      <c r="J471" s="659"/>
      <c r="K471" s="659"/>
      <c r="L471" s="659"/>
      <c r="M471" s="659"/>
      <c r="N471" s="659"/>
      <c r="O471" s="659"/>
      <c r="P471" s="659"/>
    </row>
    <row r="472" spans="2:16" x14ac:dyDescent="0.2">
      <c r="B472" s="55"/>
      <c r="C472" s="55"/>
      <c r="D472" s="659"/>
      <c r="E472" s="659"/>
      <c r="F472" s="659"/>
      <c r="G472" s="659"/>
      <c r="H472" s="659"/>
      <c r="I472" s="659"/>
      <c r="J472" s="659"/>
      <c r="K472" s="659"/>
      <c r="L472" s="659"/>
      <c r="M472" s="659"/>
      <c r="N472" s="659"/>
      <c r="O472" s="659"/>
      <c r="P472" s="659"/>
    </row>
    <row r="473" spans="2:16" x14ac:dyDescent="0.2">
      <c r="B473" s="55"/>
      <c r="C473" s="55"/>
      <c r="D473" s="659"/>
      <c r="E473" s="659"/>
      <c r="F473" s="659"/>
      <c r="G473" s="659"/>
      <c r="H473" s="659"/>
      <c r="I473" s="659"/>
      <c r="J473" s="659"/>
      <c r="K473" s="659"/>
      <c r="L473" s="659"/>
      <c r="M473" s="659"/>
      <c r="N473" s="659"/>
      <c r="O473" s="659"/>
      <c r="P473" s="659"/>
    </row>
    <row r="474" spans="2:16" x14ac:dyDescent="0.2">
      <c r="B474" s="55"/>
      <c r="C474" s="55"/>
      <c r="D474" s="659"/>
      <c r="E474" s="659"/>
      <c r="F474" s="659"/>
      <c r="G474" s="659"/>
      <c r="H474" s="659"/>
      <c r="I474" s="659"/>
      <c r="J474" s="659"/>
      <c r="K474" s="659"/>
      <c r="L474" s="659"/>
      <c r="M474" s="659"/>
      <c r="N474" s="659"/>
      <c r="O474" s="659"/>
      <c r="P474" s="659"/>
    </row>
    <row r="475" spans="2:16" x14ac:dyDescent="0.2">
      <c r="B475" s="55"/>
      <c r="C475" s="55"/>
      <c r="D475" s="659"/>
      <c r="E475" s="659"/>
      <c r="F475" s="659"/>
      <c r="G475" s="659"/>
      <c r="H475" s="659"/>
      <c r="I475" s="659"/>
      <c r="J475" s="659"/>
      <c r="K475" s="659"/>
      <c r="L475" s="659"/>
      <c r="M475" s="659"/>
      <c r="N475" s="659"/>
      <c r="O475" s="659"/>
      <c r="P475" s="659"/>
    </row>
    <row r="476" spans="2:16" x14ac:dyDescent="0.2">
      <c r="B476" s="55"/>
      <c r="C476" s="55"/>
      <c r="D476" s="659"/>
      <c r="E476" s="659"/>
      <c r="F476" s="659"/>
      <c r="G476" s="659"/>
      <c r="H476" s="659"/>
      <c r="I476" s="659"/>
      <c r="J476" s="659"/>
      <c r="K476" s="659"/>
      <c r="L476" s="659"/>
      <c r="M476" s="659"/>
      <c r="N476" s="659"/>
      <c r="O476" s="659"/>
      <c r="P476" s="659"/>
    </row>
    <row r="477" spans="2:16" x14ac:dyDescent="0.2">
      <c r="B477" s="55"/>
      <c r="C477" s="55"/>
      <c r="D477" s="659"/>
      <c r="E477" s="659"/>
      <c r="F477" s="659"/>
      <c r="G477" s="659"/>
      <c r="H477" s="659"/>
      <c r="I477" s="659"/>
      <c r="J477" s="659"/>
      <c r="K477" s="659"/>
      <c r="L477" s="659"/>
      <c r="M477" s="659"/>
      <c r="N477" s="659"/>
      <c r="O477" s="659"/>
      <c r="P477" s="659"/>
    </row>
    <row r="478" spans="2:16" x14ac:dyDescent="0.2">
      <c r="B478" s="55"/>
      <c r="C478" s="55"/>
      <c r="D478" s="659"/>
      <c r="E478" s="659"/>
      <c r="F478" s="659"/>
      <c r="G478" s="659"/>
      <c r="H478" s="659"/>
      <c r="I478" s="659"/>
      <c r="J478" s="659"/>
      <c r="K478" s="659"/>
      <c r="L478" s="659"/>
      <c r="M478" s="659"/>
      <c r="N478" s="659"/>
      <c r="O478" s="659"/>
      <c r="P478" s="659"/>
    </row>
    <row r="479" spans="2:16" x14ac:dyDescent="0.2">
      <c r="B479" s="55"/>
      <c r="C479" s="55"/>
      <c r="D479" s="659"/>
      <c r="E479" s="659"/>
      <c r="F479" s="659"/>
      <c r="G479" s="659"/>
      <c r="H479" s="659"/>
      <c r="I479" s="659"/>
      <c r="J479" s="659"/>
      <c r="K479" s="659"/>
      <c r="L479" s="659"/>
      <c r="M479" s="659"/>
      <c r="N479" s="659"/>
      <c r="O479" s="659"/>
      <c r="P479" s="659"/>
    </row>
    <row r="480" spans="2:16" x14ac:dyDescent="0.2">
      <c r="B480" s="55"/>
      <c r="C480" s="55"/>
      <c r="D480" s="659"/>
      <c r="E480" s="659"/>
      <c r="F480" s="659"/>
      <c r="G480" s="659"/>
      <c r="H480" s="659"/>
      <c r="I480" s="659"/>
      <c r="J480" s="659"/>
      <c r="K480" s="659"/>
      <c r="L480" s="659"/>
      <c r="M480" s="659"/>
      <c r="N480" s="659"/>
      <c r="O480" s="659"/>
      <c r="P480" s="659"/>
    </row>
    <row r="481" spans="2:16" x14ac:dyDescent="0.2">
      <c r="B481" s="55"/>
      <c r="C481" s="55"/>
      <c r="D481" s="659"/>
      <c r="E481" s="659"/>
      <c r="F481" s="659"/>
      <c r="G481" s="659"/>
      <c r="H481" s="659"/>
      <c r="I481" s="659"/>
      <c r="J481" s="659"/>
      <c r="K481" s="659"/>
      <c r="L481" s="659"/>
      <c r="M481" s="659"/>
      <c r="N481" s="659"/>
      <c r="O481" s="659"/>
      <c r="P481" s="659"/>
    </row>
    <row r="482" spans="2:16" x14ac:dyDescent="0.2">
      <c r="B482" s="55"/>
      <c r="C482" s="55"/>
      <c r="D482" s="659"/>
      <c r="E482" s="659"/>
      <c r="F482" s="659"/>
      <c r="G482" s="659"/>
      <c r="H482" s="659"/>
      <c r="I482" s="659"/>
      <c r="J482" s="659"/>
      <c r="K482" s="659"/>
      <c r="L482" s="659"/>
      <c r="M482" s="659"/>
      <c r="N482" s="659"/>
      <c r="O482" s="659"/>
      <c r="P482" s="659"/>
    </row>
    <row r="483" spans="2:16" x14ac:dyDescent="0.2">
      <c r="B483" s="55"/>
      <c r="C483" s="55"/>
      <c r="D483" s="659"/>
      <c r="E483" s="659"/>
      <c r="F483" s="659"/>
      <c r="G483" s="659"/>
      <c r="H483" s="659"/>
      <c r="I483" s="659"/>
      <c r="J483" s="659"/>
      <c r="K483" s="659"/>
      <c r="L483" s="659"/>
      <c r="M483" s="659"/>
      <c r="N483" s="659"/>
      <c r="O483" s="659"/>
      <c r="P483" s="659"/>
    </row>
    <row r="484" spans="2:16" x14ac:dyDescent="0.2">
      <c r="B484" s="55"/>
      <c r="C484" s="55"/>
      <c r="D484" s="659"/>
      <c r="E484" s="659"/>
      <c r="F484" s="659"/>
      <c r="G484" s="659"/>
      <c r="H484" s="659"/>
      <c r="I484" s="659"/>
      <c r="J484" s="659"/>
      <c r="K484" s="659"/>
      <c r="L484" s="659"/>
      <c r="M484" s="659"/>
      <c r="N484" s="659"/>
      <c r="O484" s="659"/>
      <c r="P484" s="659"/>
    </row>
    <row r="485" spans="2:16" x14ac:dyDescent="0.2">
      <c r="B485" s="55"/>
      <c r="C485" s="55"/>
      <c r="D485" s="659"/>
      <c r="E485" s="659"/>
      <c r="F485" s="659"/>
      <c r="G485" s="659"/>
      <c r="H485" s="659"/>
      <c r="I485" s="659"/>
      <c r="J485" s="659"/>
      <c r="K485" s="659"/>
      <c r="L485" s="659"/>
      <c r="M485" s="659"/>
      <c r="N485" s="659"/>
      <c r="O485" s="659"/>
      <c r="P485" s="659"/>
    </row>
    <row r="486" spans="2:16" x14ac:dyDescent="0.2">
      <c r="B486" s="55"/>
      <c r="C486" s="55"/>
      <c r="D486" s="659"/>
      <c r="E486" s="659"/>
      <c r="F486" s="659"/>
      <c r="G486" s="659"/>
      <c r="H486" s="659"/>
      <c r="I486" s="659"/>
      <c r="J486" s="659"/>
      <c r="K486" s="659"/>
      <c r="L486" s="659"/>
      <c r="M486" s="659"/>
      <c r="N486" s="659"/>
      <c r="O486" s="659"/>
      <c r="P486" s="659"/>
    </row>
    <row r="487" spans="2:16" x14ac:dyDescent="0.2">
      <c r="B487" s="55"/>
      <c r="C487" s="55"/>
      <c r="D487" s="659"/>
      <c r="E487" s="659"/>
      <c r="F487" s="659"/>
      <c r="G487" s="659"/>
      <c r="H487" s="659"/>
      <c r="I487" s="659"/>
      <c r="J487" s="659"/>
      <c r="K487" s="659"/>
      <c r="L487" s="659"/>
      <c r="M487" s="659"/>
      <c r="N487" s="659"/>
      <c r="O487" s="659"/>
      <c r="P487" s="659"/>
    </row>
    <row r="488" spans="2:16" x14ac:dyDescent="0.2">
      <c r="B488" s="55"/>
      <c r="C488" s="55"/>
      <c r="D488" s="659"/>
      <c r="E488" s="659"/>
      <c r="F488" s="659"/>
      <c r="G488" s="659"/>
      <c r="H488" s="659"/>
      <c r="I488" s="659"/>
      <c r="J488" s="659"/>
      <c r="K488" s="659"/>
      <c r="L488" s="659"/>
      <c r="M488" s="659"/>
      <c r="N488" s="659"/>
      <c r="O488" s="659"/>
      <c r="P488" s="659"/>
    </row>
    <row r="489" spans="2:16" x14ac:dyDescent="0.2">
      <c r="B489" s="55"/>
      <c r="C489" s="55"/>
      <c r="D489" s="659"/>
      <c r="E489" s="659"/>
      <c r="F489" s="659"/>
      <c r="G489" s="659"/>
      <c r="H489" s="659"/>
      <c r="I489" s="659"/>
      <c r="J489" s="659"/>
      <c r="K489" s="659"/>
      <c r="L489" s="659"/>
      <c r="M489" s="659"/>
      <c r="N489" s="659"/>
      <c r="O489" s="659"/>
      <c r="P489" s="659"/>
    </row>
    <row r="490" spans="2:16" x14ac:dyDescent="0.2">
      <c r="B490" s="55"/>
      <c r="C490" s="55"/>
      <c r="D490" s="659"/>
      <c r="E490" s="659"/>
      <c r="F490" s="659"/>
      <c r="G490" s="659"/>
      <c r="H490" s="659"/>
      <c r="I490" s="659"/>
      <c r="J490" s="659"/>
      <c r="K490" s="659"/>
      <c r="L490" s="659"/>
      <c r="M490" s="659"/>
      <c r="N490" s="659"/>
      <c r="O490" s="659"/>
      <c r="P490" s="659"/>
    </row>
    <row r="491" spans="2:16" x14ac:dyDescent="0.2">
      <c r="B491" s="55"/>
      <c r="C491" s="55"/>
      <c r="D491" s="659"/>
      <c r="E491" s="659"/>
      <c r="F491" s="659"/>
      <c r="G491" s="659"/>
      <c r="H491" s="659"/>
      <c r="I491" s="659"/>
      <c r="J491" s="659"/>
      <c r="K491" s="659"/>
      <c r="L491" s="659"/>
      <c r="M491" s="659"/>
      <c r="N491" s="659"/>
      <c r="O491" s="659"/>
      <c r="P491" s="659"/>
    </row>
    <row r="492" spans="2:16" x14ac:dyDescent="0.2">
      <c r="B492" s="55"/>
      <c r="C492" s="55"/>
      <c r="D492" s="659"/>
      <c r="E492" s="659"/>
      <c r="F492" s="659"/>
      <c r="G492" s="659"/>
      <c r="H492" s="659"/>
      <c r="I492" s="659"/>
      <c r="J492" s="659"/>
      <c r="K492" s="659"/>
      <c r="L492" s="659"/>
      <c r="M492" s="659"/>
      <c r="N492" s="659"/>
      <c r="O492" s="659"/>
      <c r="P492" s="659"/>
    </row>
    <row r="493" spans="2:16" x14ac:dyDescent="0.2">
      <c r="B493" s="55"/>
      <c r="C493" s="55"/>
      <c r="D493" s="659"/>
      <c r="E493" s="659"/>
      <c r="F493" s="659"/>
      <c r="G493" s="659"/>
      <c r="H493" s="659"/>
      <c r="I493" s="659"/>
      <c r="J493" s="659"/>
      <c r="K493" s="659"/>
      <c r="L493" s="659"/>
      <c r="M493" s="659"/>
      <c r="N493" s="659"/>
      <c r="O493" s="659"/>
      <c r="P493" s="659"/>
    </row>
    <row r="494" spans="2:16" x14ac:dyDescent="0.2">
      <c r="B494" s="55"/>
      <c r="C494" s="55"/>
      <c r="D494" s="659"/>
      <c r="E494" s="659"/>
      <c r="F494" s="659"/>
      <c r="G494" s="659"/>
      <c r="H494" s="659"/>
      <c r="I494" s="659"/>
      <c r="J494" s="659"/>
      <c r="K494" s="659"/>
      <c r="L494" s="659"/>
      <c r="M494" s="659"/>
      <c r="N494" s="659"/>
      <c r="O494" s="659"/>
      <c r="P494" s="659"/>
    </row>
    <row r="495" spans="2:16" x14ac:dyDescent="0.2">
      <c r="B495" s="55"/>
      <c r="C495" s="55"/>
      <c r="D495" s="659"/>
      <c r="E495" s="659"/>
      <c r="F495" s="659"/>
      <c r="G495" s="659"/>
      <c r="H495" s="659"/>
      <c r="I495" s="659"/>
      <c r="J495" s="659"/>
      <c r="K495" s="659"/>
      <c r="L495" s="659"/>
      <c r="M495" s="659"/>
      <c r="N495" s="659"/>
      <c r="O495" s="659"/>
      <c r="P495" s="659"/>
    </row>
    <row r="496" spans="2:16" x14ac:dyDescent="0.2">
      <c r="B496" s="55"/>
      <c r="C496" s="55"/>
      <c r="D496" s="659"/>
      <c r="E496" s="659"/>
      <c r="F496" s="659"/>
      <c r="G496" s="659"/>
      <c r="H496" s="659"/>
      <c r="I496" s="659"/>
      <c r="J496" s="659"/>
      <c r="K496" s="659"/>
      <c r="L496" s="659"/>
      <c r="M496" s="659"/>
      <c r="N496" s="659"/>
      <c r="O496" s="659"/>
      <c r="P496" s="659"/>
    </row>
    <row r="497" spans="2:16" x14ac:dyDescent="0.2">
      <c r="B497" s="55"/>
      <c r="C497" s="55"/>
      <c r="D497" s="659"/>
      <c r="E497" s="659"/>
      <c r="F497" s="659"/>
      <c r="G497" s="659"/>
      <c r="H497" s="659"/>
      <c r="I497" s="659"/>
      <c r="J497" s="659"/>
      <c r="K497" s="659"/>
      <c r="L497" s="659"/>
      <c r="M497" s="659"/>
      <c r="N497" s="659"/>
      <c r="O497" s="659"/>
      <c r="P497" s="659"/>
    </row>
    <row r="498" spans="2:16" x14ac:dyDescent="0.2">
      <c r="B498" s="55"/>
      <c r="C498" s="55"/>
      <c r="D498" s="659"/>
      <c r="E498" s="659"/>
      <c r="F498" s="659"/>
      <c r="G498" s="659"/>
      <c r="H498" s="659"/>
      <c r="I498" s="659"/>
      <c r="J498" s="659"/>
      <c r="K498" s="659"/>
      <c r="L498" s="659"/>
      <c r="M498" s="659"/>
      <c r="N498" s="659"/>
      <c r="O498" s="659"/>
      <c r="P498" s="659"/>
    </row>
    <row r="499" spans="2:16" x14ac:dyDescent="0.2">
      <c r="B499" s="55"/>
      <c r="C499" s="55"/>
      <c r="D499" s="659"/>
      <c r="E499" s="659"/>
      <c r="F499" s="659"/>
      <c r="G499" s="659"/>
      <c r="H499" s="659"/>
      <c r="I499" s="659"/>
      <c r="J499" s="659"/>
      <c r="K499" s="659"/>
      <c r="L499" s="659"/>
      <c r="M499" s="659"/>
      <c r="N499" s="659"/>
      <c r="O499" s="659"/>
      <c r="P499" s="659"/>
    </row>
    <row r="500" spans="2:16" x14ac:dyDescent="0.2">
      <c r="B500" s="55"/>
      <c r="C500" s="55"/>
      <c r="D500" s="659"/>
      <c r="E500" s="659"/>
      <c r="F500" s="659"/>
      <c r="G500" s="659"/>
      <c r="H500" s="659"/>
      <c r="I500" s="659"/>
      <c r="J500" s="659"/>
      <c r="K500" s="659"/>
      <c r="L500" s="659"/>
      <c r="M500" s="659"/>
      <c r="N500" s="659"/>
      <c r="O500" s="659"/>
      <c r="P500" s="659"/>
    </row>
    <row r="501" spans="2:16" x14ac:dyDescent="0.2">
      <c r="B501" s="55"/>
      <c r="C501" s="55"/>
      <c r="D501" s="659"/>
      <c r="E501" s="659"/>
      <c r="F501" s="659"/>
      <c r="G501" s="659"/>
      <c r="H501" s="659"/>
      <c r="I501" s="659"/>
      <c r="J501" s="659"/>
      <c r="K501" s="659"/>
      <c r="L501" s="659"/>
      <c r="M501" s="659"/>
      <c r="N501" s="659"/>
      <c r="O501" s="659"/>
      <c r="P501" s="659"/>
    </row>
    <row r="502" spans="2:16" x14ac:dyDescent="0.2">
      <c r="B502" s="55"/>
      <c r="C502" s="55"/>
      <c r="D502" s="659"/>
      <c r="E502" s="659"/>
      <c r="F502" s="659"/>
      <c r="G502" s="659"/>
      <c r="H502" s="659"/>
      <c r="I502" s="659"/>
      <c r="J502" s="659"/>
      <c r="K502" s="659"/>
      <c r="L502" s="659"/>
      <c r="M502" s="659"/>
      <c r="N502" s="659"/>
      <c r="O502" s="659"/>
      <c r="P502" s="659"/>
    </row>
    <row r="503" spans="2:16" x14ac:dyDescent="0.2">
      <c r="B503" s="55"/>
      <c r="C503" s="55"/>
      <c r="D503" s="659"/>
      <c r="E503" s="659"/>
      <c r="F503" s="659"/>
      <c r="G503" s="659"/>
      <c r="H503" s="659"/>
      <c r="I503" s="659"/>
      <c r="J503" s="659"/>
      <c r="K503" s="659"/>
      <c r="L503" s="659"/>
      <c r="M503" s="659"/>
      <c r="N503" s="659"/>
      <c r="O503" s="659"/>
      <c r="P503" s="659"/>
    </row>
    <row r="504" spans="2:16" x14ac:dyDescent="0.2">
      <c r="B504" s="55"/>
      <c r="C504" s="55"/>
      <c r="D504" s="659"/>
      <c r="E504" s="659"/>
      <c r="F504" s="659"/>
      <c r="G504" s="659"/>
      <c r="H504" s="659"/>
      <c r="I504" s="659"/>
      <c r="J504" s="659"/>
      <c r="K504" s="659"/>
      <c r="L504" s="659"/>
      <c r="M504" s="659"/>
      <c r="N504" s="659"/>
      <c r="O504" s="659"/>
      <c r="P504" s="659"/>
    </row>
    <row r="505" spans="2:16" x14ac:dyDescent="0.2">
      <c r="B505" s="55"/>
      <c r="C505" s="55"/>
      <c r="D505" s="659"/>
      <c r="E505" s="659"/>
      <c r="F505" s="659"/>
      <c r="G505" s="659"/>
      <c r="H505" s="659"/>
      <c r="I505" s="659"/>
      <c r="J505" s="659"/>
      <c r="K505" s="659"/>
      <c r="L505" s="659"/>
      <c r="M505" s="659"/>
      <c r="N505" s="659"/>
      <c r="O505" s="659"/>
      <c r="P505" s="659"/>
    </row>
    <row r="506" spans="2:16" x14ac:dyDescent="0.2">
      <c r="B506" s="55"/>
      <c r="C506" s="55"/>
      <c r="D506" s="659"/>
      <c r="E506" s="659"/>
      <c r="F506" s="659"/>
      <c r="G506" s="659"/>
      <c r="H506" s="659"/>
      <c r="I506" s="659"/>
      <c r="J506" s="659"/>
      <c r="K506" s="659"/>
      <c r="L506" s="659"/>
      <c r="M506" s="659"/>
      <c r="N506" s="659"/>
      <c r="O506" s="659"/>
      <c r="P506" s="659"/>
    </row>
    <row r="507" spans="2:16" x14ac:dyDescent="0.2">
      <c r="B507" s="55"/>
      <c r="C507" s="55"/>
      <c r="D507" s="659"/>
      <c r="E507" s="659"/>
      <c r="F507" s="659"/>
      <c r="G507" s="659"/>
      <c r="H507" s="659"/>
      <c r="I507" s="659"/>
      <c r="J507" s="659"/>
      <c r="K507" s="659"/>
      <c r="L507" s="659"/>
      <c r="M507" s="659"/>
      <c r="N507" s="659"/>
      <c r="O507" s="659"/>
      <c r="P507" s="659"/>
    </row>
    <row r="508" spans="2:16" x14ac:dyDescent="0.2">
      <c r="B508" s="55"/>
      <c r="C508" s="55"/>
      <c r="D508" s="659"/>
      <c r="E508" s="659"/>
      <c r="F508" s="659"/>
      <c r="G508" s="659"/>
      <c r="H508" s="659"/>
      <c r="I508" s="659"/>
      <c r="J508" s="659"/>
      <c r="K508" s="659"/>
      <c r="L508" s="659"/>
      <c r="M508" s="659"/>
      <c r="N508" s="659"/>
      <c r="O508" s="659"/>
      <c r="P508" s="659"/>
    </row>
    <row r="509" spans="2:16" x14ac:dyDescent="0.2">
      <c r="B509" s="55"/>
      <c r="C509" s="55"/>
      <c r="D509" s="659"/>
      <c r="E509" s="659"/>
      <c r="F509" s="659"/>
      <c r="G509" s="659"/>
      <c r="H509" s="659"/>
      <c r="I509" s="659"/>
      <c r="J509" s="659"/>
      <c r="K509" s="659"/>
      <c r="L509" s="659"/>
      <c r="M509" s="659"/>
      <c r="N509" s="659"/>
      <c r="O509" s="659"/>
      <c r="P509" s="659"/>
    </row>
    <row r="510" spans="2:16" x14ac:dyDescent="0.2">
      <c r="B510" s="55"/>
      <c r="C510" s="55"/>
      <c r="D510" s="659"/>
      <c r="E510" s="659"/>
      <c r="F510" s="659"/>
      <c r="G510" s="659"/>
      <c r="H510" s="659"/>
      <c r="I510" s="659"/>
      <c r="J510" s="659"/>
      <c r="K510" s="659"/>
      <c r="L510" s="659"/>
      <c r="M510" s="659"/>
      <c r="N510" s="659"/>
      <c r="O510" s="659"/>
      <c r="P510" s="659"/>
    </row>
    <row r="511" spans="2:16" x14ac:dyDescent="0.2">
      <c r="B511" s="55"/>
      <c r="C511" s="55"/>
      <c r="D511" s="659"/>
      <c r="E511" s="659"/>
      <c r="F511" s="659"/>
      <c r="G511" s="659"/>
      <c r="H511" s="659"/>
      <c r="I511" s="659"/>
      <c r="J511" s="659"/>
      <c r="K511" s="659"/>
      <c r="L511" s="659"/>
      <c r="M511" s="659"/>
      <c r="N511" s="659"/>
      <c r="O511" s="659"/>
      <c r="P511" s="659"/>
    </row>
    <row r="512" spans="2:16" x14ac:dyDescent="0.2">
      <c r="B512" s="55"/>
      <c r="C512" s="55"/>
      <c r="D512" s="659"/>
      <c r="E512" s="659"/>
      <c r="F512" s="659"/>
      <c r="G512" s="659"/>
      <c r="H512" s="659"/>
      <c r="I512" s="659"/>
      <c r="J512" s="659"/>
      <c r="K512" s="659"/>
      <c r="L512" s="659"/>
      <c r="M512" s="659"/>
      <c r="N512" s="659"/>
      <c r="O512" s="659"/>
      <c r="P512" s="659"/>
    </row>
    <row r="513" spans="2:16" x14ac:dyDescent="0.2">
      <c r="B513" s="55"/>
      <c r="C513" s="55"/>
      <c r="D513" s="659"/>
      <c r="E513" s="659"/>
      <c r="F513" s="659"/>
      <c r="G513" s="659"/>
      <c r="H513" s="659"/>
      <c r="I513" s="659"/>
      <c r="J513" s="659"/>
      <c r="K513" s="659"/>
      <c r="L513" s="659"/>
      <c r="M513" s="659"/>
      <c r="N513" s="659"/>
      <c r="O513" s="659"/>
      <c r="P513" s="659"/>
    </row>
    <row r="514" spans="2:16" x14ac:dyDescent="0.2">
      <c r="B514" s="55"/>
      <c r="C514" s="55"/>
      <c r="D514" s="659"/>
      <c r="E514" s="659"/>
      <c r="F514" s="659"/>
      <c r="G514" s="659"/>
      <c r="H514" s="659"/>
      <c r="I514" s="659"/>
      <c r="J514" s="659"/>
      <c r="K514" s="659"/>
      <c r="L514" s="659"/>
      <c r="M514" s="659"/>
      <c r="N514" s="659"/>
      <c r="O514" s="659"/>
      <c r="P514" s="659"/>
    </row>
    <row r="515" spans="2:16" x14ac:dyDescent="0.2">
      <c r="B515" s="55"/>
      <c r="C515" s="55"/>
      <c r="D515" s="659"/>
      <c r="E515" s="659"/>
      <c r="F515" s="659"/>
      <c r="G515" s="659"/>
      <c r="H515" s="659"/>
      <c r="I515" s="659"/>
      <c r="J515" s="659"/>
      <c r="K515" s="659"/>
      <c r="L515" s="659"/>
      <c r="M515" s="659"/>
      <c r="N515" s="659"/>
      <c r="O515" s="659"/>
      <c r="P515" s="659"/>
    </row>
    <row r="516" spans="2:16" x14ac:dyDescent="0.2">
      <c r="B516" s="55"/>
      <c r="C516" s="55"/>
      <c r="D516" s="659"/>
      <c r="E516" s="659"/>
      <c r="F516" s="659"/>
      <c r="G516" s="659"/>
      <c r="H516" s="659"/>
      <c r="I516" s="659"/>
      <c r="J516" s="659"/>
      <c r="K516" s="659"/>
      <c r="L516" s="659"/>
      <c r="M516" s="659"/>
      <c r="N516" s="659"/>
      <c r="O516" s="659"/>
      <c r="P516" s="659"/>
    </row>
    <row r="517" spans="2:16" x14ac:dyDescent="0.2">
      <c r="B517" s="55"/>
      <c r="C517" s="55"/>
      <c r="D517" s="659"/>
      <c r="E517" s="659"/>
      <c r="F517" s="659"/>
      <c r="G517" s="659"/>
      <c r="H517" s="659"/>
      <c r="I517" s="659"/>
      <c r="J517" s="659"/>
      <c r="K517" s="659"/>
      <c r="L517" s="659"/>
      <c r="M517" s="659"/>
      <c r="N517" s="659"/>
      <c r="O517" s="659"/>
      <c r="P517" s="659"/>
    </row>
    <row r="518" spans="2:16" x14ac:dyDescent="0.2">
      <c r="B518" s="55"/>
      <c r="C518" s="55"/>
      <c r="D518" s="659"/>
      <c r="E518" s="659"/>
      <c r="F518" s="659"/>
      <c r="G518" s="659"/>
      <c r="H518" s="659"/>
      <c r="I518" s="659"/>
      <c r="J518" s="659"/>
      <c r="K518" s="659"/>
      <c r="L518" s="659"/>
      <c r="M518" s="659"/>
      <c r="N518" s="659"/>
      <c r="O518" s="659"/>
      <c r="P518" s="659"/>
    </row>
    <row r="519" spans="2:16" x14ac:dyDescent="0.2">
      <c r="B519" s="55"/>
      <c r="C519" s="55"/>
      <c r="D519" s="659"/>
      <c r="E519" s="659"/>
      <c r="F519" s="659"/>
      <c r="G519" s="659"/>
      <c r="H519" s="659"/>
      <c r="I519" s="659"/>
      <c r="J519" s="659"/>
      <c r="K519" s="659"/>
      <c r="L519" s="659"/>
      <c r="M519" s="659"/>
      <c r="N519" s="659"/>
      <c r="O519" s="659"/>
      <c r="P519" s="659"/>
    </row>
    <row r="520" spans="2:16" x14ac:dyDescent="0.2">
      <c r="B520" s="55"/>
      <c r="C520" s="55"/>
      <c r="D520" s="659"/>
      <c r="E520" s="659"/>
      <c r="F520" s="659"/>
      <c r="G520" s="659"/>
      <c r="H520" s="659"/>
      <c r="I520" s="659"/>
      <c r="J520" s="659"/>
      <c r="K520" s="659"/>
      <c r="L520" s="659"/>
      <c r="M520" s="659"/>
      <c r="N520" s="659"/>
      <c r="O520" s="659"/>
      <c r="P520" s="659"/>
    </row>
    <row r="521" spans="2:16" x14ac:dyDescent="0.2">
      <c r="B521" s="55"/>
      <c r="C521" s="55"/>
      <c r="D521" s="659"/>
      <c r="E521" s="659"/>
      <c r="F521" s="659"/>
      <c r="G521" s="659"/>
      <c r="H521" s="659"/>
      <c r="I521" s="659"/>
      <c r="J521" s="659"/>
      <c r="K521" s="659"/>
      <c r="L521" s="659"/>
      <c r="M521" s="659"/>
      <c r="N521" s="659"/>
      <c r="O521" s="659"/>
      <c r="P521" s="659"/>
    </row>
    <row r="522" spans="2:16" x14ac:dyDescent="0.2">
      <c r="B522" s="55"/>
      <c r="C522" s="55"/>
      <c r="D522" s="659"/>
      <c r="E522" s="659"/>
      <c r="F522" s="659"/>
      <c r="G522" s="659"/>
      <c r="H522" s="659"/>
      <c r="I522" s="659"/>
      <c r="J522" s="659"/>
      <c r="K522" s="659"/>
      <c r="L522" s="659"/>
      <c r="M522" s="659"/>
      <c r="N522" s="659"/>
      <c r="O522" s="659"/>
      <c r="P522" s="659"/>
    </row>
    <row r="523" spans="2:16" x14ac:dyDescent="0.2">
      <c r="B523" s="55"/>
      <c r="C523" s="55"/>
      <c r="D523" s="659"/>
      <c r="E523" s="659"/>
      <c r="F523" s="659"/>
      <c r="G523" s="659"/>
      <c r="H523" s="659"/>
      <c r="I523" s="659"/>
      <c r="J523" s="659"/>
      <c r="K523" s="659"/>
      <c r="L523" s="659"/>
      <c r="M523" s="659"/>
      <c r="N523" s="659"/>
      <c r="O523" s="659"/>
      <c r="P523" s="659"/>
    </row>
    <row r="524" spans="2:16" x14ac:dyDescent="0.2">
      <c r="B524" s="55"/>
      <c r="C524" s="55"/>
      <c r="D524" s="659"/>
      <c r="E524" s="659"/>
      <c r="F524" s="659"/>
      <c r="G524" s="659"/>
      <c r="H524" s="659"/>
      <c r="I524" s="659"/>
      <c r="J524" s="659"/>
      <c r="K524" s="659"/>
      <c r="L524" s="659"/>
      <c r="M524" s="659"/>
      <c r="N524" s="659"/>
      <c r="O524" s="659"/>
      <c r="P524" s="659"/>
    </row>
    <row r="525" spans="2:16" x14ac:dyDescent="0.2">
      <c r="B525" s="55"/>
      <c r="C525" s="55"/>
      <c r="D525" s="659"/>
      <c r="E525" s="659"/>
      <c r="F525" s="659"/>
      <c r="G525" s="659"/>
      <c r="H525" s="659"/>
      <c r="I525" s="659"/>
      <c r="J525" s="659"/>
      <c r="K525" s="659"/>
      <c r="L525" s="659"/>
      <c r="M525" s="659"/>
      <c r="N525" s="659"/>
      <c r="O525" s="659"/>
      <c r="P525" s="659"/>
    </row>
    <row r="526" spans="2:16" x14ac:dyDescent="0.2">
      <c r="B526" s="55"/>
      <c r="C526" s="55"/>
      <c r="D526" s="659"/>
      <c r="E526" s="659"/>
      <c r="F526" s="659"/>
      <c r="G526" s="659"/>
      <c r="H526" s="659"/>
      <c r="I526" s="659"/>
      <c r="J526" s="659"/>
      <c r="K526" s="659"/>
      <c r="L526" s="659"/>
      <c r="M526" s="659"/>
      <c r="N526" s="659"/>
      <c r="O526" s="659"/>
      <c r="P526" s="659"/>
    </row>
    <row r="527" spans="2:16" x14ac:dyDescent="0.2">
      <c r="B527" s="55"/>
      <c r="C527" s="55"/>
      <c r="D527" s="659"/>
      <c r="E527" s="659"/>
      <c r="F527" s="659"/>
      <c r="G527" s="659"/>
      <c r="H527" s="659"/>
      <c r="I527" s="659"/>
      <c r="J527" s="659"/>
      <c r="K527" s="659"/>
      <c r="L527" s="659"/>
      <c r="M527" s="659"/>
      <c r="N527" s="659"/>
      <c r="O527" s="659"/>
      <c r="P527" s="659"/>
    </row>
    <row r="528" spans="2:16" x14ac:dyDescent="0.2">
      <c r="B528" s="55"/>
      <c r="C528" s="55"/>
      <c r="D528" s="659"/>
      <c r="E528" s="659"/>
      <c r="F528" s="659"/>
      <c r="G528" s="659"/>
      <c r="H528" s="659"/>
      <c r="I528" s="659"/>
      <c r="J528" s="659"/>
      <c r="K528" s="659"/>
      <c r="L528" s="659"/>
      <c r="M528" s="659"/>
      <c r="N528" s="659"/>
      <c r="O528" s="659"/>
      <c r="P528" s="659"/>
    </row>
    <row r="529" spans="2:16" x14ac:dyDescent="0.2">
      <c r="B529" s="55"/>
      <c r="C529" s="55"/>
      <c r="D529" s="659"/>
      <c r="E529" s="659"/>
      <c r="F529" s="659"/>
      <c r="G529" s="659"/>
      <c r="H529" s="659"/>
      <c r="I529" s="659"/>
      <c r="J529" s="659"/>
      <c r="K529" s="659"/>
      <c r="L529" s="659"/>
      <c r="M529" s="659"/>
      <c r="N529" s="659"/>
      <c r="O529" s="659"/>
      <c r="P529" s="659"/>
    </row>
    <row r="530" spans="2:16" x14ac:dyDescent="0.2">
      <c r="B530" s="55"/>
      <c r="C530" s="55"/>
      <c r="D530" s="659"/>
      <c r="E530" s="659"/>
      <c r="F530" s="659"/>
      <c r="G530" s="659"/>
      <c r="H530" s="659"/>
      <c r="I530" s="659"/>
      <c r="J530" s="659"/>
      <c r="K530" s="659"/>
      <c r="L530" s="659"/>
      <c r="M530" s="659"/>
      <c r="N530" s="659"/>
      <c r="O530" s="659"/>
      <c r="P530" s="659"/>
    </row>
    <row r="531" spans="2:16" x14ac:dyDescent="0.2">
      <c r="B531" s="55"/>
      <c r="C531" s="55"/>
      <c r="D531" s="659"/>
      <c r="E531" s="659"/>
      <c r="F531" s="659"/>
      <c r="G531" s="659"/>
      <c r="H531" s="659"/>
      <c r="I531" s="659"/>
      <c r="J531" s="659"/>
      <c r="K531" s="659"/>
      <c r="L531" s="659"/>
      <c r="M531" s="659"/>
      <c r="N531" s="659"/>
      <c r="O531" s="659"/>
      <c r="P531" s="659"/>
    </row>
    <row r="532" spans="2:16" x14ac:dyDescent="0.2">
      <c r="B532" s="55"/>
      <c r="C532" s="55"/>
      <c r="D532" s="659"/>
      <c r="E532" s="659"/>
      <c r="F532" s="659"/>
      <c r="G532" s="659"/>
      <c r="H532" s="659"/>
      <c r="I532" s="659"/>
      <c r="J532" s="659"/>
      <c r="K532" s="659"/>
      <c r="L532" s="659"/>
      <c r="M532" s="659"/>
      <c r="N532" s="659"/>
      <c r="O532" s="659"/>
      <c r="P532" s="659"/>
    </row>
    <row r="533" spans="2:16" x14ac:dyDescent="0.2">
      <c r="B533" s="55"/>
      <c r="C533" s="55"/>
      <c r="D533" s="659"/>
      <c r="E533" s="659"/>
      <c r="F533" s="659"/>
      <c r="G533" s="659"/>
      <c r="H533" s="659"/>
      <c r="I533" s="659"/>
      <c r="J533" s="659"/>
      <c r="K533" s="659"/>
      <c r="L533" s="659"/>
      <c r="M533" s="659"/>
      <c r="N533" s="659"/>
      <c r="O533" s="659"/>
      <c r="P533" s="659"/>
    </row>
    <row r="534" spans="2:16" x14ac:dyDescent="0.2">
      <c r="B534" s="55"/>
      <c r="C534" s="55"/>
      <c r="D534" s="659"/>
      <c r="E534" s="659"/>
      <c r="F534" s="659"/>
      <c r="G534" s="659"/>
      <c r="H534" s="659"/>
      <c r="I534" s="659"/>
      <c r="J534" s="659"/>
      <c r="K534" s="659"/>
      <c r="L534" s="659"/>
      <c r="M534" s="659"/>
      <c r="N534" s="659"/>
      <c r="O534" s="659"/>
      <c r="P534" s="659"/>
    </row>
    <row r="535" spans="2:16" x14ac:dyDescent="0.2">
      <c r="B535" s="55"/>
      <c r="C535" s="55"/>
      <c r="D535" s="659"/>
      <c r="E535" s="659"/>
      <c r="F535" s="659"/>
      <c r="G535" s="659"/>
      <c r="H535" s="659"/>
      <c r="I535" s="659"/>
      <c r="J535" s="659"/>
      <c r="K535" s="659"/>
      <c r="L535" s="659"/>
      <c r="M535" s="659"/>
      <c r="N535" s="659"/>
      <c r="O535" s="659"/>
      <c r="P535" s="659"/>
    </row>
    <row r="536" spans="2:16" x14ac:dyDescent="0.2">
      <c r="B536" s="55"/>
      <c r="C536" s="55"/>
      <c r="D536" s="659"/>
      <c r="E536" s="659"/>
      <c r="F536" s="659"/>
      <c r="G536" s="659"/>
      <c r="H536" s="659"/>
      <c r="I536" s="659"/>
      <c r="J536" s="659"/>
      <c r="K536" s="659"/>
      <c r="L536" s="659"/>
      <c r="M536" s="659"/>
      <c r="N536" s="659"/>
      <c r="O536" s="659"/>
      <c r="P536" s="659"/>
    </row>
    <row r="537" spans="2:16" x14ac:dyDescent="0.2">
      <c r="B537" s="55"/>
      <c r="C537" s="55"/>
      <c r="D537" s="659"/>
      <c r="E537" s="659"/>
      <c r="F537" s="659"/>
      <c r="G537" s="659"/>
      <c r="H537" s="659"/>
      <c r="I537" s="659"/>
      <c r="J537" s="659"/>
      <c r="K537" s="659"/>
      <c r="L537" s="659"/>
      <c r="M537" s="659"/>
      <c r="N537" s="659"/>
      <c r="O537" s="659"/>
      <c r="P537" s="659"/>
    </row>
    <row r="538" spans="2:16" x14ac:dyDescent="0.2">
      <c r="B538" s="55"/>
      <c r="C538" s="55"/>
      <c r="D538" s="659"/>
      <c r="E538" s="659"/>
      <c r="F538" s="659"/>
      <c r="G538" s="659"/>
      <c r="H538" s="659"/>
      <c r="I538" s="659"/>
      <c r="J538" s="659"/>
      <c r="K538" s="659"/>
      <c r="L538" s="659"/>
      <c r="M538" s="659"/>
      <c r="N538" s="659"/>
      <c r="O538" s="659"/>
      <c r="P538" s="659"/>
    </row>
    <row r="539" spans="2:16" x14ac:dyDescent="0.2">
      <c r="B539" s="55"/>
      <c r="C539" s="55"/>
      <c r="D539" s="659"/>
      <c r="E539" s="659"/>
      <c r="F539" s="659"/>
      <c r="G539" s="659"/>
      <c r="H539" s="659"/>
      <c r="I539" s="659"/>
      <c r="J539" s="659"/>
      <c r="K539" s="659"/>
      <c r="L539" s="659"/>
      <c r="M539" s="659"/>
      <c r="N539" s="659"/>
      <c r="O539" s="659"/>
      <c r="P539" s="659"/>
    </row>
    <row r="540" spans="2:16" x14ac:dyDescent="0.2">
      <c r="B540" s="55"/>
      <c r="C540" s="55"/>
      <c r="D540" s="659"/>
      <c r="E540" s="659"/>
      <c r="F540" s="659"/>
      <c r="G540" s="659"/>
      <c r="H540" s="659"/>
      <c r="I540" s="659"/>
      <c r="J540" s="659"/>
      <c r="K540" s="659"/>
      <c r="L540" s="659"/>
      <c r="M540" s="659"/>
      <c r="N540" s="659"/>
      <c r="O540" s="659"/>
      <c r="P540" s="659"/>
    </row>
    <row r="541" spans="2:16" x14ac:dyDescent="0.2">
      <c r="B541" s="55"/>
      <c r="C541" s="55"/>
      <c r="D541" s="659"/>
      <c r="E541" s="659"/>
      <c r="F541" s="659"/>
      <c r="G541" s="659"/>
      <c r="H541" s="659"/>
      <c r="I541" s="659"/>
      <c r="J541" s="659"/>
      <c r="K541" s="659"/>
      <c r="L541" s="659"/>
      <c r="M541" s="659"/>
      <c r="N541" s="659"/>
      <c r="O541" s="659"/>
      <c r="P541" s="659"/>
    </row>
    <row r="542" spans="2:16" x14ac:dyDescent="0.2">
      <c r="B542" s="55"/>
      <c r="C542" s="55"/>
      <c r="D542" s="659"/>
      <c r="E542" s="659"/>
      <c r="F542" s="659"/>
      <c r="G542" s="659"/>
      <c r="H542" s="659"/>
      <c r="I542" s="659"/>
      <c r="J542" s="659"/>
      <c r="K542" s="659"/>
      <c r="L542" s="659"/>
      <c r="M542" s="659"/>
      <c r="N542" s="659"/>
      <c r="O542" s="659"/>
      <c r="P542" s="659"/>
    </row>
    <row r="543" spans="2:16" x14ac:dyDescent="0.2">
      <c r="B543" s="55"/>
      <c r="C543" s="55"/>
      <c r="D543" s="659"/>
      <c r="E543" s="659"/>
      <c r="F543" s="659"/>
      <c r="G543" s="659"/>
      <c r="H543" s="659"/>
      <c r="I543" s="659"/>
      <c r="J543" s="659"/>
      <c r="K543" s="659"/>
      <c r="L543" s="659"/>
      <c r="M543" s="659"/>
      <c r="N543" s="659"/>
      <c r="O543" s="659"/>
      <c r="P543" s="659"/>
    </row>
    <row r="544" spans="2:16" x14ac:dyDescent="0.2">
      <c r="B544" s="55"/>
      <c r="C544" s="55"/>
      <c r="D544" s="659"/>
      <c r="E544" s="659"/>
      <c r="F544" s="659"/>
      <c r="G544" s="659"/>
      <c r="H544" s="659"/>
      <c r="I544" s="659"/>
      <c r="J544" s="659"/>
      <c r="K544" s="659"/>
      <c r="L544" s="659"/>
      <c r="M544" s="659"/>
      <c r="N544" s="659"/>
      <c r="O544" s="659"/>
      <c r="P544" s="659"/>
    </row>
    <row r="545" spans="2:16" x14ac:dyDescent="0.2">
      <c r="B545" s="55"/>
      <c r="C545" s="55"/>
      <c r="D545" s="659"/>
      <c r="E545" s="659"/>
      <c r="F545" s="659"/>
      <c r="G545" s="659"/>
      <c r="H545" s="659"/>
      <c r="I545" s="659"/>
      <c r="J545" s="659"/>
      <c r="K545" s="659"/>
      <c r="L545" s="659"/>
      <c r="M545" s="659"/>
      <c r="N545" s="659"/>
      <c r="O545" s="659"/>
      <c r="P545" s="659"/>
    </row>
    <row r="546" spans="2:16" x14ac:dyDescent="0.2">
      <c r="B546" s="55"/>
      <c r="C546" s="55"/>
      <c r="D546" s="659"/>
      <c r="E546" s="659"/>
      <c r="F546" s="659"/>
      <c r="G546" s="659"/>
      <c r="H546" s="659"/>
      <c r="I546" s="659"/>
      <c r="J546" s="659"/>
      <c r="K546" s="659"/>
      <c r="L546" s="659"/>
      <c r="M546" s="659"/>
      <c r="N546" s="659"/>
      <c r="O546" s="659"/>
      <c r="P546" s="659"/>
    </row>
    <row r="547" spans="2:16" x14ac:dyDescent="0.2">
      <c r="B547" s="55"/>
      <c r="C547" s="55"/>
      <c r="D547" s="659"/>
      <c r="E547" s="659"/>
      <c r="F547" s="659"/>
      <c r="G547" s="659"/>
      <c r="H547" s="659"/>
      <c r="I547" s="659"/>
      <c r="J547" s="659"/>
      <c r="K547" s="659"/>
      <c r="L547" s="659"/>
      <c r="M547" s="659"/>
      <c r="N547" s="659"/>
      <c r="O547" s="659"/>
      <c r="P547" s="659"/>
    </row>
    <row r="548" spans="2:16" x14ac:dyDescent="0.2">
      <c r="B548" s="55"/>
      <c r="C548" s="55"/>
      <c r="D548" s="659"/>
      <c r="E548" s="659"/>
      <c r="F548" s="659"/>
      <c r="G548" s="659"/>
      <c r="H548" s="659"/>
      <c r="I548" s="659"/>
      <c r="J548" s="659"/>
      <c r="K548" s="659"/>
      <c r="L548" s="659"/>
      <c r="M548" s="659"/>
      <c r="N548" s="659"/>
      <c r="O548" s="659"/>
      <c r="P548" s="659"/>
    </row>
    <row r="549" spans="2:16" x14ac:dyDescent="0.2">
      <c r="B549" s="55"/>
      <c r="C549" s="55"/>
      <c r="D549" s="659"/>
      <c r="E549" s="659"/>
      <c r="F549" s="659"/>
      <c r="G549" s="659"/>
      <c r="H549" s="659"/>
      <c r="I549" s="659"/>
      <c r="J549" s="659"/>
      <c r="K549" s="659"/>
      <c r="L549" s="659"/>
      <c r="M549" s="659"/>
      <c r="N549" s="659"/>
      <c r="O549" s="659"/>
      <c r="P549" s="659"/>
    </row>
    <row r="550" spans="2:16" x14ac:dyDescent="0.2">
      <c r="B550" s="55"/>
      <c r="C550" s="55"/>
      <c r="D550" s="659"/>
      <c r="E550" s="659"/>
      <c r="F550" s="659"/>
      <c r="G550" s="659"/>
      <c r="H550" s="659"/>
      <c r="I550" s="659"/>
      <c r="J550" s="659"/>
      <c r="K550" s="659"/>
      <c r="L550" s="659"/>
      <c r="M550" s="659"/>
      <c r="N550" s="659"/>
      <c r="O550" s="659"/>
      <c r="P550" s="659"/>
    </row>
    <row r="551" spans="2:16" x14ac:dyDescent="0.2">
      <c r="B551" s="55"/>
      <c r="C551" s="55"/>
      <c r="D551" s="659"/>
      <c r="E551" s="659"/>
      <c r="F551" s="659"/>
      <c r="G551" s="659"/>
      <c r="H551" s="659"/>
      <c r="I551" s="659"/>
      <c r="J551" s="659"/>
      <c r="K551" s="659"/>
      <c r="L551" s="659"/>
      <c r="M551" s="659"/>
      <c r="N551" s="659"/>
      <c r="O551" s="659"/>
      <c r="P551" s="659"/>
    </row>
    <row r="552" spans="2:16" x14ac:dyDescent="0.2">
      <c r="B552" s="55"/>
      <c r="C552" s="55"/>
      <c r="D552" s="659"/>
      <c r="E552" s="659"/>
      <c r="F552" s="659"/>
      <c r="G552" s="659"/>
      <c r="H552" s="659"/>
      <c r="I552" s="659"/>
      <c r="J552" s="659"/>
      <c r="K552" s="659"/>
      <c r="L552" s="659"/>
      <c r="M552" s="659"/>
      <c r="N552" s="659"/>
      <c r="O552" s="659"/>
      <c r="P552" s="659"/>
    </row>
    <row r="553" spans="2:16" x14ac:dyDescent="0.2">
      <c r="B553" s="55"/>
      <c r="C553" s="55"/>
      <c r="D553" s="659"/>
      <c r="E553" s="659"/>
      <c r="F553" s="659"/>
      <c r="G553" s="659"/>
      <c r="H553" s="659"/>
      <c r="I553" s="659"/>
      <c r="J553" s="659"/>
      <c r="K553" s="659"/>
      <c r="L553" s="659"/>
      <c r="M553" s="659"/>
      <c r="N553" s="659"/>
      <c r="O553" s="659"/>
      <c r="P553" s="659"/>
    </row>
    <row r="554" spans="2:16" x14ac:dyDescent="0.2">
      <c r="B554" s="55"/>
      <c r="C554" s="55"/>
      <c r="D554" s="659"/>
      <c r="E554" s="659"/>
      <c r="F554" s="659"/>
      <c r="G554" s="659"/>
      <c r="H554" s="659"/>
      <c r="I554" s="659"/>
      <c r="J554" s="659"/>
      <c r="K554" s="659"/>
      <c r="L554" s="659"/>
      <c r="M554" s="659"/>
      <c r="N554" s="659"/>
      <c r="O554" s="659"/>
      <c r="P554" s="659"/>
    </row>
    <row r="555" spans="2:16" x14ac:dyDescent="0.2">
      <c r="B555" s="55"/>
      <c r="C555" s="55"/>
      <c r="D555" s="659"/>
      <c r="E555" s="659"/>
      <c r="F555" s="659"/>
      <c r="G555" s="659"/>
      <c r="H555" s="659"/>
      <c r="I555" s="659"/>
      <c r="J555" s="659"/>
      <c r="K555" s="659"/>
      <c r="L555" s="659"/>
      <c r="M555" s="659"/>
      <c r="N555" s="659"/>
      <c r="O555" s="659"/>
      <c r="P555" s="659"/>
    </row>
    <row r="556" spans="2:16" x14ac:dyDescent="0.2">
      <c r="B556" s="55"/>
      <c r="C556" s="55"/>
      <c r="D556" s="659"/>
      <c r="E556" s="659"/>
      <c r="F556" s="659"/>
      <c r="G556" s="659"/>
      <c r="H556" s="659"/>
      <c r="I556" s="659"/>
      <c r="J556" s="659"/>
      <c r="K556" s="659"/>
      <c r="L556" s="659"/>
      <c r="M556" s="659"/>
      <c r="N556" s="659"/>
      <c r="O556" s="659"/>
      <c r="P556" s="659"/>
    </row>
    <row r="557" spans="2:16" x14ac:dyDescent="0.2">
      <c r="B557" s="55"/>
      <c r="C557" s="55"/>
      <c r="D557" s="659"/>
      <c r="E557" s="659"/>
      <c r="F557" s="659"/>
      <c r="G557" s="659"/>
      <c r="H557" s="659"/>
      <c r="I557" s="659"/>
      <c r="J557" s="659"/>
      <c r="K557" s="659"/>
      <c r="L557" s="659"/>
      <c r="M557" s="659"/>
      <c r="N557" s="659"/>
      <c r="O557" s="659"/>
      <c r="P557" s="659"/>
    </row>
    <row r="558" spans="2:16" x14ac:dyDescent="0.2">
      <c r="B558" s="55"/>
      <c r="C558" s="55"/>
      <c r="D558" s="659"/>
      <c r="E558" s="659"/>
      <c r="F558" s="659"/>
      <c r="G558" s="659"/>
      <c r="H558" s="659"/>
      <c r="I558" s="659"/>
      <c r="J558" s="659"/>
      <c r="K558" s="659"/>
      <c r="L558" s="659"/>
      <c r="M558" s="659"/>
      <c r="N558" s="659"/>
      <c r="O558" s="659"/>
      <c r="P558" s="659"/>
    </row>
    <row r="559" spans="2:16" x14ac:dyDescent="0.2">
      <c r="B559" s="55"/>
      <c r="C559" s="55"/>
      <c r="D559" s="659"/>
      <c r="E559" s="659"/>
      <c r="F559" s="659"/>
      <c r="G559" s="659"/>
      <c r="H559" s="659"/>
      <c r="I559" s="659"/>
      <c r="J559" s="659"/>
      <c r="K559" s="659"/>
      <c r="L559" s="659"/>
      <c r="M559" s="659"/>
      <c r="N559" s="659"/>
      <c r="O559" s="659"/>
      <c r="P559" s="659"/>
    </row>
    <row r="560" spans="2:16" x14ac:dyDescent="0.2">
      <c r="B560" s="55"/>
      <c r="C560" s="55"/>
      <c r="D560" s="659"/>
      <c r="E560" s="659"/>
      <c r="F560" s="659"/>
      <c r="G560" s="659"/>
      <c r="H560" s="659"/>
      <c r="I560" s="659"/>
      <c r="J560" s="659"/>
      <c r="K560" s="659"/>
      <c r="L560" s="659"/>
      <c r="M560" s="659"/>
      <c r="N560" s="659"/>
      <c r="O560" s="659"/>
      <c r="P560" s="659"/>
    </row>
    <row r="561" spans="2:16" x14ac:dyDescent="0.2">
      <c r="B561" s="55"/>
      <c r="C561" s="55"/>
      <c r="D561" s="659"/>
      <c r="E561" s="659"/>
      <c r="F561" s="659"/>
      <c r="G561" s="659"/>
      <c r="H561" s="659"/>
      <c r="I561" s="659"/>
      <c r="J561" s="659"/>
      <c r="K561" s="659"/>
      <c r="L561" s="659"/>
      <c r="M561" s="659"/>
      <c r="N561" s="659"/>
      <c r="O561" s="659"/>
      <c r="P561" s="659"/>
    </row>
    <row r="562" spans="2:16" x14ac:dyDescent="0.2">
      <c r="B562" s="55"/>
      <c r="C562" s="55"/>
      <c r="D562" s="659"/>
      <c r="E562" s="659"/>
      <c r="F562" s="659"/>
      <c r="G562" s="659"/>
      <c r="H562" s="659"/>
      <c r="I562" s="659"/>
      <c r="J562" s="659"/>
      <c r="K562" s="659"/>
      <c r="L562" s="659"/>
      <c r="M562" s="659"/>
      <c r="N562" s="659"/>
      <c r="O562" s="659"/>
      <c r="P562" s="659"/>
    </row>
    <row r="563" spans="2:16" x14ac:dyDescent="0.2">
      <c r="B563" s="55"/>
      <c r="C563" s="55"/>
      <c r="D563" s="659"/>
      <c r="E563" s="659"/>
      <c r="F563" s="659"/>
      <c r="G563" s="659"/>
      <c r="H563" s="659"/>
      <c r="I563" s="659"/>
      <c r="J563" s="659"/>
      <c r="K563" s="659"/>
      <c r="L563" s="659"/>
      <c r="M563" s="659"/>
      <c r="N563" s="659"/>
      <c r="O563" s="659"/>
      <c r="P563" s="659"/>
    </row>
    <row r="564" spans="2:16" x14ac:dyDescent="0.2">
      <c r="B564" s="55"/>
      <c r="C564" s="55"/>
      <c r="D564" s="659"/>
      <c r="E564" s="659"/>
      <c r="F564" s="659"/>
      <c r="G564" s="659"/>
      <c r="H564" s="659"/>
      <c r="I564" s="659"/>
      <c r="J564" s="659"/>
      <c r="K564" s="659"/>
      <c r="L564" s="659"/>
      <c r="M564" s="659"/>
      <c r="N564" s="659"/>
      <c r="O564" s="659"/>
      <c r="P564" s="659"/>
    </row>
    <row r="565" spans="2:16" x14ac:dyDescent="0.2">
      <c r="B565" s="55"/>
      <c r="C565" s="55"/>
      <c r="D565" s="659"/>
      <c r="E565" s="659"/>
      <c r="F565" s="659"/>
      <c r="G565" s="659"/>
      <c r="H565" s="659"/>
      <c r="I565" s="659"/>
      <c r="J565" s="659"/>
      <c r="K565" s="659"/>
      <c r="L565" s="659"/>
      <c r="M565" s="659"/>
      <c r="N565" s="659"/>
      <c r="O565" s="659"/>
      <c r="P565" s="659"/>
    </row>
    <row r="566" spans="2:16" x14ac:dyDescent="0.2">
      <c r="B566" s="55"/>
      <c r="C566" s="55"/>
      <c r="D566" s="659"/>
      <c r="E566" s="659"/>
      <c r="F566" s="659"/>
      <c r="G566" s="659"/>
      <c r="H566" s="659"/>
      <c r="I566" s="659"/>
      <c r="J566" s="659"/>
      <c r="K566" s="659"/>
      <c r="L566" s="659"/>
      <c r="M566" s="659"/>
      <c r="N566" s="659"/>
      <c r="O566" s="659"/>
      <c r="P566" s="659"/>
    </row>
    <row r="567" spans="2:16" x14ac:dyDescent="0.2">
      <c r="B567" s="55"/>
      <c r="C567" s="55"/>
      <c r="D567" s="659"/>
      <c r="E567" s="659"/>
      <c r="F567" s="659"/>
      <c r="G567" s="659"/>
      <c r="H567" s="659"/>
      <c r="I567" s="659"/>
      <c r="J567" s="659"/>
      <c r="K567" s="659"/>
      <c r="L567" s="659"/>
      <c r="M567" s="659"/>
      <c r="N567" s="659"/>
      <c r="O567" s="659"/>
      <c r="P567" s="659"/>
    </row>
    <row r="568" spans="2:16" x14ac:dyDescent="0.2">
      <c r="B568" s="55"/>
      <c r="C568" s="55"/>
      <c r="D568" s="659"/>
      <c r="E568" s="659"/>
      <c r="F568" s="659"/>
      <c r="G568" s="659"/>
      <c r="H568" s="659"/>
      <c r="I568" s="659"/>
      <c r="J568" s="659"/>
      <c r="K568" s="659"/>
      <c r="L568" s="659"/>
      <c r="M568" s="659"/>
      <c r="N568" s="659"/>
      <c r="O568" s="659"/>
      <c r="P568" s="659"/>
    </row>
    <row r="569" spans="2:16" x14ac:dyDescent="0.2">
      <c r="B569" s="55"/>
      <c r="C569" s="55"/>
      <c r="D569" s="659"/>
      <c r="E569" s="659"/>
      <c r="F569" s="659"/>
      <c r="G569" s="659"/>
      <c r="H569" s="659"/>
      <c r="I569" s="659"/>
      <c r="J569" s="659"/>
      <c r="K569" s="659"/>
      <c r="L569" s="659"/>
      <c r="M569" s="659"/>
      <c r="N569" s="659"/>
      <c r="O569" s="659"/>
      <c r="P569" s="659"/>
    </row>
    <row r="570" spans="2:16" x14ac:dyDescent="0.2">
      <c r="B570" s="55"/>
      <c r="C570" s="55"/>
      <c r="D570" s="659"/>
      <c r="E570" s="659"/>
      <c r="F570" s="659"/>
      <c r="G570" s="659"/>
      <c r="H570" s="659"/>
      <c r="I570" s="659"/>
      <c r="J570" s="659"/>
      <c r="K570" s="659"/>
      <c r="L570" s="659"/>
      <c r="M570" s="659"/>
      <c r="N570" s="659"/>
      <c r="O570" s="659"/>
      <c r="P570" s="659"/>
    </row>
    <row r="571" spans="2:16" x14ac:dyDescent="0.2">
      <c r="B571" s="55"/>
      <c r="C571" s="55"/>
      <c r="D571" s="659"/>
      <c r="E571" s="659"/>
      <c r="F571" s="659"/>
      <c r="G571" s="659"/>
      <c r="H571" s="659"/>
      <c r="I571" s="659"/>
      <c r="J571" s="659"/>
      <c r="K571" s="659"/>
      <c r="L571" s="659"/>
      <c r="M571" s="659"/>
      <c r="N571" s="659"/>
      <c r="O571" s="659"/>
      <c r="P571" s="659"/>
    </row>
    <row r="572" spans="2:16" x14ac:dyDescent="0.2">
      <c r="B572" s="55"/>
      <c r="C572" s="55"/>
      <c r="D572" s="659"/>
      <c r="E572" s="659"/>
      <c r="F572" s="659"/>
      <c r="G572" s="659"/>
      <c r="H572" s="659"/>
      <c r="I572" s="659"/>
      <c r="J572" s="659"/>
      <c r="K572" s="659"/>
      <c r="L572" s="659"/>
      <c r="M572" s="659"/>
      <c r="N572" s="659"/>
      <c r="O572" s="659"/>
      <c r="P572" s="659"/>
    </row>
    <row r="573" spans="2:16" x14ac:dyDescent="0.2">
      <c r="B573" s="55"/>
      <c r="C573" s="55"/>
      <c r="D573" s="659"/>
      <c r="E573" s="659"/>
      <c r="F573" s="659"/>
      <c r="G573" s="659"/>
      <c r="H573" s="659"/>
      <c r="I573" s="659"/>
      <c r="J573" s="659"/>
      <c r="K573" s="659"/>
      <c r="L573" s="659"/>
      <c r="M573" s="659"/>
      <c r="N573" s="659"/>
      <c r="O573" s="659"/>
      <c r="P573" s="659"/>
    </row>
    <row r="574" spans="2:16" x14ac:dyDescent="0.2">
      <c r="B574" s="55"/>
      <c r="C574" s="55"/>
      <c r="D574" s="659"/>
      <c r="E574" s="659"/>
      <c r="F574" s="659"/>
      <c r="G574" s="659"/>
      <c r="H574" s="659"/>
      <c r="I574" s="659"/>
      <c r="J574" s="659"/>
      <c r="K574" s="659"/>
      <c r="L574" s="659"/>
      <c r="M574" s="659"/>
      <c r="N574" s="659"/>
      <c r="O574" s="659"/>
      <c r="P574" s="659"/>
    </row>
    <row r="575" spans="2:16" x14ac:dyDescent="0.2">
      <c r="B575" s="55"/>
      <c r="C575" s="55"/>
      <c r="D575" s="659"/>
      <c r="E575" s="659"/>
      <c r="F575" s="659"/>
      <c r="G575" s="659"/>
      <c r="H575" s="659"/>
      <c r="I575" s="659"/>
      <c r="J575" s="659"/>
      <c r="K575" s="659"/>
      <c r="L575" s="659"/>
      <c r="M575" s="659"/>
      <c r="N575" s="659"/>
      <c r="O575" s="659"/>
      <c r="P575" s="659"/>
    </row>
    <row r="576" spans="2:16" x14ac:dyDescent="0.2">
      <c r="B576" s="55"/>
      <c r="C576" s="55"/>
      <c r="D576" s="659"/>
      <c r="E576" s="659"/>
      <c r="F576" s="659"/>
      <c r="G576" s="659"/>
      <c r="H576" s="659"/>
      <c r="I576" s="659"/>
      <c r="J576" s="659"/>
      <c r="K576" s="659"/>
      <c r="L576" s="659"/>
      <c r="M576" s="659"/>
      <c r="N576" s="659"/>
      <c r="O576" s="659"/>
      <c r="P576" s="659"/>
    </row>
    <row r="577" spans="2:16" x14ac:dyDescent="0.2">
      <c r="B577" s="55"/>
      <c r="C577" s="55"/>
      <c r="D577" s="659"/>
      <c r="E577" s="659"/>
      <c r="F577" s="659"/>
      <c r="G577" s="659"/>
      <c r="H577" s="659"/>
      <c r="I577" s="659"/>
      <c r="J577" s="659"/>
      <c r="K577" s="659"/>
      <c r="L577" s="659"/>
      <c r="M577" s="659"/>
      <c r="N577" s="659"/>
      <c r="O577" s="659"/>
      <c r="P577" s="659"/>
    </row>
    <row r="578" spans="2:16" x14ac:dyDescent="0.2">
      <c r="B578" s="55"/>
      <c r="C578" s="55"/>
      <c r="D578" s="659"/>
      <c r="E578" s="659"/>
      <c r="F578" s="659"/>
      <c r="G578" s="659"/>
      <c r="H578" s="659"/>
      <c r="I578" s="659"/>
      <c r="J578" s="659"/>
      <c r="K578" s="659"/>
      <c r="L578" s="659"/>
      <c r="M578" s="659"/>
      <c r="N578" s="659"/>
      <c r="O578" s="659"/>
      <c r="P578" s="659"/>
    </row>
    <row r="579" spans="2:16" x14ac:dyDescent="0.2">
      <c r="B579" s="55"/>
      <c r="C579" s="55"/>
      <c r="D579" s="659"/>
      <c r="E579" s="659"/>
      <c r="F579" s="659"/>
      <c r="G579" s="659"/>
      <c r="H579" s="659"/>
      <c r="I579" s="659"/>
      <c r="J579" s="659"/>
      <c r="K579" s="659"/>
      <c r="L579" s="659"/>
      <c r="M579" s="659"/>
      <c r="N579" s="659"/>
      <c r="O579" s="659"/>
      <c r="P579" s="659"/>
    </row>
    <row r="580" spans="2:16" x14ac:dyDescent="0.2">
      <c r="B580" s="55"/>
      <c r="C580" s="55"/>
      <c r="D580" s="659"/>
      <c r="E580" s="659"/>
      <c r="F580" s="659"/>
      <c r="G580" s="659"/>
      <c r="H580" s="659"/>
      <c r="I580" s="659"/>
      <c r="J580" s="659"/>
      <c r="K580" s="659"/>
      <c r="L580" s="659"/>
      <c r="M580" s="659"/>
      <c r="N580" s="659"/>
      <c r="O580" s="659"/>
      <c r="P580" s="659"/>
    </row>
    <row r="581" spans="2:16" x14ac:dyDescent="0.2">
      <c r="B581" s="55"/>
      <c r="C581" s="55"/>
      <c r="D581" s="659"/>
      <c r="E581" s="659"/>
      <c r="F581" s="659"/>
      <c r="G581" s="659"/>
      <c r="H581" s="659"/>
      <c r="I581" s="659"/>
      <c r="J581" s="659"/>
      <c r="K581" s="659"/>
      <c r="L581" s="659"/>
      <c r="M581" s="659"/>
      <c r="N581" s="659"/>
      <c r="O581" s="659"/>
      <c r="P581" s="659"/>
    </row>
    <row r="582" spans="2:16" x14ac:dyDescent="0.2">
      <c r="B582" s="55"/>
      <c r="C582" s="55"/>
      <c r="D582" s="659"/>
      <c r="E582" s="659"/>
      <c r="F582" s="659"/>
      <c r="G582" s="659"/>
      <c r="H582" s="659"/>
      <c r="I582" s="659"/>
      <c r="J582" s="659"/>
      <c r="K582" s="659"/>
      <c r="L582" s="659"/>
      <c r="M582" s="659"/>
      <c r="N582" s="659"/>
      <c r="O582" s="659"/>
      <c r="P582" s="659"/>
    </row>
    <row r="583" spans="2:16" x14ac:dyDescent="0.2">
      <c r="B583" s="55"/>
      <c r="C583" s="55"/>
      <c r="D583" s="659"/>
      <c r="E583" s="659"/>
      <c r="F583" s="659"/>
      <c r="G583" s="659"/>
      <c r="H583" s="659"/>
      <c r="I583" s="659"/>
      <c r="J583" s="659"/>
      <c r="K583" s="659"/>
      <c r="L583" s="659"/>
      <c r="M583" s="659"/>
      <c r="N583" s="659"/>
      <c r="O583" s="659"/>
      <c r="P583" s="659"/>
    </row>
    <row r="584" spans="2:16" x14ac:dyDescent="0.2">
      <c r="B584" s="55"/>
      <c r="C584" s="55"/>
      <c r="D584" s="659"/>
      <c r="E584" s="659"/>
      <c r="F584" s="659"/>
      <c r="G584" s="659"/>
      <c r="H584" s="659"/>
      <c r="I584" s="659"/>
      <c r="J584" s="659"/>
      <c r="K584" s="659"/>
      <c r="L584" s="659"/>
      <c r="M584" s="659"/>
      <c r="N584" s="659"/>
      <c r="O584" s="659"/>
      <c r="P584" s="659"/>
    </row>
    <row r="585" spans="2:16" x14ac:dyDescent="0.2">
      <c r="B585" s="55"/>
      <c r="C585" s="55"/>
      <c r="D585" s="659"/>
      <c r="E585" s="659"/>
      <c r="F585" s="659"/>
      <c r="G585" s="659"/>
      <c r="H585" s="659"/>
      <c r="I585" s="659"/>
      <c r="J585" s="659"/>
      <c r="K585" s="659"/>
      <c r="L585" s="659"/>
      <c r="M585" s="659"/>
      <c r="N585" s="659"/>
      <c r="O585" s="659"/>
      <c r="P585" s="659"/>
    </row>
    <row r="586" spans="2:16" x14ac:dyDescent="0.2">
      <c r="B586" s="55"/>
      <c r="C586" s="55"/>
      <c r="D586" s="659"/>
      <c r="E586" s="659"/>
      <c r="F586" s="659"/>
      <c r="G586" s="659"/>
      <c r="H586" s="659"/>
      <c r="I586" s="659"/>
      <c r="J586" s="659"/>
      <c r="K586" s="659"/>
      <c r="L586" s="659"/>
      <c r="M586" s="659"/>
      <c r="N586" s="659"/>
      <c r="O586" s="659"/>
      <c r="P586" s="659"/>
    </row>
    <row r="587" spans="2:16" x14ac:dyDescent="0.2">
      <c r="B587" s="55"/>
      <c r="C587" s="55"/>
      <c r="D587" s="659"/>
      <c r="E587" s="659"/>
      <c r="F587" s="659"/>
      <c r="G587" s="659"/>
      <c r="H587" s="659"/>
      <c r="I587" s="659"/>
      <c r="J587" s="659"/>
      <c r="K587" s="659"/>
      <c r="L587" s="659"/>
      <c r="M587" s="659"/>
      <c r="N587" s="659"/>
      <c r="O587" s="659"/>
      <c r="P587" s="659"/>
    </row>
    <row r="588" spans="2:16" x14ac:dyDescent="0.2">
      <c r="B588" s="55"/>
      <c r="C588" s="55"/>
      <c r="D588" s="659"/>
      <c r="E588" s="659"/>
      <c r="F588" s="659"/>
      <c r="G588" s="659"/>
      <c r="H588" s="659"/>
      <c r="I588" s="659"/>
      <c r="J588" s="659"/>
      <c r="K588" s="659"/>
      <c r="L588" s="659"/>
      <c r="M588" s="659"/>
      <c r="N588" s="659"/>
      <c r="O588" s="659"/>
      <c r="P588" s="659"/>
    </row>
    <row r="589" spans="2:16" x14ac:dyDescent="0.2">
      <c r="B589" s="55"/>
      <c r="C589" s="55"/>
      <c r="D589" s="659"/>
      <c r="E589" s="659"/>
      <c r="F589" s="659"/>
      <c r="G589" s="659"/>
      <c r="H589" s="659"/>
      <c r="I589" s="659"/>
      <c r="J589" s="659"/>
      <c r="K589" s="659"/>
      <c r="L589" s="659"/>
      <c r="M589" s="659"/>
      <c r="N589" s="659"/>
      <c r="O589" s="659"/>
      <c r="P589" s="659"/>
    </row>
    <row r="590" spans="2:16" x14ac:dyDescent="0.2">
      <c r="B590" s="55"/>
      <c r="C590" s="55"/>
      <c r="D590" s="659"/>
      <c r="E590" s="659"/>
      <c r="F590" s="659"/>
      <c r="G590" s="659"/>
      <c r="H590" s="659"/>
      <c r="I590" s="659"/>
      <c r="J590" s="659"/>
      <c r="K590" s="659"/>
      <c r="L590" s="659"/>
      <c r="M590" s="659"/>
      <c r="N590" s="659"/>
      <c r="O590" s="659"/>
      <c r="P590" s="659"/>
    </row>
    <row r="591" spans="2:16" x14ac:dyDescent="0.2">
      <c r="B591" s="55"/>
      <c r="C591" s="55"/>
      <c r="D591" s="659"/>
      <c r="E591" s="659"/>
      <c r="F591" s="659"/>
      <c r="G591" s="659"/>
      <c r="H591" s="659"/>
      <c r="I591" s="659"/>
      <c r="J591" s="659"/>
      <c r="K591" s="659"/>
      <c r="L591" s="659"/>
      <c r="M591" s="659"/>
      <c r="N591" s="659"/>
      <c r="O591" s="659"/>
      <c r="P591" s="659"/>
    </row>
    <row r="592" spans="2:16" x14ac:dyDescent="0.2">
      <c r="B592" s="55"/>
      <c r="C592" s="55"/>
      <c r="D592" s="659"/>
      <c r="E592" s="659"/>
      <c r="F592" s="659"/>
      <c r="G592" s="659"/>
      <c r="H592" s="659"/>
      <c r="I592" s="659"/>
      <c r="J592" s="659"/>
      <c r="K592" s="659"/>
      <c r="L592" s="659"/>
      <c r="M592" s="659"/>
      <c r="N592" s="659"/>
      <c r="O592" s="659"/>
      <c r="P592" s="659"/>
    </row>
    <row r="593" spans="2:16" x14ac:dyDescent="0.2">
      <c r="B593" s="55"/>
      <c r="C593" s="55"/>
      <c r="D593" s="659"/>
      <c r="E593" s="659"/>
      <c r="F593" s="659"/>
      <c r="G593" s="659"/>
      <c r="H593" s="659"/>
      <c r="I593" s="659"/>
      <c r="J593" s="659"/>
      <c r="K593" s="659"/>
      <c r="L593" s="659"/>
      <c r="M593" s="659"/>
      <c r="N593" s="659"/>
      <c r="O593" s="659"/>
      <c r="P593" s="659"/>
    </row>
    <row r="594" spans="2:16" x14ac:dyDescent="0.2">
      <c r="B594" s="55"/>
      <c r="C594" s="55"/>
      <c r="D594" s="659"/>
      <c r="E594" s="659"/>
      <c r="F594" s="659"/>
      <c r="G594" s="659"/>
      <c r="H594" s="659"/>
      <c r="I594" s="659"/>
      <c r="J594" s="659"/>
      <c r="K594" s="659"/>
      <c r="L594" s="659"/>
      <c r="M594" s="659"/>
      <c r="N594" s="659"/>
      <c r="O594" s="659"/>
      <c r="P594" s="659"/>
    </row>
    <row r="595" spans="2:16" x14ac:dyDescent="0.2">
      <c r="B595" s="55"/>
      <c r="C595" s="55"/>
      <c r="D595" s="659"/>
      <c r="E595" s="659"/>
      <c r="F595" s="659"/>
      <c r="G595" s="659"/>
      <c r="H595" s="659"/>
      <c r="I595" s="659"/>
      <c r="J595" s="659"/>
      <c r="K595" s="659"/>
      <c r="L595" s="659"/>
      <c r="M595" s="659"/>
      <c r="N595" s="659"/>
      <c r="O595" s="659"/>
      <c r="P595" s="659"/>
    </row>
    <row r="596" spans="2:16" x14ac:dyDescent="0.2">
      <c r="B596" s="55"/>
      <c r="C596" s="55"/>
      <c r="D596" s="659"/>
      <c r="E596" s="659"/>
      <c r="F596" s="659"/>
      <c r="G596" s="659"/>
      <c r="H596" s="659"/>
      <c r="I596" s="659"/>
      <c r="J596" s="659"/>
      <c r="K596" s="659"/>
      <c r="L596" s="659"/>
      <c r="M596" s="659"/>
      <c r="N596" s="659"/>
      <c r="O596" s="659"/>
      <c r="P596" s="659"/>
    </row>
    <row r="597" spans="2:16" x14ac:dyDescent="0.2">
      <c r="B597" s="55"/>
      <c r="C597" s="55"/>
      <c r="D597" s="659"/>
      <c r="E597" s="659"/>
      <c r="F597" s="659"/>
      <c r="G597" s="659"/>
      <c r="H597" s="659"/>
      <c r="I597" s="659"/>
      <c r="J597" s="659"/>
      <c r="K597" s="659"/>
      <c r="L597" s="659"/>
      <c r="M597" s="659"/>
      <c r="N597" s="659"/>
      <c r="O597" s="659"/>
      <c r="P597" s="659"/>
    </row>
    <row r="598" spans="2:16" x14ac:dyDescent="0.2">
      <c r="B598" s="55"/>
      <c r="C598" s="55"/>
      <c r="D598" s="659"/>
      <c r="E598" s="659"/>
      <c r="F598" s="659"/>
      <c r="G598" s="659"/>
      <c r="H598" s="659"/>
      <c r="I598" s="659"/>
      <c r="J598" s="659"/>
      <c r="K598" s="659"/>
      <c r="L598" s="659"/>
      <c r="M598" s="659"/>
      <c r="N598" s="659"/>
      <c r="O598" s="659"/>
      <c r="P598" s="659"/>
    </row>
    <row r="599" spans="2:16" x14ac:dyDescent="0.2">
      <c r="B599" s="55"/>
      <c r="C599" s="55"/>
      <c r="D599" s="659"/>
      <c r="E599" s="659"/>
      <c r="F599" s="659"/>
      <c r="G599" s="659"/>
      <c r="H599" s="659"/>
      <c r="I599" s="659"/>
      <c r="J599" s="659"/>
      <c r="K599" s="659"/>
      <c r="L599" s="659"/>
      <c r="M599" s="659"/>
      <c r="N599" s="659"/>
      <c r="O599" s="659"/>
      <c r="P599" s="659"/>
    </row>
    <row r="600" spans="2:16" x14ac:dyDescent="0.2">
      <c r="B600" s="55"/>
      <c r="C600" s="55"/>
      <c r="D600" s="659"/>
      <c r="E600" s="659"/>
      <c r="F600" s="659"/>
      <c r="G600" s="659"/>
      <c r="H600" s="659"/>
      <c r="I600" s="659"/>
      <c r="J600" s="659"/>
      <c r="K600" s="659"/>
      <c r="L600" s="659"/>
      <c r="M600" s="659"/>
      <c r="N600" s="659"/>
      <c r="O600" s="659"/>
      <c r="P600" s="659"/>
    </row>
    <row r="601" spans="2:16" x14ac:dyDescent="0.2">
      <c r="B601" s="55"/>
      <c r="C601" s="55"/>
      <c r="D601" s="659"/>
      <c r="E601" s="659"/>
      <c r="F601" s="659"/>
      <c r="G601" s="659"/>
      <c r="H601" s="659"/>
      <c r="I601" s="659"/>
      <c r="J601" s="659"/>
      <c r="K601" s="659"/>
      <c r="L601" s="659"/>
      <c r="M601" s="659"/>
      <c r="N601" s="659"/>
      <c r="O601" s="659"/>
      <c r="P601" s="659"/>
    </row>
    <row r="602" spans="2:16" x14ac:dyDescent="0.2">
      <c r="B602" s="55"/>
      <c r="C602" s="55"/>
      <c r="D602" s="659"/>
      <c r="E602" s="659"/>
      <c r="F602" s="659"/>
      <c r="G602" s="659"/>
      <c r="H602" s="659"/>
      <c r="I602" s="659"/>
      <c r="J602" s="659"/>
      <c r="K602" s="659"/>
      <c r="L602" s="659"/>
      <c r="M602" s="659"/>
      <c r="N602" s="659"/>
      <c r="O602" s="659"/>
      <c r="P602" s="659"/>
    </row>
    <row r="603" spans="2:16" x14ac:dyDescent="0.2">
      <c r="B603" s="55"/>
      <c r="C603" s="55"/>
      <c r="D603" s="659"/>
      <c r="E603" s="659"/>
      <c r="F603" s="659"/>
      <c r="G603" s="659"/>
      <c r="H603" s="659"/>
      <c r="I603" s="659"/>
      <c r="J603" s="659"/>
      <c r="K603" s="659"/>
      <c r="L603" s="659"/>
      <c r="M603" s="659"/>
      <c r="N603" s="659"/>
      <c r="O603" s="659"/>
      <c r="P603" s="659"/>
    </row>
    <row r="604" spans="2:16" x14ac:dyDescent="0.2">
      <c r="B604" s="55"/>
      <c r="C604" s="55"/>
      <c r="D604" s="659"/>
      <c r="E604" s="659"/>
      <c r="F604" s="659"/>
      <c r="G604" s="659"/>
      <c r="H604" s="659"/>
      <c r="I604" s="659"/>
      <c r="J604" s="659"/>
      <c r="K604" s="659"/>
      <c r="L604" s="659"/>
      <c r="M604" s="659"/>
      <c r="N604" s="659"/>
      <c r="O604" s="659"/>
      <c r="P604" s="659"/>
    </row>
    <row r="605" spans="2:16" x14ac:dyDescent="0.2">
      <c r="B605" s="55"/>
      <c r="C605" s="55"/>
      <c r="D605" s="659"/>
      <c r="E605" s="659"/>
      <c r="F605" s="659"/>
      <c r="G605" s="659"/>
      <c r="H605" s="659"/>
      <c r="I605" s="659"/>
      <c r="J605" s="659"/>
      <c r="K605" s="659"/>
      <c r="L605" s="659"/>
      <c r="M605" s="659"/>
      <c r="N605" s="659"/>
      <c r="O605" s="659"/>
      <c r="P605" s="659"/>
    </row>
    <row r="606" spans="2:16" x14ac:dyDescent="0.2">
      <c r="B606" s="55"/>
      <c r="C606" s="55"/>
      <c r="D606" s="659"/>
      <c r="E606" s="659"/>
      <c r="F606" s="659"/>
      <c r="G606" s="659"/>
      <c r="H606" s="659"/>
      <c r="I606" s="659"/>
      <c r="J606" s="659"/>
      <c r="K606" s="659"/>
      <c r="L606" s="659"/>
      <c r="M606" s="659"/>
      <c r="N606" s="659"/>
      <c r="O606" s="659"/>
      <c r="P606" s="659"/>
    </row>
    <row r="607" spans="2:16" x14ac:dyDescent="0.2">
      <c r="B607" s="55"/>
      <c r="C607" s="55"/>
      <c r="D607" s="659"/>
      <c r="E607" s="659"/>
      <c r="F607" s="659"/>
      <c r="G607" s="659"/>
      <c r="H607" s="659"/>
      <c r="I607" s="659"/>
      <c r="J607" s="659"/>
      <c r="K607" s="659"/>
      <c r="L607" s="659"/>
      <c r="M607" s="659"/>
      <c r="N607" s="659"/>
      <c r="O607" s="659"/>
      <c r="P607" s="659"/>
    </row>
    <row r="608" spans="2:16" x14ac:dyDescent="0.2">
      <c r="B608" s="55"/>
      <c r="C608" s="55"/>
      <c r="D608" s="659"/>
      <c r="E608" s="659"/>
      <c r="F608" s="659"/>
      <c r="G608" s="659"/>
      <c r="H608" s="659"/>
      <c r="I608" s="659"/>
      <c r="J608" s="659"/>
      <c r="K608" s="659"/>
      <c r="L608" s="659"/>
      <c r="M608" s="659"/>
      <c r="N608" s="659"/>
      <c r="O608" s="659"/>
      <c r="P608" s="659"/>
    </row>
    <row r="609" spans="2:16" x14ac:dyDescent="0.2">
      <c r="B609" s="55"/>
      <c r="C609" s="55"/>
      <c r="D609" s="659"/>
      <c r="E609" s="659"/>
      <c r="F609" s="659"/>
      <c r="G609" s="659"/>
      <c r="H609" s="659"/>
      <c r="I609" s="659"/>
      <c r="J609" s="659"/>
      <c r="K609" s="659"/>
      <c r="L609" s="659"/>
      <c r="M609" s="659"/>
      <c r="N609" s="659"/>
      <c r="O609" s="659"/>
      <c r="P609" s="659"/>
    </row>
    <row r="610" spans="2:16" x14ac:dyDescent="0.2">
      <c r="B610" s="55"/>
      <c r="C610" s="55"/>
      <c r="D610" s="659"/>
      <c r="E610" s="659"/>
      <c r="F610" s="659"/>
      <c r="G610" s="659"/>
      <c r="H610" s="659"/>
      <c r="I610" s="659"/>
      <c r="J610" s="659"/>
      <c r="K610" s="659"/>
      <c r="L610" s="659"/>
      <c r="M610" s="659"/>
      <c r="N610" s="659"/>
      <c r="O610" s="659"/>
      <c r="P610" s="659"/>
    </row>
    <row r="611" spans="2:16" x14ac:dyDescent="0.2">
      <c r="B611" s="55"/>
      <c r="C611" s="55"/>
      <c r="D611" s="659"/>
      <c r="E611" s="659"/>
      <c r="F611" s="659"/>
      <c r="G611" s="659"/>
      <c r="H611" s="659"/>
      <c r="I611" s="659"/>
      <c r="J611" s="659"/>
      <c r="K611" s="659"/>
      <c r="L611" s="659"/>
      <c r="M611" s="659"/>
      <c r="N611" s="659"/>
      <c r="O611" s="659"/>
      <c r="P611" s="659"/>
    </row>
    <row r="612" spans="2:16" x14ac:dyDescent="0.2">
      <c r="B612" s="55"/>
      <c r="C612" s="55"/>
      <c r="D612" s="659"/>
      <c r="E612" s="659"/>
      <c r="F612" s="659"/>
      <c r="G612" s="659"/>
      <c r="H612" s="659"/>
      <c r="I612" s="659"/>
      <c r="J612" s="659"/>
      <c r="K612" s="659"/>
      <c r="L612" s="659"/>
      <c r="M612" s="659"/>
      <c r="N612" s="659"/>
      <c r="O612" s="659"/>
      <c r="P612" s="659"/>
    </row>
    <row r="613" spans="2:16" x14ac:dyDescent="0.2">
      <c r="B613" s="55"/>
      <c r="C613" s="55"/>
      <c r="D613" s="659"/>
      <c r="E613" s="659"/>
      <c r="F613" s="659"/>
      <c r="G613" s="659"/>
      <c r="H613" s="659"/>
      <c r="I613" s="659"/>
      <c r="J613" s="659"/>
      <c r="K613" s="659"/>
      <c r="L613" s="659"/>
      <c r="M613" s="659"/>
      <c r="N613" s="659"/>
      <c r="O613" s="659"/>
      <c r="P613" s="659"/>
    </row>
    <row r="614" spans="2:16" x14ac:dyDescent="0.2">
      <c r="B614" s="55"/>
      <c r="C614" s="55"/>
      <c r="D614" s="659"/>
      <c r="E614" s="659"/>
      <c r="F614" s="659"/>
      <c r="G614" s="659"/>
      <c r="H614" s="659"/>
      <c r="I614" s="659"/>
      <c r="J614" s="659"/>
      <c r="K614" s="659"/>
      <c r="L614" s="659"/>
      <c r="M614" s="659"/>
      <c r="N614" s="659"/>
      <c r="O614" s="659"/>
      <c r="P614" s="659"/>
    </row>
    <row r="615" spans="2:16" x14ac:dyDescent="0.2">
      <c r="B615" s="55"/>
      <c r="C615" s="55"/>
      <c r="D615" s="659"/>
      <c r="E615" s="659"/>
      <c r="F615" s="659"/>
      <c r="G615" s="659"/>
      <c r="H615" s="659"/>
      <c r="I615" s="659"/>
      <c r="J615" s="659"/>
      <c r="K615" s="659"/>
      <c r="L615" s="659"/>
      <c r="M615" s="659"/>
      <c r="N615" s="659"/>
      <c r="O615" s="659"/>
      <c r="P615" s="659"/>
    </row>
    <row r="616" spans="2:16" x14ac:dyDescent="0.2">
      <c r="B616" s="55"/>
      <c r="C616" s="55"/>
      <c r="D616" s="659"/>
      <c r="E616" s="659"/>
      <c r="F616" s="659"/>
      <c r="G616" s="659"/>
      <c r="H616" s="659"/>
      <c r="I616" s="659"/>
      <c r="J616" s="659"/>
      <c r="K616" s="659"/>
      <c r="L616" s="659"/>
      <c r="M616" s="659"/>
      <c r="N616" s="659"/>
      <c r="O616" s="659"/>
      <c r="P616" s="659"/>
    </row>
    <row r="617" spans="2:16" x14ac:dyDescent="0.2">
      <c r="B617" s="55"/>
      <c r="C617" s="55"/>
      <c r="D617" s="659"/>
      <c r="E617" s="659"/>
      <c r="F617" s="659"/>
      <c r="G617" s="659"/>
      <c r="H617" s="659"/>
      <c r="I617" s="659"/>
      <c r="J617" s="659"/>
      <c r="K617" s="659"/>
      <c r="L617" s="659"/>
      <c r="M617" s="659"/>
      <c r="N617" s="659"/>
      <c r="O617" s="659"/>
      <c r="P617" s="659"/>
    </row>
    <row r="618" spans="2:16" x14ac:dyDescent="0.2">
      <c r="B618" s="55"/>
      <c r="C618" s="55"/>
      <c r="D618" s="659"/>
      <c r="E618" s="659"/>
      <c r="F618" s="659"/>
      <c r="G618" s="659"/>
      <c r="H618" s="659"/>
      <c r="I618" s="659"/>
      <c r="J618" s="659"/>
      <c r="K618" s="659"/>
      <c r="L618" s="659"/>
      <c r="M618" s="659"/>
      <c r="N618" s="659"/>
      <c r="O618" s="659"/>
      <c r="P618" s="659"/>
    </row>
    <row r="619" spans="2:16" x14ac:dyDescent="0.2">
      <c r="B619" s="55"/>
      <c r="C619" s="55"/>
      <c r="D619" s="659"/>
      <c r="E619" s="659"/>
      <c r="F619" s="659"/>
      <c r="G619" s="659"/>
      <c r="H619" s="659"/>
      <c r="I619" s="659"/>
      <c r="J619" s="659"/>
      <c r="K619" s="659"/>
      <c r="L619" s="659"/>
      <c r="M619" s="659"/>
      <c r="N619" s="659"/>
      <c r="O619" s="659"/>
      <c r="P619" s="659"/>
    </row>
    <row r="620" spans="2:16" x14ac:dyDescent="0.2">
      <c r="B620" s="55"/>
      <c r="C620" s="55"/>
      <c r="D620" s="659"/>
      <c r="E620" s="659"/>
      <c r="F620" s="659"/>
      <c r="G620" s="659"/>
      <c r="H620" s="659"/>
      <c r="I620" s="659"/>
      <c r="J620" s="659"/>
      <c r="K620" s="659"/>
      <c r="L620" s="659"/>
      <c r="M620" s="659"/>
      <c r="N620" s="659"/>
      <c r="O620" s="659"/>
      <c r="P620" s="659"/>
    </row>
    <row r="621" spans="2:16" x14ac:dyDescent="0.2">
      <c r="B621" s="55"/>
      <c r="C621" s="55"/>
      <c r="D621" s="659"/>
      <c r="E621" s="659"/>
      <c r="F621" s="659"/>
      <c r="G621" s="659"/>
      <c r="H621" s="659"/>
      <c r="I621" s="659"/>
      <c r="J621" s="659"/>
      <c r="K621" s="659"/>
      <c r="L621" s="659"/>
      <c r="M621" s="659"/>
      <c r="N621" s="659"/>
      <c r="O621" s="659"/>
      <c r="P621" s="659"/>
    </row>
    <row r="622" spans="2:16" x14ac:dyDescent="0.2">
      <c r="B622" s="55"/>
      <c r="C622" s="55"/>
      <c r="D622" s="659"/>
      <c r="E622" s="659"/>
      <c r="F622" s="659"/>
      <c r="G622" s="659"/>
      <c r="H622" s="659"/>
      <c r="I622" s="659"/>
      <c r="J622" s="659"/>
      <c r="K622" s="659"/>
      <c r="L622" s="659"/>
      <c r="M622" s="659"/>
      <c r="N622" s="659"/>
      <c r="O622" s="659"/>
      <c r="P622" s="659"/>
    </row>
    <row r="623" spans="2:16" x14ac:dyDescent="0.2">
      <c r="B623" s="55"/>
      <c r="C623" s="55"/>
      <c r="D623" s="659"/>
      <c r="E623" s="659"/>
      <c r="F623" s="659"/>
      <c r="G623" s="659"/>
      <c r="H623" s="659"/>
      <c r="I623" s="659"/>
      <c r="J623" s="659"/>
      <c r="K623" s="659"/>
      <c r="L623" s="659"/>
      <c r="M623" s="659"/>
      <c r="N623" s="659"/>
      <c r="O623" s="659"/>
      <c r="P623" s="659"/>
    </row>
    <row r="624" spans="2:16" x14ac:dyDescent="0.2">
      <c r="B624" s="55"/>
      <c r="C624" s="55"/>
      <c r="D624" s="659"/>
      <c r="E624" s="659"/>
      <c r="F624" s="659"/>
      <c r="G624" s="659"/>
      <c r="H624" s="659"/>
      <c r="I624" s="659"/>
      <c r="J624" s="659"/>
      <c r="K624" s="659"/>
      <c r="L624" s="659"/>
      <c r="M624" s="659"/>
      <c r="N624" s="659"/>
      <c r="O624" s="659"/>
      <c r="P624" s="659"/>
    </row>
    <row r="625" spans="2:16" x14ac:dyDescent="0.2">
      <c r="B625" s="55"/>
      <c r="C625" s="55"/>
      <c r="D625" s="659"/>
      <c r="E625" s="659"/>
      <c r="F625" s="659"/>
      <c r="G625" s="659"/>
      <c r="H625" s="659"/>
      <c r="I625" s="659"/>
      <c r="J625" s="659"/>
      <c r="K625" s="659"/>
      <c r="L625" s="659"/>
      <c r="M625" s="659"/>
      <c r="N625" s="659"/>
      <c r="O625" s="659"/>
      <c r="P625" s="659"/>
    </row>
    <row r="626" spans="2:16" x14ac:dyDescent="0.2">
      <c r="B626" s="55"/>
      <c r="C626" s="55"/>
      <c r="D626" s="659"/>
      <c r="E626" s="659"/>
      <c r="F626" s="659"/>
      <c r="G626" s="659"/>
      <c r="H626" s="659"/>
      <c r="I626" s="659"/>
      <c r="J626" s="659"/>
      <c r="K626" s="659"/>
      <c r="L626" s="659"/>
      <c r="M626" s="659"/>
      <c r="N626" s="659"/>
      <c r="O626" s="659"/>
      <c r="P626" s="659"/>
    </row>
    <row r="627" spans="2:16" x14ac:dyDescent="0.2">
      <c r="B627" s="55"/>
      <c r="C627" s="55"/>
      <c r="D627" s="659"/>
      <c r="E627" s="659"/>
      <c r="F627" s="659"/>
      <c r="G627" s="659"/>
      <c r="H627" s="659"/>
      <c r="I627" s="659"/>
      <c r="J627" s="659"/>
      <c r="K627" s="659"/>
      <c r="L627" s="659"/>
      <c r="M627" s="659"/>
      <c r="N627" s="659"/>
      <c r="O627" s="659"/>
      <c r="P627" s="659"/>
    </row>
    <row r="628" spans="2:16" x14ac:dyDescent="0.2">
      <c r="B628" s="55"/>
      <c r="C628" s="55"/>
      <c r="D628" s="659"/>
      <c r="E628" s="659"/>
      <c r="F628" s="659"/>
      <c r="G628" s="659"/>
      <c r="H628" s="659"/>
      <c r="I628" s="659"/>
      <c r="J628" s="659"/>
      <c r="K628" s="659"/>
      <c r="L628" s="659"/>
      <c r="M628" s="659"/>
      <c r="N628" s="659"/>
      <c r="O628" s="659"/>
      <c r="P628" s="659"/>
    </row>
    <row r="629" spans="2:16" x14ac:dyDescent="0.2">
      <c r="B629" s="55"/>
      <c r="C629" s="55"/>
      <c r="D629" s="659"/>
      <c r="E629" s="659"/>
      <c r="F629" s="659"/>
      <c r="G629" s="659"/>
      <c r="H629" s="659"/>
      <c r="I629" s="659"/>
      <c r="J629" s="659"/>
      <c r="K629" s="659"/>
      <c r="L629" s="659"/>
      <c r="M629" s="659"/>
      <c r="N629" s="659"/>
      <c r="O629" s="659"/>
      <c r="P629" s="659"/>
    </row>
    <row r="630" spans="2:16" x14ac:dyDescent="0.2">
      <c r="B630" s="55"/>
      <c r="C630" s="55"/>
      <c r="D630" s="659"/>
      <c r="E630" s="659"/>
      <c r="F630" s="659"/>
      <c r="G630" s="659"/>
      <c r="H630" s="659"/>
      <c r="I630" s="659"/>
      <c r="J630" s="659"/>
      <c r="K630" s="659"/>
      <c r="L630" s="659"/>
      <c r="M630" s="659"/>
      <c r="N630" s="659"/>
      <c r="O630" s="659"/>
      <c r="P630" s="659"/>
    </row>
    <row r="631" spans="2:16" x14ac:dyDescent="0.2">
      <c r="B631" s="55"/>
      <c r="C631" s="55"/>
      <c r="D631" s="659"/>
      <c r="E631" s="659"/>
      <c r="F631" s="659"/>
      <c r="G631" s="659"/>
      <c r="H631" s="659"/>
      <c r="I631" s="659"/>
      <c r="J631" s="659"/>
      <c r="K631" s="659"/>
      <c r="L631" s="659"/>
      <c r="M631" s="659"/>
      <c r="N631" s="659"/>
      <c r="O631" s="659"/>
      <c r="P631" s="659"/>
    </row>
    <row r="632" spans="2:16" x14ac:dyDescent="0.2">
      <c r="B632" s="55"/>
      <c r="C632" s="55"/>
      <c r="D632" s="659"/>
      <c r="E632" s="659"/>
      <c r="F632" s="659"/>
      <c r="G632" s="659"/>
      <c r="H632" s="659"/>
      <c r="I632" s="659"/>
      <c r="J632" s="659"/>
      <c r="K632" s="659"/>
      <c r="L632" s="659"/>
      <c r="M632" s="659"/>
      <c r="N632" s="659"/>
      <c r="O632" s="659"/>
      <c r="P632" s="659"/>
    </row>
    <row r="633" spans="2:16" x14ac:dyDescent="0.2">
      <c r="B633" s="55"/>
      <c r="C633" s="55"/>
      <c r="D633" s="659"/>
      <c r="E633" s="659"/>
      <c r="F633" s="659"/>
      <c r="G633" s="659"/>
      <c r="H633" s="659"/>
      <c r="I633" s="659"/>
      <c r="J633" s="659"/>
      <c r="K633" s="659"/>
      <c r="L633" s="659"/>
      <c r="M633" s="659"/>
      <c r="N633" s="659"/>
      <c r="O633" s="659"/>
      <c r="P633" s="659"/>
    </row>
    <row r="634" spans="2:16" x14ac:dyDescent="0.2">
      <c r="B634" s="55"/>
      <c r="C634" s="55"/>
      <c r="D634" s="659"/>
      <c r="E634" s="659"/>
      <c r="F634" s="659"/>
      <c r="G634" s="659"/>
      <c r="H634" s="659"/>
      <c r="I634" s="659"/>
      <c r="J634" s="659"/>
      <c r="K634" s="659"/>
      <c r="L634" s="659"/>
      <c r="M634" s="659"/>
      <c r="N634" s="659"/>
      <c r="O634" s="659"/>
      <c r="P634" s="659"/>
    </row>
    <row r="635" spans="2:16" x14ac:dyDescent="0.2">
      <c r="B635" s="55"/>
      <c r="C635" s="55"/>
      <c r="D635" s="659"/>
      <c r="E635" s="659"/>
      <c r="F635" s="659"/>
      <c r="G635" s="659"/>
      <c r="H635" s="659"/>
      <c r="I635" s="659"/>
      <c r="J635" s="659"/>
      <c r="K635" s="659"/>
      <c r="L635" s="659"/>
      <c r="M635" s="659"/>
      <c r="N635" s="659"/>
      <c r="O635" s="659"/>
      <c r="P635" s="659"/>
    </row>
    <row r="636" spans="2:16" x14ac:dyDescent="0.2">
      <c r="B636" s="55"/>
      <c r="C636" s="55"/>
      <c r="D636" s="659"/>
      <c r="E636" s="659"/>
      <c r="F636" s="659"/>
      <c r="G636" s="659"/>
      <c r="H636" s="659"/>
      <c r="I636" s="659"/>
      <c r="J636" s="659"/>
      <c r="K636" s="659"/>
      <c r="L636" s="659"/>
      <c r="M636" s="659"/>
      <c r="N636" s="659"/>
      <c r="O636" s="659"/>
      <c r="P636" s="659"/>
    </row>
    <row r="637" spans="2:16" x14ac:dyDescent="0.2">
      <c r="B637" s="55"/>
      <c r="C637" s="55"/>
      <c r="D637" s="659"/>
      <c r="E637" s="659"/>
      <c r="F637" s="659"/>
      <c r="G637" s="659"/>
      <c r="H637" s="659"/>
      <c r="I637" s="659"/>
      <c r="J637" s="659"/>
      <c r="K637" s="659"/>
      <c r="L637" s="659"/>
      <c r="M637" s="659"/>
      <c r="N637" s="659"/>
      <c r="O637" s="659"/>
      <c r="P637" s="659"/>
    </row>
    <row r="638" spans="2:16" x14ac:dyDescent="0.2">
      <c r="B638" s="55"/>
      <c r="C638" s="55"/>
      <c r="D638" s="659"/>
      <c r="E638" s="659"/>
      <c r="F638" s="659"/>
      <c r="G638" s="659"/>
      <c r="H638" s="659"/>
      <c r="I638" s="659"/>
      <c r="J638" s="659"/>
      <c r="K638" s="659"/>
      <c r="L638" s="659"/>
      <c r="M638" s="659"/>
      <c r="N638" s="659"/>
      <c r="O638" s="659"/>
      <c r="P638" s="659"/>
    </row>
    <row r="639" spans="2:16" x14ac:dyDescent="0.2">
      <c r="B639" s="55"/>
      <c r="C639" s="55"/>
      <c r="D639" s="659"/>
      <c r="E639" s="659"/>
      <c r="F639" s="659"/>
      <c r="G639" s="659"/>
      <c r="H639" s="659"/>
      <c r="I639" s="659"/>
      <c r="J639" s="659"/>
      <c r="K639" s="659"/>
      <c r="L639" s="659"/>
      <c r="M639" s="659"/>
      <c r="N639" s="659"/>
      <c r="O639" s="659"/>
      <c r="P639" s="659"/>
    </row>
    <row r="640" spans="2:16" x14ac:dyDescent="0.2">
      <c r="B640" s="55"/>
      <c r="C640" s="55"/>
      <c r="D640" s="659"/>
      <c r="E640" s="659"/>
      <c r="F640" s="659"/>
      <c r="G640" s="659"/>
      <c r="H640" s="659"/>
      <c r="I640" s="659"/>
      <c r="J640" s="659"/>
      <c r="K640" s="659"/>
      <c r="L640" s="659"/>
      <c r="M640" s="659"/>
      <c r="N640" s="659"/>
      <c r="O640" s="659"/>
      <c r="P640" s="659"/>
    </row>
    <row r="641" spans="2:16" x14ac:dyDescent="0.2">
      <c r="B641" s="55"/>
      <c r="C641" s="55"/>
      <c r="D641" s="659"/>
      <c r="E641" s="659"/>
      <c r="F641" s="659"/>
      <c r="G641" s="659"/>
      <c r="H641" s="659"/>
      <c r="I641" s="659"/>
      <c r="J641" s="659"/>
      <c r="K641" s="659"/>
      <c r="L641" s="659"/>
      <c r="M641" s="659"/>
      <c r="N641" s="659"/>
      <c r="O641" s="659"/>
      <c r="P641" s="659"/>
    </row>
    <row r="642" spans="2:16" x14ac:dyDescent="0.2">
      <c r="B642" s="55"/>
      <c r="C642" s="55"/>
      <c r="D642" s="659"/>
      <c r="E642" s="659"/>
      <c r="F642" s="659"/>
      <c r="G642" s="659"/>
      <c r="H642" s="659"/>
      <c r="I642" s="659"/>
      <c r="J642" s="659"/>
      <c r="K642" s="659"/>
      <c r="L642" s="659"/>
      <c r="M642" s="659"/>
      <c r="N642" s="659"/>
      <c r="O642" s="659"/>
      <c r="P642" s="659"/>
    </row>
    <row r="643" spans="2:16" x14ac:dyDescent="0.2">
      <c r="B643" s="55"/>
      <c r="C643" s="55"/>
      <c r="D643" s="659"/>
      <c r="E643" s="659"/>
      <c r="F643" s="659"/>
      <c r="G643" s="659"/>
      <c r="H643" s="659"/>
      <c r="I643" s="659"/>
      <c r="J643" s="659"/>
      <c r="K643" s="659"/>
      <c r="L643" s="659"/>
      <c r="M643" s="659"/>
      <c r="N643" s="659"/>
      <c r="O643" s="659"/>
      <c r="P643" s="659"/>
    </row>
    <row r="644" spans="2:16" x14ac:dyDescent="0.2">
      <c r="B644" s="55"/>
      <c r="C644" s="55"/>
      <c r="D644" s="659"/>
      <c r="E644" s="659"/>
      <c r="F644" s="659"/>
      <c r="G644" s="659"/>
      <c r="H644" s="659"/>
      <c r="I644" s="659"/>
      <c r="J644" s="659"/>
      <c r="K644" s="659"/>
      <c r="L644" s="659"/>
      <c r="M644" s="659"/>
      <c r="N644" s="659"/>
      <c r="O644" s="659"/>
      <c r="P644" s="659"/>
    </row>
    <row r="645" spans="2:16" x14ac:dyDescent="0.2">
      <c r="B645" s="55"/>
      <c r="C645" s="55"/>
      <c r="D645" s="659"/>
      <c r="E645" s="659"/>
      <c r="F645" s="659"/>
      <c r="G645" s="659"/>
      <c r="H645" s="659"/>
      <c r="I645" s="659"/>
      <c r="J645" s="659"/>
      <c r="K645" s="659"/>
      <c r="L645" s="659"/>
      <c r="M645" s="659"/>
      <c r="N645" s="659"/>
      <c r="O645" s="659"/>
      <c r="P645" s="659"/>
    </row>
    <row r="646" spans="2:16" x14ac:dyDescent="0.2">
      <c r="B646" s="55"/>
      <c r="C646" s="55"/>
      <c r="D646" s="659"/>
      <c r="E646" s="659"/>
      <c r="F646" s="659"/>
      <c r="G646" s="659"/>
      <c r="H646" s="659"/>
      <c r="I646" s="659"/>
      <c r="J646" s="659"/>
      <c r="K646" s="659"/>
      <c r="L646" s="659"/>
      <c r="M646" s="659"/>
      <c r="N646" s="659"/>
      <c r="O646" s="659"/>
      <c r="P646" s="659"/>
    </row>
    <row r="647" spans="2:16" x14ac:dyDescent="0.2">
      <c r="B647" s="55"/>
      <c r="C647" s="55"/>
      <c r="D647" s="659"/>
      <c r="E647" s="659"/>
      <c r="F647" s="659"/>
      <c r="G647" s="659"/>
      <c r="H647" s="659"/>
      <c r="I647" s="659"/>
      <c r="J647" s="659"/>
      <c r="K647" s="659"/>
      <c r="L647" s="659"/>
      <c r="M647" s="659"/>
      <c r="N647" s="659"/>
      <c r="O647" s="659"/>
      <c r="P647" s="659"/>
    </row>
    <row r="648" spans="2:16" x14ac:dyDescent="0.2">
      <c r="B648" s="55"/>
      <c r="C648" s="55"/>
      <c r="D648" s="659"/>
      <c r="E648" s="659"/>
      <c r="F648" s="659"/>
      <c r="G648" s="659"/>
      <c r="H648" s="659"/>
      <c r="I648" s="659"/>
      <c r="J648" s="659"/>
      <c r="K648" s="659"/>
      <c r="L648" s="659"/>
      <c r="M648" s="659"/>
      <c r="N648" s="659"/>
      <c r="O648" s="659"/>
      <c r="P648" s="659"/>
    </row>
    <row r="649" spans="2:16" x14ac:dyDescent="0.2">
      <c r="B649" s="55"/>
      <c r="C649" s="55"/>
      <c r="D649" s="659"/>
      <c r="E649" s="659"/>
      <c r="F649" s="659"/>
      <c r="G649" s="659"/>
      <c r="H649" s="659"/>
      <c r="I649" s="659"/>
      <c r="J649" s="659"/>
      <c r="K649" s="659"/>
      <c r="L649" s="659"/>
      <c r="M649" s="659"/>
      <c r="N649" s="659"/>
      <c r="O649" s="659"/>
      <c r="P649" s="659"/>
    </row>
    <row r="650" spans="2:16" x14ac:dyDescent="0.2">
      <c r="B650" s="55"/>
      <c r="C650" s="55"/>
      <c r="D650" s="659"/>
      <c r="E650" s="659"/>
      <c r="F650" s="659"/>
      <c r="G650" s="659"/>
      <c r="H650" s="659"/>
      <c r="I650" s="659"/>
      <c r="J650" s="659"/>
      <c r="K650" s="659"/>
      <c r="L650" s="659"/>
      <c r="M650" s="659"/>
      <c r="N650" s="659"/>
      <c r="O650" s="659"/>
      <c r="P650" s="659"/>
    </row>
    <row r="651" spans="2:16" x14ac:dyDescent="0.2">
      <c r="B651" s="55"/>
      <c r="C651" s="55"/>
      <c r="D651" s="659"/>
      <c r="E651" s="659"/>
      <c r="F651" s="659"/>
      <c r="G651" s="659"/>
      <c r="H651" s="659"/>
      <c r="I651" s="659"/>
      <c r="J651" s="659"/>
      <c r="K651" s="659"/>
      <c r="L651" s="659"/>
      <c r="M651" s="659"/>
      <c r="N651" s="659"/>
      <c r="O651" s="659"/>
      <c r="P651" s="659"/>
    </row>
    <row r="652" spans="2:16" x14ac:dyDescent="0.2">
      <c r="B652" s="55"/>
      <c r="C652" s="55"/>
      <c r="D652" s="659"/>
      <c r="E652" s="659"/>
      <c r="F652" s="659"/>
      <c r="G652" s="659"/>
      <c r="H652" s="659"/>
      <c r="I652" s="659"/>
      <c r="J652" s="659"/>
      <c r="K652" s="659"/>
      <c r="L652" s="659"/>
      <c r="M652" s="659"/>
      <c r="N652" s="659"/>
      <c r="O652" s="659"/>
      <c r="P652" s="659"/>
    </row>
    <row r="653" spans="2:16" x14ac:dyDescent="0.2">
      <c r="B653" s="55"/>
      <c r="C653" s="55"/>
      <c r="D653" s="659"/>
      <c r="E653" s="659"/>
      <c r="F653" s="659"/>
      <c r="G653" s="659"/>
      <c r="H653" s="659"/>
      <c r="I653" s="659"/>
      <c r="J653" s="659"/>
      <c r="K653" s="659"/>
      <c r="L653" s="659"/>
      <c r="M653" s="659"/>
      <c r="N653" s="659"/>
      <c r="O653" s="659"/>
      <c r="P653" s="659"/>
    </row>
    <row r="654" spans="2:16" x14ac:dyDescent="0.2">
      <c r="B654" s="55"/>
      <c r="C654" s="55"/>
      <c r="D654" s="659"/>
      <c r="E654" s="659"/>
      <c r="F654" s="659"/>
      <c r="G654" s="659"/>
      <c r="H654" s="659"/>
      <c r="I654" s="659"/>
      <c r="J654" s="659"/>
      <c r="K654" s="659"/>
      <c r="L654" s="659"/>
      <c r="M654" s="659"/>
      <c r="N654" s="659"/>
      <c r="O654" s="659"/>
      <c r="P654" s="659"/>
    </row>
    <row r="655" spans="2:16" x14ac:dyDescent="0.2">
      <c r="B655" s="55"/>
      <c r="C655" s="55"/>
      <c r="D655" s="659"/>
      <c r="E655" s="659"/>
      <c r="F655" s="659"/>
      <c r="G655" s="659"/>
      <c r="H655" s="659"/>
      <c r="I655" s="659"/>
      <c r="J655" s="659"/>
      <c r="K655" s="659"/>
      <c r="L655" s="659"/>
      <c r="M655" s="659"/>
      <c r="N655" s="659"/>
      <c r="O655" s="659"/>
      <c r="P655" s="659"/>
    </row>
    <row r="656" spans="2:16" x14ac:dyDescent="0.2">
      <c r="B656" s="55"/>
      <c r="C656" s="55"/>
      <c r="D656" s="659"/>
      <c r="E656" s="659"/>
      <c r="F656" s="659"/>
      <c r="G656" s="659"/>
      <c r="H656" s="659"/>
      <c r="I656" s="659"/>
      <c r="J656" s="659"/>
      <c r="K656" s="659"/>
      <c r="L656" s="659"/>
      <c r="M656" s="659"/>
      <c r="N656" s="659"/>
      <c r="O656" s="659"/>
      <c r="P656" s="659"/>
    </row>
    <row r="657" spans="2:16" x14ac:dyDescent="0.2">
      <c r="B657" s="55"/>
      <c r="C657" s="55"/>
      <c r="D657" s="659"/>
      <c r="E657" s="659"/>
      <c r="F657" s="659"/>
      <c r="G657" s="659"/>
      <c r="H657" s="659"/>
      <c r="I657" s="659"/>
      <c r="J657" s="659"/>
      <c r="K657" s="659"/>
      <c r="L657" s="659"/>
      <c r="M657" s="659"/>
      <c r="N657" s="659"/>
      <c r="O657" s="659"/>
      <c r="P657" s="659"/>
    </row>
    <row r="658" spans="2:16" x14ac:dyDescent="0.2">
      <c r="B658" s="55"/>
      <c r="C658" s="55"/>
      <c r="D658" s="659"/>
      <c r="E658" s="659"/>
      <c r="F658" s="659"/>
      <c r="G658" s="659"/>
      <c r="H658" s="659"/>
      <c r="I658" s="659"/>
      <c r="J658" s="659"/>
      <c r="K658" s="659"/>
      <c r="L658" s="659"/>
      <c r="M658" s="659"/>
      <c r="N658" s="659"/>
      <c r="O658" s="659"/>
      <c r="P658" s="659"/>
    </row>
    <row r="659" spans="2:16" x14ac:dyDescent="0.2">
      <c r="B659" s="55"/>
      <c r="C659" s="55"/>
      <c r="D659" s="659"/>
      <c r="E659" s="659"/>
      <c r="F659" s="659"/>
      <c r="G659" s="659"/>
      <c r="H659" s="659"/>
      <c r="I659" s="659"/>
      <c r="J659" s="659"/>
      <c r="K659" s="659"/>
      <c r="L659" s="659"/>
      <c r="M659" s="659"/>
      <c r="N659" s="659"/>
      <c r="O659" s="659"/>
      <c r="P659" s="659"/>
    </row>
    <row r="660" spans="2:16" x14ac:dyDescent="0.2">
      <c r="B660" s="55"/>
      <c r="C660" s="55"/>
      <c r="D660" s="659"/>
      <c r="E660" s="659"/>
      <c r="F660" s="659"/>
      <c r="G660" s="659"/>
      <c r="H660" s="659"/>
      <c r="I660" s="659"/>
      <c r="J660" s="659"/>
      <c r="K660" s="659"/>
      <c r="L660" s="659"/>
      <c r="M660" s="659"/>
      <c r="N660" s="659"/>
      <c r="O660" s="659"/>
      <c r="P660" s="659"/>
    </row>
    <row r="661" spans="2:16" x14ac:dyDescent="0.2">
      <c r="B661" s="55"/>
      <c r="C661" s="55"/>
      <c r="D661" s="659"/>
      <c r="E661" s="659"/>
      <c r="F661" s="659"/>
      <c r="G661" s="659"/>
      <c r="H661" s="659"/>
      <c r="I661" s="659"/>
      <c r="J661" s="659"/>
      <c r="K661" s="659"/>
      <c r="L661" s="659"/>
      <c r="M661" s="659"/>
      <c r="N661" s="659"/>
      <c r="O661" s="659"/>
      <c r="P661" s="659"/>
    </row>
    <row r="662" spans="2:16" x14ac:dyDescent="0.2">
      <c r="B662" s="55"/>
      <c r="C662" s="55"/>
      <c r="D662" s="659"/>
      <c r="E662" s="659"/>
      <c r="F662" s="659"/>
      <c r="G662" s="659"/>
      <c r="H662" s="659"/>
      <c r="I662" s="659"/>
      <c r="J662" s="659"/>
      <c r="K662" s="659"/>
      <c r="L662" s="659"/>
      <c r="M662" s="659"/>
      <c r="N662" s="659"/>
      <c r="O662" s="659"/>
      <c r="P662" s="659"/>
    </row>
    <row r="663" spans="2:16" x14ac:dyDescent="0.2">
      <c r="B663" s="55"/>
      <c r="C663" s="55"/>
      <c r="D663" s="659"/>
      <c r="E663" s="659"/>
      <c r="F663" s="659"/>
      <c r="G663" s="659"/>
      <c r="H663" s="659"/>
      <c r="I663" s="659"/>
      <c r="J663" s="659"/>
      <c r="K663" s="659"/>
      <c r="L663" s="659"/>
      <c r="M663" s="659"/>
      <c r="N663" s="659"/>
      <c r="O663" s="659"/>
      <c r="P663" s="659"/>
    </row>
    <row r="664" spans="2:16" x14ac:dyDescent="0.2">
      <c r="B664" s="55"/>
      <c r="C664" s="55"/>
      <c r="D664" s="659"/>
      <c r="E664" s="659"/>
      <c r="F664" s="659"/>
      <c r="G664" s="659"/>
      <c r="H664" s="659"/>
      <c r="I664" s="659"/>
      <c r="J664" s="659"/>
      <c r="K664" s="659"/>
      <c r="L664" s="659"/>
      <c r="M664" s="659"/>
      <c r="N664" s="659"/>
      <c r="O664" s="659"/>
      <c r="P664" s="659"/>
    </row>
    <row r="665" spans="2:16" x14ac:dyDescent="0.2">
      <c r="B665" s="55"/>
      <c r="C665" s="55"/>
      <c r="D665" s="659"/>
      <c r="E665" s="659"/>
      <c r="F665" s="659"/>
      <c r="G665" s="659"/>
      <c r="H665" s="659"/>
      <c r="I665" s="659"/>
      <c r="J665" s="659"/>
      <c r="K665" s="659"/>
      <c r="L665" s="659"/>
      <c r="M665" s="659"/>
      <c r="N665" s="659"/>
      <c r="O665" s="659"/>
      <c r="P665" s="659"/>
    </row>
    <row r="666" spans="2:16" x14ac:dyDescent="0.2">
      <c r="B666" s="55"/>
      <c r="C666" s="55"/>
      <c r="D666" s="659"/>
      <c r="E666" s="659"/>
      <c r="F666" s="659"/>
      <c r="G666" s="659"/>
      <c r="H666" s="659"/>
      <c r="I666" s="659"/>
      <c r="J666" s="659"/>
      <c r="K666" s="659"/>
      <c r="L666" s="659"/>
      <c r="M666" s="659"/>
      <c r="N666" s="659"/>
      <c r="O666" s="659"/>
      <c r="P666" s="659"/>
    </row>
    <row r="667" spans="2:16" x14ac:dyDescent="0.2">
      <c r="B667" s="55"/>
      <c r="C667" s="55"/>
      <c r="D667" s="659"/>
      <c r="E667" s="659"/>
      <c r="F667" s="659"/>
      <c r="G667" s="659"/>
      <c r="H667" s="659"/>
      <c r="I667" s="659"/>
      <c r="J667" s="659"/>
      <c r="K667" s="659"/>
      <c r="L667" s="659"/>
      <c r="M667" s="659"/>
      <c r="N667" s="659"/>
      <c r="O667" s="659"/>
      <c r="P667" s="659"/>
    </row>
    <row r="668" spans="2:16" x14ac:dyDescent="0.2">
      <c r="B668" s="55"/>
      <c r="C668" s="55"/>
      <c r="D668" s="659"/>
      <c r="E668" s="659"/>
      <c r="F668" s="659"/>
      <c r="G668" s="659"/>
      <c r="H668" s="659"/>
      <c r="I668" s="659"/>
      <c r="J668" s="659"/>
      <c r="K668" s="659"/>
      <c r="L668" s="659"/>
      <c r="M668" s="659"/>
      <c r="N668" s="659"/>
      <c r="O668" s="659"/>
      <c r="P668" s="659"/>
    </row>
    <row r="669" spans="2:16" x14ac:dyDescent="0.2">
      <c r="B669" s="55"/>
      <c r="C669" s="55"/>
      <c r="D669" s="659"/>
      <c r="E669" s="659"/>
      <c r="F669" s="659"/>
      <c r="G669" s="659"/>
      <c r="H669" s="659"/>
      <c r="I669" s="659"/>
      <c r="J669" s="659"/>
      <c r="K669" s="659"/>
      <c r="L669" s="659"/>
      <c r="M669" s="659"/>
      <c r="N669" s="659"/>
      <c r="O669" s="659"/>
      <c r="P669" s="659"/>
    </row>
    <row r="670" spans="2:16" x14ac:dyDescent="0.2">
      <c r="B670" s="55"/>
      <c r="C670" s="55"/>
      <c r="D670" s="659"/>
      <c r="E670" s="659"/>
      <c r="F670" s="659"/>
      <c r="G670" s="659"/>
      <c r="H670" s="659"/>
      <c r="I670" s="659"/>
      <c r="J670" s="659"/>
      <c r="K670" s="659"/>
      <c r="L670" s="659"/>
      <c r="M670" s="659"/>
      <c r="N670" s="659"/>
      <c r="O670" s="659"/>
      <c r="P670" s="659"/>
    </row>
    <row r="671" spans="2:16" x14ac:dyDescent="0.2">
      <c r="B671" s="55"/>
      <c r="C671" s="55"/>
      <c r="D671" s="659"/>
      <c r="E671" s="659"/>
      <c r="F671" s="659"/>
      <c r="G671" s="659"/>
      <c r="H671" s="659"/>
      <c r="I671" s="659"/>
      <c r="J671" s="659"/>
      <c r="K671" s="659"/>
      <c r="L671" s="659"/>
      <c r="M671" s="659"/>
      <c r="N671" s="659"/>
      <c r="O671" s="659"/>
      <c r="P671" s="659"/>
    </row>
    <row r="672" spans="2:16" x14ac:dyDescent="0.2">
      <c r="B672" s="55"/>
      <c r="C672" s="55"/>
      <c r="D672" s="659"/>
      <c r="E672" s="659"/>
      <c r="F672" s="659"/>
      <c r="G672" s="659"/>
      <c r="H672" s="659"/>
      <c r="I672" s="659"/>
      <c r="J672" s="659"/>
      <c r="K672" s="659"/>
      <c r="L672" s="659"/>
      <c r="M672" s="659"/>
      <c r="N672" s="659"/>
      <c r="O672" s="659"/>
      <c r="P672" s="659"/>
    </row>
    <row r="673" spans="2:16" x14ac:dyDescent="0.2">
      <c r="B673" s="55"/>
      <c r="C673" s="55"/>
      <c r="D673" s="659"/>
      <c r="E673" s="659"/>
      <c r="F673" s="659"/>
      <c r="G673" s="659"/>
      <c r="H673" s="659"/>
      <c r="I673" s="659"/>
      <c r="J673" s="659"/>
      <c r="K673" s="659"/>
      <c r="L673" s="659"/>
      <c r="M673" s="659"/>
      <c r="N673" s="659"/>
      <c r="O673" s="659"/>
      <c r="P673" s="659"/>
    </row>
    <row r="674" spans="2:16" x14ac:dyDescent="0.2">
      <c r="B674" s="55"/>
      <c r="C674" s="55"/>
      <c r="D674" s="659"/>
      <c r="E674" s="659"/>
      <c r="F674" s="659"/>
      <c r="G674" s="659"/>
      <c r="H674" s="659"/>
      <c r="I674" s="659"/>
      <c r="J674" s="659"/>
      <c r="K674" s="659"/>
      <c r="L674" s="659"/>
      <c r="M674" s="659"/>
      <c r="N674" s="659"/>
      <c r="O674" s="659"/>
      <c r="P674" s="659"/>
    </row>
    <row r="675" spans="2:16" x14ac:dyDescent="0.2">
      <c r="B675" s="55"/>
      <c r="C675" s="55"/>
      <c r="D675" s="659"/>
      <c r="E675" s="659"/>
      <c r="F675" s="659"/>
      <c r="G675" s="659"/>
      <c r="H675" s="659"/>
      <c r="I675" s="659"/>
      <c r="J675" s="659"/>
      <c r="K675" s="659"/>
      <c r="L675" s="659"/>
      <c r="M675" s="659"/>
      <c r="N675" s="659"/>
      <c r="O675" s="659"/>
      <c r="P675" s="659"/>
    </row>
    <row r="676" spans="2:16" x14ac:dyDescent="0.2">
      <c r="B676" s="55"/>
      <c r="C676" s="55"/>
      <c r="D676" s="659"/>
      <c r="E676" s="659"/>
      <c r="F676" s="659"/>
      <c r="G676" s="659"/>
      <c r="H676" s="659"/>
      <c r="I676" s="659"/>
      <c r="J676" s="659"/>
      <c r="K676" s="659"/>
      <c r="L676" s="659"/>
      <c r="M676" s="659"/>
      <c r="N676" s="659"/>
      <c r="O676" s="659"/>
      <c r="P676" s="659"/>
    </row>
    <row r="677" spans="2:16" x14ac:dyDescent="0.2">
      <c r="B677" s="55"/>
      <c r="C677" s="55"/>
      <c r="D677" s="659"/>
      <c r="E677" s="659"/>
      <c r="F677" s="659"/>
      <c r="G677" s="659"/>
      <c r="H677" s="659"/>
      <c r="I677" s="659"/>
      <c r="J677" s="659"/>
      <c r="K677" s="659"/>
      <c r="L677" s="659"/>
      <c r="M677" s="659"/>
      <c r="N677" s="659"/>
      <c r="O677" s="659"/>
      <c r="P677" s="659"/>
    </row>
    <row r="678" spans="2:16" x14ac:dyDescent="0.2">
      <c r="B678" s="55"/>
      <c r="C678" s="55"/>
      <c r="D678" s="659"/>
      <c r="E678" s="659"/>
      <c r="F678" s="659"/>
      <c r="G678" s="659"/>
      <c r="H678" s="659"/>
      <c r="I678" s="659"/>
      <c r="J678" s="659"/>
      <c r="K678" s="659"/>
      <c r="L678" s="659"/>
      <c r="M678" s="659"/>
      <c r="N678" s="659"/>
      <c r="O678" s="659"/>
      <c r="P678" s="659"/>
    </row>
    <row r="679" spans="2:16" x14ac:dyDescent="0.2">
      <c r="B679" s="55"/>
      <c r="C679" s="55"/>
      <c r="D679" s="659"/>
      <c r="E679" s="659"/>
      <c r="F679" s="659"/>
      <c r="G679" s="659"/>
      <c r="H679" s="659"/>
      <c r="I679" s="659"/>
      <c r="J679" s="659"/>
      <c r="K679" s="659"/>
      <c r="L679" s="659"/>
      <c r="M679" s="659"/>
      <c r="N679" s="659"/>
      <c r="O679" s="659"/>
      <c r="P679" s="659"/>
    </row>
    <row r="680" spans="2:16" x14ac:dyDescent="0.2">
      <c r="B680" s="55"/>
      <c r="C680" s="55"/>
      <c r="D680" s="659"/>
      <c r="E680" s="659"/>
      <c r="F680" s="659"/>
      <c r="G680" s="659"/>
      <c r="H680" s="659"/>
      <c r="I680" s="659"/>
      <c r="J680" s="659"/>
      <c r="K680" s="659"/>
      <c r="L680" s="659"/>
      <c r="M680" s="659"/>
      <c r="N680" s="659"/>
      <c r="O680" s="659"/>
      <c r="P680" s="659"/>
    </row>
    <row r="681" spans="2:16" x14ac:dyDescent="0.2">
      <c r="B681" s="55"/>
      <c r="C681" s="55"/>
      <c r="D681" s="659"/>
      <c r="E681" s="659"/>
      <c r="F681" s="659"/>
      <c r="G681" s="659"/>
      <c r="H681" s="659"/>
      <c r="I681" s="659"/>
      <c r="J681" s="659"/>
      <c r="K681" s="659"/>
      <c r="L681" s="659"/>
      <c r="M681" s="659"/>
      <c r="N681" s="659"/>
      <c r="O681" s="659"/>
      <c r="P681" s="659"/>
    </row>
    <row r="682" spans="2:16" x14ac:dyDescent="0.2">
      <c r="B682" s="55"/>
      <c r="C682" s="55"/>
      <c r="D682" s="659"/>
      <c r="E682" s="659"/>
      <c r="F682" s="659"/>
      <c r="G682" s="659"/>
      <c r="H682" s="659"/>
      <c r="I682" s="659"/>
      <c r="J682" s="659"/>
      <c r="K682" s="659"/>
      <c r="L682" s="659"/>
      <c r="M682" s="659"/>
      <c r="N682" s="659"/>
      <c r="O682" s="659"/>
      <c r="P682" s="659"/>
    </row>
    <row r="683" spans="2:16" x14ac:dyDescent="0.2">
      <c r="B683" s="55"/>
      <c r="C683" s="55"/>
      <c r="D683" s="659"/>
      <c r="E683" s="659"/>
      <c r="F683" s="659"/>
      <c r="G683" s="659"/>
      <c r="H683" s="659"/>
      <c r="I683" s="659"/>
      <c r="J683" s="659"/>
      <c r="K683" s="659"/>
      <c r="L683" s="659"/>
      <c r="M683" s="659"/>
      <c r="N683" s="659"/>
      <c r="O683" s="659"/>
      <c r="P683" s="659"/>
    </row>
    <row r="684" spans="2:16" x14ac:dyDescent="0.2">
      <c r="B684" s="55"/>
      <c r="C684" s="55"/>
      <c r="D684" s="659"/>
      <c r="E684" s="659"/>
      <c r="F684" s="659"/>
      <c r="G684" s="659"/>
      <c r="H684" s="659"/>
      <c r="I684" s="659"/>
      <c r="J684" s="659"/>
      <c r="K684" s="659"/>
      <c r="L684" s="659"/>
      <c r="M684" s="659"/>
      <c r="N684" s="659"/>
      <c r="O684" s="659"/>
      <c r="P684" s="659"/>
    </row>
    <row r="685" spans="2:16" x14ac:dyDescent="0.2">
      <c r="B685" s="55"/>
      <c r="C685" s="55"/>
      <c r="D685" s="659"/>
      <c r="E685" s="659"/>
      <c r="F685" s="659"/>
      <c r="G685" s="659"/>
      <c r="H685" s="659"/>
      <c r="I685" s="659"/>
      <c r="J685" s="659"/>
      <c r="K685" s="659"/>
      <c r="L685" s="659"/>
      <c r="M685" s="659"/>
      <c r="N685" s="659"/>
      <c r="O685" s="659"/>
      <c r="P685" s="659"/>
    </row>
    <row r="686" spans="2:16" x14ac:dyDescent="0.2">
      <c r="B686" s="55"/>
      <c r="C686" s="55"/>
      <c r="D686" s="659"/>
      <c r="E686" s="659"/>
      <c r="F686" s="659"/>
      <c r="G686" s="659"/>
      <c r="H686" s="659"/>
      <c r="I686" s="659"/>
      <c r="J686" s="659"/>
      <c r="K686" s="659"/>
      <c r="L686" s="659"/>
      <c r="M686" s="659"/>
      <c r="N686" s="659"/>
      <c r="O686" s="659"/>
      <c r="P686" s="659"/>
    </row>
    <row r="687" spans="2:16" x14ac:dyDescent="0.2">
      <c r="B687" s="55"/>
      <c r="C687" s="55"/>
      <c r="D687" s="659"/>
      <c r="E687" s="659"/>
      <c r="F687" s="659"/>
      <c r="G687" s="659"/>
      <c r="H687" s="659"/>
      <c r="I687" s="659"/>
      <c r="J687" s="659"/>
      <c r="K687" s="659"/>
      <c r="L687" s="659"/>
      <c r="M687" s="659"/>
      <c r="N687" s="659"/>
      <c r="O687" s="659"/>
      <c r="P687" s="659"/>
    </row>
    <row r="688" spans="2:16" x14ac:dyDescent="0.2">
      <c r="B688" s="55"/>
      <c r="C688" s="55"/>
      <c r="D688" s="659"/>
      <c r="E688" s="659"/>
      <c r="F688" s="659"/>
      <c r="G688" s="659"/>
      <c r="H688" s="659"/>
      <c r="I688" s="659"/>
      <c r="J688" s="659"/>
      <c r="K688" s="659"/>
      <c r="L688" s="659"/>
      <c r="M688" s="659"/>
      <c r="N688" s="659"/>
      <c r="O688" s="659"/>
      <c r="P688" s="659"/>
    </row>
    <row r="689" spans="2:16" x14ac:dyDescent="0.2">
      <c r="B689" s="55"/>
      <c r="C689" s="55"/>
      <c r="D689" s="659"/>
      <c r="E689" s="659"/>
      <c r="F689" s="659"/>
      <c r="G689" s="659"/>
      <c r="H689" s="659"/>
      <c r="I689" s="659"/>
      <c r="J689" s="659"/>
      <c r="K689" s="659"/>
      <c r="L689" s="659"/>
      <c r="M689" s="659"/>
      <c r="N689" s="659"/>
      <c r="O689" s="659"/>
      <c r="P689" s="659"/>
    </row>
    <row r="690" spans="2:16" x14ac:dyDescent="0.2">
      <c r="B690" s="55"/>
      <c r="C690" s="55"/>
      <c r="D690" s="659"/>
      <c r="E690" s="659"/>
      <c r="F690" s="659"/>
      <c r="G690" s="659"/>
      <c r="H690" s="659"/>
      <c r="I690" s="659"/>
      <c r="J690" s="659"/>
      <c r="K690" s="659"/>
      <c r="L690" s="659"/>
      <c r="M690" s="659"/>
      <c r="N690" s="659"/>
      <c r="O690" s="659"/>
      <c r="P690" s="659"/>
    </row>
    <row r="691" spans="2:16" x14ac:dyDescent="0.2">
      <c r="B691" s="55"/>
      <c r="C691" s="55"/>
      <c r="D691" s="659"/>
      <c r="E691" s="659"/>
      <c r="F691" s="659"/>
      <c r="G691" s="659"/>
      <c r="H691" s="659"/>
      <c r="I691" s="659"/>
      <c r="J691" s="659"/>
      <c r="K691" s="659"/>
      <c r="L691" s="659"/>
      <c r="M691" s="659"/>
      <c r="N691" s="659"/>
      <c r="O691" s="659"/>
      <c r="P691" s="659"/>
    </row>
    <row r="692" spans="2:16" x14ac:dyDescent="0.2">
      <c r="B692" s="55"/>
      <c r="C692" s="55"/>
      <c r="D692" s="659"/>
      <c r="E692" s="659"/>
      <c r="F692" s="659"/>
      <c r="G692" s="659"/>
      <c r="H692" s="659"/>
      <c r="I692" s="659"/>
      <c r="J692" s="659"/>
      <c r="K692" s="659"/>
      <c r="L692" s="659"/>
      <c r="M692" s="659"/>
      <c r="N692" s="659"/>
      <c r="O692" s="659"/>
      <c r="P692" s="659"/>
    </row>
    <row r="693" spans="2:16" x14ac:dyDescent="0.2">
      <c r="B693" s="55"/>
      <c r="C693" s="55"/>
      <c r="D693" s="659"/>
      <c r="E693" s="659"/>
      <c r="F693" s="659"/>
      <c r="G693" s="659"/>
      <c r="H693" s="659"/>
      <c r="I693" s="659"/>
      <c r="J693" s="659"/>
      <c r="K693" s="659"/>
      <c r="L693" s="659"/>
      <c r="M693" s="659"/>
      <c r="N693" s="659"/>
      <c r="O693" s="659"/>
      <c r="P693" s="659"/>
    </row>
    <row r="694" spans="2:16" x14ac:dyDescent="0.2">
      <c r="B694" s="55"/>
      <c r="C694" s="55"/>
      <c r="D694" s="659"/>
      <c r="E694" s="659"/>
      <c r="F694" s="659"/>
      <c r="G694" s="659"/>
      <c r="H694" s="659"/>
      <c r="I694" s="659"/>
      <c r="J694" s="659"/>
      <c r="K694" s="659"/>
      <c r="L694" s="659"/>
      <c r="M694" s="659"/>
      <c r="N694" s="659"/>
      <c r="O694" s="659"/>
      <c r="P694" s="659"/>
    </row>
    <row r="695" spans="2:16" x14ac:dyDescent="0.2">
      <c r="B695" s="55"/>
      <c r="C695" s="55"/>
      <c r="D695" s="659"/>
      <c r="E695" s="659"/>
      <c r="F695" s="659"/>
      <c r="G695" s="659"/>
      <c r="H695" s="659"/>
      <c r="I695" s="659"/>
      <c r="J695" s="659"/>
      <c r="K695" s="659"/>
      <c r="L695" s="659"/>
      <c r="M695" s="659"/>
      <c r="N695" s="659"/>
      <c r="O695" s="659"/>
      <c r="P695" s="659"/>
    </row>
    <row r="696" spans="2:16" x14ac:dyDescent="0.2">
      <c r="B696" s="55"/>
      <c r="C696" s="55"/>
      <c r="D696" s="659"/>
      <c r="E696" s="659"/>
      <c r="F696" s="659"/>
      <c r="G696" s="659"/>
      <c r="H696" s="659"/>
      <c r="I696" s="659"/>
      <c r="J696" s="659"/>
      <c r="K696" s="659"/>
      <c r="L696" s="659"/>
      <c r="M696" s="659"/>
      <c r="N696" s="659"/>
      <c r="O696" s="659"/>
      <c r="P696" s="659"/>
    </row>
    <row r="697" spans="2:16" x14ac:dyDescent="0.2">
      <c r="B697" s="55"/>
      <c r="C697" s="55"/>
      <c r="D697" s="659"/>
      <c r="E697" s="659"/>
      <c r="F697" s="659"/>
      <c r="G697" s="659"/>
      <c r="H697" s="659"/>
      <c r="I697" s="659"/>
      <c r="J697" s="659"/>
      <c r="K697" s="659"/>
      <c r="L697" s="659"/>
      <c r="M697" s="659"/>
      <c r="N697" s="659"/>
      <c r="O697" s="659"/>
      <c r="P697" s="659"/>
    </row>
    <row r="698" spans="2:16" x14ac:dyDescent="0.2">
      <c r="B698" s="55"/>
      <c r="C698" s="55"/>
      <c r="D698" s="659"/>
      <c r="E698" s="659"/>
      <c r="F698" s="659"/>
      <c r="G698" s="659"/>
      <c r="H698" s="659"/>
      <c r="I698" s="659"/>
      <c r="J698" s="659"/>
      <c r="K698" s="659"/>
      <c r="L698" s="659"/>
      <c r="M698" s="659"/>
      <c r="N698" s="659"/>
      <c r="O698" s="659"/>
      <c r="P698" s="659"/>
    </row>
    <row r="699" spans="2:16" x14ac:dyDescent="0.2">
      <c r="B699" s="55"/>
      <c r="C699" s="55"/>
      <c r="D699" s="659"/>
      <c r="E699" s="659"/>
      <c r="F699" s="659"/>
      <c r="G699" s="659"/>
      <c r="H699" s="659"/>
      <c r="I699" s="659"/>
      <c r="J699" s="659"/>
      <c r="K699" s="659"/>
      <c r="L699" s="659"/>
      <c r="M699" s="659"/>
      <c r="N699" s="659"/>
      <c r="O699" s="659"/>
      <c r="P699" s="659"/>
    </row>
    <row r="700" spans="2:16" x14ac:dyDescent="0.2">
      <c r="B700" s="55"/>
      <c r="C700" s="55"/>
      <c r="D700" s="659"/>
      <c r="E700" s="659"/>
      <c r="F700" s="659"/>
      <c r="G700" s="659"/>
      <c r="H700" s="659"/>
      <c r="I700" s="659"/>
      <c r="J700" s="659"/>
      <c r="K700" s="659"/>
      <c r="L700" s="659"/>
      <c r="M700" s="659"/>
      <c r="N700" s="659"/>
      <c r="O700" s="659"/>
      <c r="P700" s="659"/>
    </row>
    <row r="701" spans="2:16" x14ac:dyDescent="0.2">
      <c r="B701" s="55"/>
      <c r="C701" s="55"/>
      <c r="D701" s="659"/>
      <c r="E701" s="659"/>
      <c r="F701" s="659"/>
      <c r="G701" s="659"/>
      <c r="H701" s="659"/>
      <c r="I701" s="659"/>
      <c r="J701" s="659"/>
      <c r="K701" s="659"/>
      <c r="L701" s="659"/>
      <c r="M701" s="659"/>
      <c r="N701" s="659"/>
      <c r="O701" s="659"/>
      <c r="P701" s="659"/>
    </row>
    <row r="702" spans="2:16" x14ac:dyDescent="0.2">
      <c r="B702" s="55"/>
      <c r="C702" s="55"/>
      <c r="D702" s="659"/>
      <c r="E702" s="659"/>
      <c r="F702" s="659"/>
      <c r="G702" s="659"/>
      <c r="H702" s="659"/>
      <c r="I702" s="659"/>
      <c r="J702" s="659"/>
      <c r="K702" s="659"/>
      <c r="L702" s="659"/>
      <c r="M702" s="659"/>
      <c r="N702" s="659"/>
      <c r="O702" s="659"/>
      <c r="P702" s="659"/>
    </row>
    <row r="703" spans="2:16" x14ac:dyDescent="0.2">
      <c r="B703" s="55"/>
      <c r="C703" s="55"/>
      <c r="D703" s="659"/>
      <c r="E703" s="659"/>
      <c r="F703" s="659"/>
      <c r="G703" s="659"/>
      <c r="H703" s="659"/>
      <c r="I703" s="659"/>
      <c r="J703" s="659"/>
      <c r="K703" s="659"/>
      <c r="L703" s="659"/>
      <c r="M703" s="659"/>
      <c r="N703" s="659"/>
      <c r="O703" s="659"/>
      <c r="P703" s="659"/>
    </row>
    <row r="704" spans="2:16" x14ac:dyDescent="0.2">
      <c r="B704" s="55"/>
      <c r="C704" s="55"/>
      <c r="D704" s="659"/>
      <c r="E704" s="659"/>
      <c r="F704" s="659"/>
      <c r="G704" s="659"/>
      <c r="H704" s="659"/>
      <c r="I704" s="659"/>
      <c r="J704" s="659"/>
      <c r="K704" s="659"/>
      <c r="L704" s="659"/>
      <c r="M704" s="659"/>
      <c r="N704" s="659"/>
      <c r="O704" s="659"/>
      <c r="P704" s="659"/>
    </row>
    <row r="705" spans="2:16" x14ac:dyDescent="0.2">
      <c r="B705" s="55"/>
      <c r="C705" s="55"/>
      <c r="D705" s="659"/>
      <c r="E705" s="659"/>
      <c r="F705" s="659"/>
      <c r="G705" s="659"/>
      <c r="H705" s="659"/>
      <c r="I705" s="659"/>
      <c r="J705" s="659"/>
      <c r="K705" s="659"/>
      <c r="L705" s="659"/>
      <c r="M705" s="659"/>
      <c r="N705" s="659"/>
      <c r="O705" s="659"/>
      <c r="P705" s="659"/>
    </row>
    <row r="706" spans="2:16" x14ac:dyDescent="0.2">
      <c r="B706" s="55"/>
      <c r="C706" s="55"/>
      <c r="D706" s="659"/>
      <c r="E706" s="659"/>
      <c r="F706" s="659"/>
      <c r="G706" s="659"/>
      <c r="H706" s="659"/>
      <c r="I706" s="659"/>
      <c r="J706" s="659"/>
      <c r="K706" s="659"/>
      <c r="L706" s="659"/>
      <c r="M706" s="659"/>
      <c r="N706" s="659"/>
      <c r="O706" s="659"/>
      <c r="P706" s="659"/>
    </row>
    <row r="707" spans="2:16" x14ac:dyDescent="0.2">
      <c r="B707" s="55"/>
      <c r="C707" s="55"/>
      <c r="D707" s="659"/>
      <c r="E707" s="659"/>
      <c r="F707" s="659"/>
      <c r="G707" s="659"/>
      <c r="H707" s="659"/>
      <c r="I707" s="659"/>
      <c r="J707" s="659"/>
      <c r="K707" s="659"/>
      <c r="L707" s="659"/>
      <c r="M707" s="659"/>
      <c r="N707" s="659"/>
      <c r="O707" s="659"/>
      <c r="P707" s="659"/>
    </row>
    <row r="708" spans="2:16" x14ac:dyDescent="0.2">
      <c r="B708" s="55"/>
      <c r="C708" s="55"/>
      <c r="D708" s="659"/>
      <c r="E708" s="659"/>
      <c r="F708" s="659"/>
      <c r="G708" s="659"/>
      <c r="H708" s="659"/>
      <c r="I708" s="659"/>
      <c r="J708" s="659"/>
      <c r="K708" s="659"/>
      <c r="L708" s="659"/>
      <c r="M708" s="659"/>
      <c r="N708" s="659"/>
      <c r="O708" s="659"/>
      <c r="P708" s="659"/>
    </row>
    <row r="709" spans="2:16" x14ac:dyDescent="0.2">
      <c r="B709" s="55"/>
      <c r="C709" s="55"/>
      <c r="D709" s="659"/>
      <c r="E709" s="659"/>
      <c r="F709" s="659"/>
      <c r="G709" s="659"/>
      <c r="H709" s="659"/>
      <c r="I709" s="659"/>
      <c r="J709" s="659"/>
      <c r="K709" s="659"/>
      <c r="L709" s="659"/>
      <c r="M709" s="659"/>
      <c r="N709" s="659"/>
      <c r="O709" s="659"/>
      <c r="P709" s="659"/>
    </row>
    <row r="710" spans="2:16" x14ac:dyDescent="0.2">
      <c r="B710" s="55"/>
      <c r="C710" s="55"/>
      <c r="D710" s="659"/>
      <c r="E710" s="659"/>
      <c r="F710" s="659"/>
      <c r="G710" s="659"/>
      <c r="H710" s="659"/>
      <c r="I710" s="659"/>
      <c r="J710" s="659"/>
      <c r="K710" s="659"/>
      <c r="L710" s="659"/>
      <c r="M710" s="659"/>
      <c r="N710" s="659"/>
      <c r="O710" s="659"/>
      <c r="P710" s="659"/>
    </row>
    <row r="711" spans="2:16" x14ac:dyDescent="0.2">
      <c r="B711" s="55"/>
      <c r="C711" s="55"/>
      <c r="D711" s="659"/>
      <c r="E711" s="659"/>
      <c r="F711" s="659"/>
      <c r="G711" s="659"/>
      <c r="H711" s="659"/>
      <c r="I711" s="659"/>
      <c r="J711" s="659"/>
      <c r="K711" s="659"/>
      <c r="L711" s="659"/>
      <c r="M711" s="659"/>
      <c r="N711" s="659"/>
      <c r="O711" s="659"/>
      <c r="P711" s="659"/>
    </row>
    <row r="712" spans="2:16" x14ac:dyDescent="0.2">
      <c r="B712" s="55"/>
      <c r="C712" s="55"/>
      <c r="D712" s="659"/>
      <c r="E712" s="659"/>
      <c r="F712" s="659"/>
      <c r="G712" s="659"/>
      <c r="H712" s="659"/>
      <c r="I712" s="659"/>
      <c r="J712" s="659"/>
      <c r="K712" s="659"/>
      <c r="L712" s="659"/>
      <c r="M712" s="659"/>
      <c r="N712" s="659"/>
      <c r="O712" s="659"/>
      <c r="P712" s="659"/>
    </row>
    <row r="713" spans="2:16" x14ac:dyDescent="0.2">
      <c r="B713" s="55"/>
      <c r="C713" s="55"/>
      <c r="D713" s="659"/>
      <c r="E713" s="659"/>
      <c r="F713" s="659"/>
      <c r="G713" s="659"/>
      <c r="H713" s="659"/>
      <c r="I713" s="659"/>
      <c r="J713" s="659"/>
      <c r="K713" s="659"/>
      <c r="L713" s="659"/>
      <c r="M713" s="659"/>
      <c r="N713" s="659"/>
      <c r="O713" s="659"/>
      <c r="P713" s="659"/>
    </row>
    <row r="714" spans="2:16" x14ac:dyDescent="0.2">
      <c r="B714" s="55"/>
      <c r="C714" s="55"/>
      <c r="D714" s="659"/>
      <c r="E714" s="659"/>
      <c r="F714" s="659"/>
      <c r="G714" s="659"/>
      <c r="H714" s="659"/>
      <c r="I714" s="659"/>
      <c r="J714" s="659"/>
      <c r="K714" s="659"/>
      <c r="L714" s="659"/>
      <c r="M714" s="659"/>
      <c r="N714" s="659"/>
      <c r="O714" s="659"/>
      <c r="P714" s="659"/>
    </row>
    <row r="715" spans="2:16" x14ac:dyDescent="0.2">
      <c r="B715" s="55"/>
      <c r="C715" s="55"/>
      <c r="D715" s="659"/>
      <c r="E715" s="659"/>
      <c r="F715" s="659"/>
      <c r="G715" s="659"/>
      <c r="H715" s="659"/>
      <c r="I715" s="659"/>
      <c r="J715" s="659"/>
      <c r="K715" s="659"/>
      <c r="L715" s="659"/>
      <c r="M715" s="659"/>
      <c r="N715" s="659"/>
      <c r="O715" s="659"/>
      <c r="P715" s="659"/>
    </row>
    <row r="716" spans="2:16" x14ac:dyDescent="0.2">
      <c r="B716" s="55"/>
      <c r="C716" s="55"/>
      <c r="D716" s="659"/>
      <c r="E716" s="659"/>
      <c r="F716" s="659"/>
      <c r="G716" s="659"/>
      <c r="H716" s="659"/>
      <c r="I716" s="659"/>
      <c r="J716" s="659"/>
      <c r="K716" s="659"/>
      <c r="L716" s="659"/>
      <c r="M716" s="659"/>
      <c r="N716" s="659"/>
      <c r="O716" s="659"/>
      <c r="P716" s="659"/>
    </row>
    <row r="717" spans="2:16" x14ac:dyDescent="0.2">
      <c r="B717" s="55"/>
      <c r="C717" s="55"/>
      <c r="D717" s="659"/>
      <c r="E717" s="659"/>
      <c r="F717" s="659"/>
      <c r="G717" s="659"/>
      <c r="H717" s="659"/>
      <c r="I717" s="659"/>
      <c r="J717" s="659"/>
      <c r="K717" s="659"/>
      <c r="L717" s="659"/>
      <c r="M717" s="659"/>
      <c r="N717" s="659"/>
      <c r="O717" s="659"/>
      <c r="P717" s="659"/>
    </row>
    <row r="718" spans="2:16" x14ac:dyDescent="0.2">
      <c r="B718" s="55"/>
      <c r="C718" s="55"/>
      <c r="D718" s="659"/>
      <c r="E718" s="659"/>
      <c r="F718" s="659"/>
      <c r="G718" s="659"/>
      <c r="H718" s="659"/>
      <c r="I718" s="659"/>
      <c r="J718" s="659"/>
      <c r="K718" s="659"/>
      <c r="L718" s="659"/>
      <c r="M718" s="659"/>
      <c r="N718" s="659"/>
      <c r="O718" s="659"/>
      <c r="P718" s="659"/>
    </row>
    <row r="719" spans="2:16" x14ac:dyDescent="0.2">
      <c r="B719" s="55"/>
      <c r="C719" s="55"/>
      <c r="D719" s="659"/>
      <c r="E719" s="659"/>
      <c r="F719" s="659"/>
      <c r="G719" s="659"/>
      <c r="H719" s="659"/>
      <c r="I719" s="659"/>
      <c r="J719" s="659"/>
      <c r="K719" s="659"/>
      <c r="L719" s="659"/>
      <c r="M719" s="659"/>
      <c r="N719" s="659"/>
      <c r="O719" s="659"/>
      <c r="P719" s="659"/>
    </row>
    <row r="720" spans="2:16" x14ac:dyDescent="0.2">
      <c r="B720" s="55"/>
      <c r="C720" s="55"/>
      <c r="D720" s="659"/>
      <c r="E720" s="659"/>
      <c r="F720" s="659"/>
      <c r="G720" s="659"/>
      <c r="H720" s="659"/>
      <c r="I720" s="659"/>
      <c r="J720" s="659"/>
      <c r="K720" s="659"/>
      <c r="L720" s="659"/>
      <c r="M720" s="659"/>
      <c r="N720" s="659"/>
      <c r="O720" s="659"/>
      <c r="P720" s="659"/>
    </row>
    <row r="721" spans="2:16" x14ac:dyDescent="0.2">
      <c r="B721" s="55"/>
      <c r="C721" s="55"/>
      <c r="D721" s="659"/>
      <c r="E721" s="659"/>
      <c r="F721" s="659"/>
      <c r="G721" s="659"/>
      <c r="H721" s="659"/>
      <c r="I721" s="659"/>
      <c r="J721" s="659"/>
      <c r="K721" s="659"/>
      <c r="L721" s="659"/>
      <c r="M721" s="659"/>
      <c r="N721" s="659"/>
      <c r="O721" s="659"/>
      <c r="P721" s="659"/>
    </row>
    <row r="722" spans="2:16" x14ac:dyDescent="0.2">
      <c r="B722" s="55"/>
      <c r="C722" s="55"/>
      <c r="D722" s="659"/>
      <c r="E722" s="659"/>
      <c r="F722" s="659"/>
      <c r="G722" s="659"/>
      <c r="H722" s="659"/>
      <c r="I722" s="659"/>
      <c r="J722" s="659"/>
      <c r="K722" s="659"/>
      <c r="L722" s="659"/>
      <c r="M722" s="659"/>
      <c r="N722" s="659"/>
      <c r="O722" s="659"/>
      <c r="P722" s="659"/>
    </row>
    <row r="723" spans="2:16" x14ac:dyDescent="0.2">
      <c r="B723" s="55"/>
      <c r="C723" s="55"/>
      <c r="D723" s="659"/>
      <c r="E723" s="659"/>
      <c r="F723" s="659"/>
      <c r="G723" s="659"/>
      <c r="H723" s="659"/>
      <c r="I723" s="659"/>
      <c r="J723" s="659"/>
      <c r="K723" s="659"/>
      <c r="L723" s="659"/>
      <c r="M723" s="659"/>
      <c r="N723" s="659"/>
      <c r="O723" s="659"/>
      <c r="P723" s="659"/>
    </row>
    <row r="724" spans="2:16" x14ac:dyDescent="0.2">
      <c r="B724" s="55"/>
      <c r="C724" s="55"/>
      <c r="D724" s="659"/>
      <c r="E724" s="659"/>
      <c r="F724" s="659"/>
      <c r="G724" s="659"/>
      <c r="H724" s="659"/>
      <c r="I724" s="659"/>
      <c r="J724" s="659"/>
      <c r="K724" s="659"/>
      <c r="L724" s="659"/>
      <c r="M724" s="659"/>
      <c r="N724" s="659"/>
      <c r="O724" s="659"/>
      <c r="P724" s="659"/>
    </row>
    <row r="725" spans="2:16" x14ac:dyDescent="0.2">
      <c r="B725" s="55"/>
      <c r="C725" s="55"/>
      <c r="D725" s="659"/>
      <c r="E725" s="659"/>
      <c r="F725" s="659"/>
      <c r="G725" s="659"/>
      <c r="H725" s="659"/>
      <c r="I725" s="659"/>
      <c r="J725" s="659"/>
      <c r="K725" s="659"/>
      <c r="L725" s="659"/>
      <c r="M725" s="659"/>
      <c r="N725" s="659"/>
      <c r="O725" s="659"/>
      <c r="P725" s="659"/>
    </row>
    <row r="726" spans="2:16" x14ac:dyDescent="0.2">
      <c r="B726" s="55"/>
      <c r="C726" s="55"/>
      <c r="D726" s="659"/>
      <c r="E726" s="659"/>
      <c r="F726" s="659"/>
      <c r="G726" s="659"/>
      <c r="H726" s="659"/>
      <c r="I726" s="659"/>
      <c r="J726" s="659"/>
      <c r="K726" s="659"/>
      <c r="L726" s="659"/>
      <c r="M726" s="659"/>
      <c r="N726" s="659"/>
      <c r="O726" s="659"/>
      <c r="P726" s="659"/>
    </row>
    <row r="727" spans="2:16" x14ac:dyDescent="0.2">
      <c r="B727" s="55"/>
      <c r="C727" s="55"/>
      <c r="D727" s="659"/>
      <c r="E727" s="659"/>
      <c r="F727" s="659"/>
      <c r="G727" s="659"/>
      <c r="H727" s="659"/>
      <c r="I727" s="659"/>
      <c r="J727" s="659"/>
      <c r="K727" s="659"/>
      <c r="L727" s="659"/>
      <c r="M727" s="659"/>
      <c r="N727" s="659"/>
      <c r="O727" s="659"/>
      <c r="P727" s="659"/>
    </row>
    <row r="728" spans="2:16" x14ac:dyDescent="0.2">
      <c r="B728" s="55"/>
      <c r="C728" s="55"/>
      <c r="D728" s="659"/>
      <c r="E728" s="659"/>
      <c r="F728" s="659"/>
      <c r="G728" s="659"/>
      <c r="H728" s="659"/>
      <c r="I728" s="659"/>
      <c r="J728" s="659"/>
      <c r="K728" s="659"/>
      <c r="L728" s="659"/>
      <c r="M728" s="659"/>
      <c r="N728" s="659"/>
      <c r="O728" s="659"/>
      <c r="P728" s="659"/>
    </row>
    <row r="729" spans="2:16" x14ac:dyDescent="0.2">
      <c r="B729" s="55"/>
      <c r="C729" s="55"/>
      <c r="D729" s="659"/>
      <c r="E729" s="659"/>
      <c r="F729" s="659"/>
      <c r="G729" s="659"/>
      <c r="H729" s="659"/>
      <c r="I729" s="659"/>
      <c r="J729" s="659"/>
      <c r="K729" s="659"/>
      <c r="L729" s="659"/>
      <c r="M729" s="659"/>
      <c r="N729" s="659"/>
      <c r="O729" s="659"/>
      <c r="P729" s="659"/>
    </row>
    <row r="730" spans="2:16" x14ac:dyDescent="0.2">
      <c r="B730" s="55"/>
      <c r="C730" s="55"/>
      <c r="D730" s="659"/>
      <c r="E730" s="659"/>
      <c r="F730" s="659"/>
      <c r="G730" s="659"/>
      <c r="H730" s="659"/>
      <c r="I730" s="659"/>
      <c r="J730" s="659"/>
      <c r="K730" s="659"/>
      <c r="L730" s="659"/>
      <c r="M730" s="659"/>
      <c r="N730" s="659"/>
      <c r="O730" s="659"/>
      <c r="P730" s="659"/>
    </row>
    <row r="731" spans="2:16" x14ac:dyDescent="0.2">
      <c r="B731" s="55"/>
      <c r="C731" s="55"/>
      <c r="D731" s="659"/>
      <c r="E731" s="659"/>
      <c r="F731" s="659"/>
      <c r="G731" s="659"/>
      <c r="H731" s="659"/>
      <c r="I731" s="659"/>
      <c r="J731" s="659"/>
      <c r="K731" s="659"/>
      <c r="L731" s="659"/>
      <c r="M731" s="659"/>
      <c r="N731" s="659"/>
      <c r="O731" s="659"/>
      <c r="P731" s="659"/>
    </row>
    <row r="732" spans="2:16" x14ac:dyDescent="0.2">
      <c r="B732" s="55"/>
      <c r="C732" s="55"/>
      <c r="D732" s="659"/>
      <c r="E732" s="659"/>
      <c r="F732" s="659"/>
      <c r="G732" s="659"/>
      <c r="H732" s="659"/>
      <c r="I732" s="659"/>
      <c r="J732" s="659"/>
      <c r="K732" s="659"/>
      <c r="L732" s="659"/>
      <c r="M732" s="659"/>
      <c r="N732" s="659"/>
      <c r="O732" s="659"/>
      <c r="P732" s="659"/>
    </row>
    <row r="733" spans="2:16" x14ac:dyDescent="0.2">
      <c r="B733" s="55"/>
      <c r="C733" s="55"/>
      <c r="D733" s="659"/>
      <c r="E733" s="659"/>
      <c r="F733" s="659"/>
      <c r="G733" s="659"/>
      <c r="H733" s="659"/>
      <c r="I733" s="659"/>
      <c r="J733" s="659"/>
      <c r="K733" s="659"/>
      <c r="L733" s="659"/>
      <c r="M733" s="659"/>
      <c r="N733" s="659"/>
      <c r="O733" s="659"/>
      <c r="P733" s="659"/>
    </row>
    <row r="734" spans="2:16" x14ac:dyDescent="0.2">
      <c r="B734" s="55"/>
      <c r="C734" s="55"/>
      <c r="D734" s="659"/>
      <c r="E734" s="659"/>
      <c r="F734" s="659"/>
      <c r="G734" s="659"/>
      <c r="H734" s="659"/>
      <c r="I734" s="659"/>
      <c r="J734" s="659"/>
      <c r="K734" s="659"/>
      <c r="L734" s="659"/>
      <c r="M734" s="659"/>
      <c r="N734" s="659"/>
      <c r="O734" s="659"/>
      <c r="P734" s="659"/>
    </row>
    <row r="735" spans="2:16" x14ac:dyDescent="0.2">
      <c r="B735" s="55"/>
      <c r="C735" s="55"/>
      <c r="D735" s="659"/>
      <c r="E735" s="659"/>
      <c r="F735" s="659"/>
      <c r="G735" s="659"/>
      <c r="H735" s="659"/>
      <c r="I735" s="659"/>
      <c r="J735" s="659"/>
      <c r="K735" s="659"/>
      <c r="L735" s="659"/>
      <c r="M735" s="659"/>
      <c r="N735" s="659"/>
      <c r="O735" s="659"/>
      <c r="P735" s="659"/>
    </row>
    <row r="736" spans="2:16" x14ac:dyDescent="0.2">
      <c r="B736" s="55"/>
      <c r="C736" s="55"/>
      <c r="D736" s="659"/>
      <c r="E736" s="659"/>
      <c r="F736" s="659"/>
      <c r="G736" s="659"/>
      <c r="H736" s="659"/>
      <c r="I736" s="659"/>
      <c r="J736" s="659"/>
      <c r="K736" s="659"/>
      <c r="L736" s="659"/>
      <c r="M736" s="659"/>
      <c r="N736" s="659"/>
      <c r="O736" s="659"/>
      <c r="P736" s="659"/>
    </row>
    <row r="737" spans="2:16" x14ac:dyDescent="0.2">
      <c r="B737" s="55"/>
      <c r="C737" s="55"/>
      <c r="D737" s="659"/>
      <c r="E737" s="659"/>
      <c r="F737" s="659"/>
      <c r="G737" s="659"/>
      <c r="H737" s="659"/>
      <c r="I737" s="659"/>
      <c r="J737" s="659"/>
      <c r="K737" s="659"/>
      <c r="L737" s="659"/>
      <c r="M737" s="659"/>
      <c r="N737" s="659"/>
      <c r="O737" s="659"/>
      <c r="P737" s="659"/>
    </row>
    <row r="738" spans="2:16" x14ac:dyDescent="0.2">
      <c r="B738" s="55"/>
      <c r="C738" s="55"/>
      <c r="D738" s="659"/>
      <c r="E738" s="659"/>
      <c r="F738" s="659"/>
      <c r="G738" s="659"/>
      <c r="H738" s="659"/>
      <c r="I738" s="659"/>
      <c r="J738" s="659"/>
      <c r="K738" s="659"/>
      <c r="L738" s="659"/>
      <c r="M738" s="659"/>
      <c r="N738" s="659"/>
      <c r="O738" s="659"/>
      <c r="P738" s="659"/>
    </row>
    <row r="739" spans="2:16" x14ac:dyDescent="0.2">
      <c r="B739" s="55"/>
      <c r="C739" s="55"/>
      <c r="D739" s="659"/>
      <c r="E739" s="659"/>
      <c r="F739" s="659"/>
      <c r="G739" s="659"/>
      <c r="H739" s="659"/>
      <c r="I739" s="659"/>
      <c r="J739" s="659"/>
      <c r="K739" s="659"/>
      <c r="L739" s="659"/>
      <c r="M739" s="659"/>
      <c r="N739" s="659"/>
      <c r="O739" s="659"/>
      <c r="P739" s="659"/>
    </row>
    <row r="740" spans="2:16" x14ac:dyDescent="0.2">
      <c r="B740" s="55"/>
      <c r="C740" s="55"/>
      <c r="D740" s="659"/>
      <c r="E740" s="659"/>
      <c r="F740" s="659"/>
      <c r="G740" s="659"/>
      <c r="H740" s="659"/>
      <c r="I740" s="659"/>
      <c r="J740" s="659"/>
      <c r="K740" s="659"/>
      <c r="L740" s="659"/>
      <c r="M740" s="659"/>
      <c r="N740" s="659"/>
      <c r="O740" s="659"/>
      <c r="P740" s="659"/>
    </row>
    <row r="741" spans="2:16" x14ac:dyDescent="0.2">
      <c r="B741" s="55"/>
      <c r="C741" s="55"/>
      <c r="D741" s="659"/>
      <c r="E741" s="659"/>
      <c r="F741" s="659"/>
      <c r="G741" s="659"/>
      <c r="H741" s="659"/>
      <c r="I741" s="659"/>
      <c r="J741" s="659"/>
      <c r="K741" s="659"/>
      <c r="L741" s="659"/>
      <c r="M741" s="659"/>
      <c r="N741" s="659"/>
      <c r="O741" s="659"/>
      <c r="P741" s="659"/>
    </row>
    <row r="742" spans="2:16" x14ac:dyDescent="0.2">
      <c r="B742" s="55"/>
      <c r="C742" s="55"/>
      <c r="D742" s="659"/>
      <c r="E742" s="659"/>
      <c r="F742" s="659"/>
      <c r="G742" s="659"/>
      <c r="H742" s="659"/>
      <c r="I742" s="659"/>
      <c r="J742" s="659"/>
      <c r="K742" s="659"/>
      <c r="L742" s="659"/>
      <c r="M742" s="659"/>
      <c r="N742" s="659"/>
      <c r="O742" s="659"/>
      <c r="P742" s="659"/>
    </row>
    <row r="743" spans="2:16" x14ac:dyDescent="0.2">
      <c r="B743" s="55"/>
      <c r="C743" s="55"/>
      <c r="D743" s="659"/>
      <c r="E743" s="659"/>
      <c r="F743" s="659"/>
      <c r="G743" s="659"/>
      <c r="H743" s="659"/>
      <c r="I743" s="659"/>
      <c r="J743" s="659"/>
      <c r="K743" s="659"/>
      <c r="L743" s="659"/>
      <c r="M743" s="659"/>
      <c r="N743" s="659"/>
      <c r="O743" s="659"/>
      <c r="P743" s="659"/>
    </row>
    <row r="744" spans="2:16" x14ac:dyDescent="0.2">
      <c r="B744" s="55"/>
      <c r="C744" s="55"/>
      <c r="D744" s="659"/>
      <c r="E744" s="659"/>
      <c r="F744" s="659"/>
      <c r="G744" s="659"/>
      <c r="H744" s="659"/>
      <c r="I744" s="659"/>
      <c r="J744" s="659"/>
      <c r="K744" s="659"/>
      <c r="L744" s="659"/>
      <c r="M744" s="659"/>
      <c r="N744" s="659"/>
      <c r="O744" s="659"/>
      <c r="P744" s="659"/>
    </row>
    <row r="745" spans="2:16" x14ac:dyDescent="0.2">
      <c r="B745" s="55"/>
      <c r="C745" s="55"/>
      <c r="D745" s="659"/>
      <c r="E745" s="659"/>
      <c r="F745" s="659"/>
      <c r="G745" s="659"/>
      <c r="H745" s="659"/>
      <c r="I745" s="659"/>
      <c r="J745" s="659"/>
      <c r="K745" s="659"/>
      <c r="L745" s="659"/>
      <c r="M745" s="659"/>
      <c r="N745" s="659"/>
      <c r="O745" s="659"/>
      <c r="P745" s="659"/>
    </row>
    <row r="746" spans="2:16" x14ac:dyDescent="0.2">
      <c r="B746" s="55"/>
      <c r="C746" s="55"/>
      <c r="D746" s="659"/>
      <c r="E746" s="659"/>
      <c r="F746" s="659"/>
      <c r="G746" s="659"/>
      <c r="H746" s="659"/>
      <c r="I746" s="659"/>
      <c r="J746" s="659"/>
      <c r="K746" s="659"/>
      <c r="L746" s="659"/>
      <c r="M746" s="659"/>
      <c r="N746" s="659"/>
      <c r="O746" s="659"/>
      <c r="P746" s="659"/>
    </row>
    <row r="747" spans="2:16" x14ac:dyDescent="0.2">
      <c r="B747" s="55"/>
      <c r="C747" s="55"/>
      <c r="D747" s="659"/>
      <c r="E747" s="659"/>
      <c r="F747" s="659"/>
      <c r="G747" s="659"/>
      <c r="H747" s="659"/>
      <c r="I747" s="659"/>
      <c r="J747" s="659"/>
      <c r="K747" s="659"/>
      <c r="L747" s="659"/>
      <c r="M747" s="659"/>
      <c r="N747" s="659"/>
      <c r="O747" s="659"/>
      <c r="P747" s="659"/>
    </row>
    <row r="748" spans="2:16" x14ac:dyDescent="0.2">
      <c r="B748" s="55"/>
      <c r="C748" s="55"/>
      <c r="D748" s="659"/>
      <c r="E748" s="659"/>
      <c r="F748" s="659"/>
      <c r="G748" s="659"/>
      <c r="H748" s="659"/>
      <c r="I748" s="659"/>
      <c r="J748" s="659"/>
      <c r="K748" s="659"/>
      <c r="L748" s="659"/>
      <c r="M748" s="659"/>
      <c r="N748" s="659"/>
      <c r="O748" s="659"/>
      <c r="P748" s="659"/>
    </row>
    <row r="749" spans="2:16" x14ac:dyDescent="0.2">
      <c r="B749" s="55"/>
      <c r="C749" s="55"/>
      <c r="D749" s="659"/>
      <c r="E749" s="659"/>
      <c r="F749" s="659"/>
      <c r="G749" s="659"/>
      <c r="H749" s="659"/>
      <c r="I749" s="659"/>
      <c r="J749" s="659"/>
      <c r="K749" s="659"/>
      <c r="L749" s="659"/>
      <c r="M749" s="659"/>
      <c r="N749" s="659"/>
      <c r="O749" s="659"/>
      <c r="P749" s="659"/>
    </row>
    <row r="750" spans="2:16" x14ac:dyDescent="0.2">
      <c r="B750" s="55"/>
      <c r="C750" s="55"/>
      <c r="D750" s="659"/>
      <c r="E750" s="659"/>
      <c r="F750" s="659"/>
      <c r="G750" s="659"/>
      <c r="H750" s="659"/>
      <c r="I750" s="659"/>
      <c r="J750" s="659"/>
      <c r="K750" s="659"/>
      <c r="L750" s="659"/>
      <c r="M750" s="659"/>
      <c r="N750" s="659"/>
      <c r="O750" s="659"/>
      <c r="P750" s="659"/>
    </row>
    <row r="751" spans="2:16" x14ac:dyDescent="0.2">
      <c r="B751" s="55"/>
      <c r="C751" s="55"/>
      <c r="D751" s="659"/>
      <c r="E751" s="659"/>
      <c r="F751" s="659"/>
      <c r="G751" s="659"/>
      <c r="H751" s="659"/>
      <c r="I751" s="659"/>
      <c r="J751" s="659"/>
      <c r="K751" s="659"/>
      <c r="L751" s="659"/>
      <c r="M751" s="659"/>
      <c r="N751" s="659"/>
      <c r="O751" s="659"/>
      <c r="P751" s="659"/>
    </row>
    <row r="752" spans="2:16" x14ac:dyDescent="0.2">
      <c r="B752" s="55"/>
      <c r="C752" s="55"/>
      <c r="D752" s="659"/>
      <c r="E752" s="659"/>
      <c r="F752" s="659"/>
      <c r="G752" s="659"/>
      <c r="H752" s="659"/>
      <c r="I752" s="659"/>
      <c r="J752" s="659"/>
      <c r="K752" s="659"/>
      <c r="L752" s="659"/>
      <c r="M752" s="659"/>
      <c r="N752" s="659"/>
      <c r="O752" s="659"/>
      <c r="P752" s="659"/>
    </row>
    <row r="753" spans="2:16" x14ac:dyDescent="0.2">
      <c r="B753" s="55"/>
      <c r="C753" s="55"/>
      <c r="D753" s="659"/>
      <c r="E753" s="659"/>
      <c r="F753" s="659"/>
      <c r="G753" s="659"/>
      <c r="H753" s="659"/>
      <c r="I753" s="659"/>
      <c r="J753" s="659"/>
      <c r="K753" s="659"/>
      <c r="L753" s="659"/>
      <c r="M753" s="659"/>
      <c r="N753" s="659"/>
      <c r="O753" s="659"/>
      <c r="P753" s="659"/>
    </row>
    <row r="754" spans="2:16" x14ac:dyDescent="0.2">
      <c r="B754" s="55"/>
      <c r="C754" s="55"/>
      <c r="D754" s="659"/>
      <c r="E754" s="659"/>
      <c r="F754" s="659"/>
      <c r="G754" s="659"/>
      <c r="H754" s="659"/>
      <c r="I754" s="659"/>
      <c r="J754" s="659"/>
      <c r="K754" s="659"/>
      <c r="L754" s="659"/>
      <c r="M754" s="659"/>
      <c r="N754" s="659"/>
      <c r="O754" s="659"/>
      <c r="P754" s="659"/>
    </row>
    <row r="755" spans="2:16" x14ac:dyDescent="0.2">
      <c r="B755" s="55"/>
      <c r="C755" s="55"/>
      <c r="D755" s="659"/>
      <c r="E755" s="659"/>
      <c r="F755" s="659"/>
      <c r="G755" s="659"/>
      <c r="H755" s="659"/>
      <c r="I755" s="659"/>
      <c r="J755" s="659"/>
      <c r="K755" s="659"/>
      <c r="L755" s="659"/>
      <c r="M755" s="659"/>
      <c r="N755" s="659"/>
      <c r="O755" s="659"/>
      <c r="P755" s="659"/>
    </row>
    <row r="756" spans="2:16" x14ac:dyDescent="0.2">
      <c r="B756" s="55"/>
      <c r="C756" s="55"/>
      <c r="D756" s="659"/>
      <c r="E756" s="659"/>
      <c r="F756" s="659"/>
      <c r="G756" s="659"/>
      <c r="H756" s="659"/>
      <c r="I756" s="659"/>
      <c r="J756" s="659"/>
      <c r="K756" s="659"/>
      <c r="L756" s="659"/>
      <c r="M756" s="659"/>
      <c r="N756" s="659"/>
      <c r="O756" s="659"/>
      <c r="P756" s="659"/>
    </row>
    <row r="757" spans="2:16" x14ac:dyDescent="0.2">
      <c r="B757" s="55"/>
      <c r="C757" s="55"/>
      <c r="D757" s="659"/>
      <c r="E757" s="659"/>
      <c r="F757" s="659"/>
      <c r="G757" s="659"/>
      <c r="H757" s="659"/>
      <c r="I757" s="659"/>
      <c r="J757" s="659"/>
      <c r="K757" s="659"/>
      <c r="L757" s="659"/>
      <c r="M757" s="659"/>
      <c r="N757" s="659"/>
      <c r="O757" s="659"/>
      <c r="P757" s="659"/>
    </row>
    <row r="758" spans="2:16" x14ac:dyDescent="0.2">
      <c r="B758" s="55"/>
      <c r="C758" s="55"/>
      <c r="D758" s="659"/>
      <c r="E758" s="659"/>
      <c r="F758" s="659"/>
      <c r="G758" s="659"/>
      <c r="H758" s="659"/>
      <c r="I758" s="659"/>
      <c r="J758" s="659"/>
      <c r="K758" s="659"/>
      <c r="L758" s="659"/>
      <c r="M758" s="659"/>
      <c r="N758" s="659"/>
      <c r="O758" s="659"/>
      <c r="P758" s="659"/>
    </row>
    <row r="759" spans="2:16" x14ac:dyDescent="0.2">
      <c r="B759" s="55"/>
      <c r="C759" s="55"/>
      <c r="D759" s="659"/>
      <c r="E759" s="659"/>
      <c r="F759" s="659"/>
      <c r="G759" s="659"/>
      <c r="H759" s="659"/>
      <c r="I759" s="659"/>
      <c r="J759" s="659"/>
      <c r="K759" s="659"/>
      <c r="L759" s="659"/>
      <c r="M759" s="659"/>
      <c r="N759" s="659"/>
      <c r="O759" s="659"/>
      <c r="P759" s="659"/>
    </row>
    <row r="760" spans="2:16" x14ac:dyDescent="0.2">
      <c r="B760" s="55"/>
      <c r="C760" s="55"/>
      <c r="D760" s="659"/>
      <c r="E760" s="659"/>
      <c r="F760" s="659"/>
      <c r="G760" s="659"/>
      <c r="H760" s="659"/>
      <c r="I760" s="659"/>
      <c r="J760" s="659"/>
      <c r="K760" s="659"/>
      <c r="L760" s="659"/>
      <c r="M760" s="659"/>
      <c r="N760" s="659"/>
      <c r="O760" s="659"/>
      <c r="P760" s="659"/>
    </row>
    <row r="761" spans="2:16" x14ac:dyDescent="0.2">
      <c r="B761" s="55"/>
      <c r="C761" s="55"/>
      <c r="D761" s="659"/>
      <c r="E761" s="659"/>
      <c r="F761" s="659"/>
      <c r="G761" s="659"/>
      <c r="H761" s="659"/>
      <c r="I761" s="659"/>
      <c r="J761" s="659"/>
      <c r="K761" s="659"/>
      <c r="L761" s="659"/>
      <c r="M761" s="659"/>
      <c r="N761" s="659"/>
      <c r="O761" s="659"/>
      <c r="P761" s="659"/>
    </row>
    <row r="762" spans="2:16" x14ac:dyDescent="0.2">
      <c r="B762" s="55"/>
      <c r="C762" s="55"/>
      <c r="D762" s="659"/>
      <c r="E762" s="659"/>
      <c r="F762" s="659"/>
      <c r="G762" s="659"/>
      <c r="H762" s="659"/>
      <c r="I762" s="659"/>
      <c r="J762" s="659"/>
      <c r="K762" s="659"/>
      <c r="L762" s="659"/>
      <c r="M762" s="659"/>
      <c r="N762" s="659"/>
      <c r="O762" s="659"/>
      <c r="P762" s="659"/>
    </row>
    <row r="763" spans="2:16" x14ac:dyDescent="0.2">
      <c r="B763" s="55"/>
      <c r="C763" s="55"/>
      <c r="D763" s="659"/>
      <c r="E763" s="659"/>
      <c r="F763" s="659"/>
      <c r="G763" s="659"/>
      <c r="H763" s="659"/>
      <c r="I763" s="659"/>
      <c r="J763" s="659"/>
      <c r="K763" s="659"/>
      <c r="L763" s="659"/>
      <c r="M763" s="659"/>
      <c r="N763" s="659"/>
      <c r="O763" s="659"/>
      <c r="P763" s="659"/>
    </row>
    <row r="764" spans="2:16" x14ac:dyDescent="0.2">
      <c r="B764" s="55"/>
      <c r="C764" s="55"/>
      <c r="D764" s="659"/>
      <c r="E764" s="659"/>
      <c r="F764" s="659"/>
      <c r="G764" s="659"/>
      <c r="H764" s="659"/>
      <c r="I764" s="659"/>
      <c r="J764" s="659"/>
      <c r="K764" s="659"/>
      <c r="L764" s="659"/>
      <c r="M764" s="659"/>
      <c r="N764" s="659"/>
      <c r="O764" s="659"/>
      <c r="P764" s="659"/>
    </row>
    <row r="765" spans="2:16" x14ac:dyDescent="0.2">
      <c r="B765" s="55"/>
      <c r="C765" s="55"/>
      <c r="D765" s="659"/>
      <c r="E765" s="659"/>
      <c r="F765" s="659"/>
      <c r="G765" s="659"/>
      <c r="H765" s="659"/>
      <c r="I765" s="659"/>
      <c r="J765" s="659"/>
      <c r="K765" s="659"/>
      <c r="L765" s="659"/>
      <c r="M765" s="659"/>
      <c r="N765" s="659"/>
      <c r="O765" s="659"/>
      <c r="P765" s="659"/>
    </row>
    <row r="766" spans="2:16" x14ac:dyDescent="0.2">
      <c r="B766" s="55"/>
      <c r="C766" s="55"/>
      <c r="D766" s="659"/>
      <c r="E766" s="659"/>
      <c r="F766" s="659"/>
      <c r="G766" s="659"/>
      <c r="H766" s="659"/>
      <c r="I766" s="659"/>
      <c r="J766" s="659"/>
      <c r="K766" s="659"/>
      <c r="L766" s="659"/>
      <c r="M766" s="659"/>
      <c r="N766" s="659"/>
      <c r="O766" s="659"/>
      <c r="P766" s="659"/>
    </row>
    <row r="767" spans="2:16" x14ac:dyDescent="0.2">
      <c r="B767" s="55"/>
      <c r="C767" s="55"/>
      <c r="D767" s="659"/>
      <c r="E767" s="659"/>
      <c r="F767" s="659"/>
      <c r="G767" s="659"/>
      <c r="H767" s="659"/>
      <c r="I767" s="659"/>
      <c r="J767" s="659"/>
      <c r="K767" s="659"/>
      <c r="L767" s="659"/>
      <c r="M767" s="659"/>
      <c r="N767" s="659"/>
      <c r="O767" s="659"/>
      <c r="P767" s="659"/>
    </row>
    <row r="768" spans="2:16" x14ac:dyDescent="0.2">
      <c r="B768" s="55"/>
      <c r="C768" s="55"/>
      <c r="D768" s="659"/>
      <c r="E768" s="659"/>
      <c r="F768" s="659"/>
      <c r="G768" s="659"/>
      <c r="H768" s="659"/>
      <c r="I768" s="659"/>
      <c r="J768" s="659"/>
      <c r="K768" s="659"/>
      <c r="L768" s="659"/>
      <c r="M768" s="659"/>
      <c r="N768" s="659"/>
      <c r="O768" s="659"/>
      <c r="P768" s="659"/>
    </row>
    <row r="769" spans="2:16" x14ac:dyDescent="0.2">
      <c r="B769" s="55"/>
      <c r="C769" s="55"/>
      <c r="D769" s="659"/>
      <c r="E769" s="659"/>
      <c r="F769" s="659"/>
      <c r="G769" s="659"/>
      <c r="H769" s="659"/>
      <c r="I769" s="659"/>
      <c r="J769" s="659"/>
      <c r="K769" s="659"/>
      <c r="L769" s="659"/>
      <c r="M769" s="659"/>
      <c r="N769" s="659"/>
      <c r="O769" s="659"/>
      <c r="P769" s="659"/>
    </row>
    <row r="770" spans="2:16" x14ac:dyDescent="0.2">
      <c r="B770" s="55"/>
      <c r="C770" s="55"/>
      <c r="D770" s="659"/>
      <c r="E770" s="659"/>
      <c r="F770" s="659"/>
      <c r="G770" s="659"/>
      <c r="H770" s="659"/>
      <c r="I770" s="659"/>
      <c r="J770" s="659"/>
      <c r="K770" s="659"/>
      <c r="L770" s="659"/>
      <c r="M770" s="659"/>
      <c r="N770" s="659"/>
      <c r="O770" s="659"/>
      <c r="P770" s="659"/>
    </row>
    <row r="771" spans="2:16" x14ac:dyDescent="0.2">
      <c r="B771" s="55"/>
      <c r="C771" s="55"/>
      <c r="D771" s="659"/>
      <c r="E771" s="659"/>
      <c r="F771" s="659"/>
      <c r="G771" s="659"/>
      <c r="H771" s="659"/>
      <c r="I771" s="659"/>
      <c r="J771" s="659"/>
      <c r="K771" s="659"/>
      <c r="L771" s="659"/>
      <c r="M771" s="659"/>
      <c r="N771" s="659"/>
      <c r="O771" s="659"/>
      <c r="P771" s="659"/>
    </row>
    <row r="772" spans="2:16" x14ac:dyDescent="0.2">
      <c r="B772" s="55"/>
      <c r="C772" s="55"/>
      <c r="D772" s="659"/>
      <c r="E772" s="659"/>
      <c r="F772" s="659"/>
      <c r="G772" s="659"/>
      <c r="H772" s="659"/>
      <c r="I772" s="659"/>
      <c r="J772" s="659"/>
      <c r="K772" s="659"/>
      <c r="L772" s="659"/>
      <c r="M772" s="659"/>
      <c r="N772" s="659"/>
      <c r="O772" s="659"/>
      <c r="P772" s="659"/>
    </row>
    <row r="773" spans="2:16" x14ac:dyDescent="0.2">
      <c r="B773" s="55"/>
      <c r="C773" s="55"/>
      <c r="D773" s="659"/>
      <c r="E773" s="659"/>
      <c r="F773" s="659"/>
      <c r="G773" s="659"/>
      <c r="H773" s="659"/>
      <c r="I773" s="659"/>
      <c r="J773" s="659"/>
      <c r="K773" s="659"/>
      <c r="L773" s="659"/>
      <c r="M773" s="659"/>
      <c r="N773" s="659"/>
      <c r="O773" s="659"/>
      <c r="P773" s="659"/>
    </row>
    <row r="774" spans="2:16" x14ac:dyDescent="0.2">
      <c r="B774" s="55"/>
      <c r="C774" s="55"/>
      <c r="D774" s="659"/>
      <c r="E774" s="659"/>
      <c r="F774" s="659"/>
      <c r="G774" s="659"/>
      <c r="H774" s="659"/>
      <c r="I774" s="659"/>
      <c r="J774" s="659"/>
      <c r="K774" s="659"/>
      <c r="L774" s="659"/>
      <c r="M774" s="659"/>
      <c r="N774" s="659"/>
      <c r="O774" s="659"/>
      <c r="P774" s="659"/>
    </row>
    <row r="775" spans="2:16" x14ac:dyDescent="0.2">
      <c r="B775" s="55"/>
      <c r="C775" s="55"/>
      <c r="D775" s="659"/>
      <c r="E775" s="659"/>
      <c r="F775" s="659"/>
      <c r="G775" s="659"/>
      <c r="H775" s="659"/>
      <c r="I775" s="659"/>
      <c r="J775" s="659"/>
      <c r="K775" s="659"/>
      <c r="L775" s="659"/>
      <c r="M775" s="659"/>
      <c r="N775" s="659"/>
      <c r="O775" s="659"/>
      <c r="P775" s="659"/>
    </row>
    <row r="776" spans="2:16" x14ac:dyDescent="0.2">
      <c r="B776" s="55"/>
      <c r="C776" s="55"/>
      <c r="D776" s="659"/>
      <c r="E776" s="659"/>
      <c r="F776" s="659"/>
      <c r="G776" s="659"/>
      <c r="H776" s="659"/>
      <c r="I776" s="659"/>
      <c r="J776" s="659"/>
      <c r="K776" s="659"/>
      <c r="L776" s="659"/>
      <c r="M776" s="659"/>
      <c r="N776" s="659"/>
      <c r="O776" s="659"/>
      <c r="P776" s="659"/>
    </row>
    <row r="777" spans="2:16" x14ac:dyDescent="0.2">
      <c r="B777" s="55"/>
      <c r="C777" s="55"/>
      <c r="D777" s="659"/>
      <c r="E777" s="659"/>
      <c r="F777" s="659"/>
      <c r="G777" s="659"/>
      <c r="H777" s="659"/>
      <c r="I777" s="659"/>
      <c r="J777" s="659"/>
      <c r="K777" s="659"/>
      <c r="L777" s="659"/>
      <c r="M777" s="659"/>
      <c r="N777" s="659"/>
      <c r="O777" s="659"/>
      <c r="P777" s="659"/>
    </row>
    <row r="778" spans="2:16" x14ac:dyDescent="0.2">
      <c r="B778" s="55"/>
      <c r="C778" s="55"/>
      <c r="D778" s="659"/>
      <c r="E778" s="659"/>
      <c r="F778" s="659"/>
      <c r="G778" s="659"/>
      <c r="H778" s="659"/>
      <c r="I778" s="659"/>
      <c r="J778" s="659"/>
      <c r="K778" s="659"/>
      <c r="L778" s="659"/>
      <c r="M778" s="659"/>
      <c r="N778" s="659"/>
      <c r="O778" s="659"/>
      <c r="P778" s="659"/>
    </row>
    <row r="779" spans="2:16" x14ac:dyDescent="0.2">
      <c r="B779" s="55"/>
      <c r="C779" s="55"/>
      <c r="D779" s="659"/>
      <c r="E779" s="659"/>
      <c r="F779" s="659"/>
      <c r="G779" s="659"/>
      <c r="H779" s="659"/>
      <c r="I779" s="659"/>
      <c r="J779" s="659"/>
      <c r="K779" s="659"/>
      <c r="L779" s="659"/>
      <c r="M779" s="659"/>
      <c r="N779" s="659"/>
      <c r="O779" s="659"/>
      <c r="P779" s="659"/>
    </row>
    <row r="780" spans="2:16" x14ac:dyDescent="0.2">
      <c r="B780" s="55"/>
      <c r="C780" s="55"/>
      <c r="D780" s="659"/>
      <c r="E780" s="659"/>
      <c r="F780" s="659"/>
      <c r="G780" s="659"/>
      <c r="H780" s="659"/>
      <c r="I780" s="659"/>
      <c r="J780" s="659"/>
      <c r="K780" s="659"/>
      <c r="L780" s="659"/>
      <c r="M780" s="659"/>
      <c r="N780" s="659"/>
      <c r="O780" s="659"/>
      <c r="P780" s="659"/>
    </row>
    <row r="781" spans="2:16" x14ac:dyDescent="0.2">
      <c r="B781" s="55"/>
      <c r="C781" s="55"/>
      <c r="D781" s="659"/>
      <c r="E781" s="659"/>
      <c r="F781" s="659"/>
      <c r="G781" s="659"/>
      <c r="H781" s="659"/>
      <c r="I781" s="659"/>
      <c r="J781" s="659"/>
      <c r="K781" s="659"/>
      <c r="L781" s="659"/>
      <c r="M781" s="659"/>
      <c r="N781" s="659"/>
      <c r="O781" s="659"/>
      <c r="P781" s="659"/>
    </row>
    <row r="782" spans="2:16" x14ac:dyDescent="0.2">
      <c r="B782" s="55"/>
      <c r="C782" s="55"/>
      <c r="D782" s="659"/>
      <c r="E782" s="659"/>
      <c r="F782" s="659"/>
      <c r="G782" s="659"/>
      <c r="H782" s="659"/>
      <c r="I782" s="659"/>
      <c r="J782" s="659"/>
      <c r="K782" s="659"/>
      <c r="L782" s="659"/>
      <c r="M782" s="659"/>
      <c r="N782" s="659"/>
      <c r="O782" s="659"/>
      <c r="P782" s="659"/>
    </row>
    <row r="783" spans="2:16" x14ac:dyDescent="0.2">
      <c r="B783" s="55"/>
      <c r="C783" s="55"/>
      <c r="D783" s="659"/>
      <c r="E783" s="659"/>
      <c r="F783" s="659"/>
      <c r="G783" s="659"/>
      <c r="H783" s="659"/>
      <c r="I783" s="659"/>
      <c r="J783" s="659"/>
      <c r="K783" s="659"/>
      <c r="L783" s="659"/>
      <c r="M783" s="659"/>
      <c r="N783" s="659"/>
      <c r="O783" s="659"/>
      <c r="P783" s="659"/>
    </row>
    <row r="784" spans="2:16" x14ac:dyDescent="0.2">
      <c r="B784" s="55"/>
      <c r="C784" s="55"/>
      <c r="D784" s="659"/>
      <c r="E784" s="659"/>
      <c r="F784" s="659"/>
      <c r="G784" s="659"/>
      <c r="H784" s="659"/>
      <c r="I784" s="659"/>
      <c r="J784" s="659"/>
      <c r="K784" s="659"/>
      <c r="L784" s="659"/>
      <c r="M784" s="659"/>
      <c r="N784" s="659"/>
      <c r="O784" s="659"/>
      <c r="P784" s="659"/>
    </row>
    <row r="785" spans="2:16" x14ac:dyDescent="0.2">
      <c r="B785" s="55"/>
      <c r="C785" s="55"/>
      <c r="D785" s="659"/>
      <c r="E785" s="659"/>
      <c r="F785" s="659"/>
      <c r="G785" s="659"/>
      <c r="H785" s="659"/>
      <c r="I785" s="659"/>
      <c r="J785" s="659"/>
      <c r="K785" s="659"/>
      <c r="L785" s="659"/>
      <c r="M785" s="659"/>
      <c r="N785" s="659"/>
      <c r="O785" s="659"/>
      <c r="P785" s="659"/>
    </row>
    <row r="786" spans="2:16" x14ac:dyDescent="0.2">
      <c r="B786" s="55"/>
      <c r="C786" s="55"/>
      <c r="D786" s="659"/>
      <c r="E786" s="659"/>
      <c r="F786" s="659"/>
      <c r="G786" s="659"/>
      <c r="H786" s="659"/>
      <c r="I786" s="659"/>
      <c r="J786" s="659"/>
      <c r="K786" s="659"/>
      <c r="L786" s="659"/>
      <c r="M786" s="659"/>
      <c r="N786" s="659"/>
      <c r="O786" s="659"/>
      <c r="P786" s="659"/>
    </row>
    <row r="787" spans="2:16" x14ac:dyDescent="0.2">
      <c r="B787" s="55"/>
      <c r="C787" s="55"/>
      <c r="D787" s="659"/>
      <c r="E787" s="659"/>
      <c r="F787" s="659"/>
      <c r="G787" s="659"/>
      <c r="H787" s="659"/>
      <c r="I787" s="659"/>
      <c r="J787" s="659"/>
      <c r="K787" s="659"/>
      <c r="L787" s="659"/>
      <c r="M787" s="659"/>
      <c r="N787" s="659"/>
      <c r="O787" s="659"/>
      <c r="P787" s="659"/>
    </row>
    <row r="788" spans="2:16" x14ac:dyDescent="0.2">
      <c r="B788" s="55"/>
      <c r="C788" s="55"/>
      <c r="D788" s="659"/>
      <c r="E788" s="659"/>
      <c r="F788" s="659"/>
      <c r="G788" s="659"/>
      <c r="H788" s="659"/>
      <c r="I788" s="659"/>
      <c r="J788" s="659"/>
      <c r="K788" s="659"/>
      <c r="L788" s="659"/>
      <c r="M788" s="659"/>
      <c r="N788" s="659"/>
      <c r="O788" s="659"/>
      <c r="P788" s="659"/>
    </row>
    <row r="789" spans="2:16" x14ac:dyDescent="0.2">
      <c r="B789" s="55"/>
      <c r="C789" s="55"/>
      <c r="D789" s="659"/>
      <c r="E789" s="659"/>
      <c r="F789" s="659"/>
      <c r="G789" s="659"/>
      <c r="H789" s="659"/>
      <c r="I789" s="659"/>
      <c r="J789" s="659"/>
      <c r="K789" s="659"/>
      <c r="L789" s="659"/>
      <c r="M789" s="659"/>
      <c r="N789" s="659"/>
      <c r="O789" s="659"/>
      <c r="P789" s="659"/>
    </row>
    <row r="790" spans="2:16" x14ac:dyDescent="0.2">
      <c r="B790" s="55"/>
      <c r="C790" s="55"/>
      <c r="D790" s="659"/>
      <c r="E790" s="659"/>
      <c r="F790" s="659"/>
      <c r="G790" s="659"/>
      <c r="H790" s="659"/>
      <c r="I790" s="659"/>
      <c r="J790" s="659"/>
      <c r="K790" s="659"/>
      <c r="L790" s="659"/>
      <c r="M790" s="659"/>
      <c r="N790" s="659"/>
      <c r="O790" s="659"/>
      <c r="P790" s="659"/>
    </row>
    <row r="791" spans="2:16" x14ac:dyDescent="0.2">
      <c r="B791" s="55"/>
      <c r="C791" s="55"/>
      <c r="D791" s="659"/>
      <c r="E791" s="659"/>
      <c r="F791" s="659"/>
      <c r="G791" s="659"/>
      <c r="H791" s="659"/>
      <c r="I791" s="659"/>
      <c r="J791" s="659"/>
      <c r="K791" s="659"/>
      <c r="L791" s="659"/>
      <c r="M791" s="659"/>
      <c r="N791" s="659"/>
      <c r="O791" s="659"/>
      <c r="P791" s="659"/>
    </row>
    <row r="792" spans="2:16" x14ac:dyDescent="0.2">
      <c r="B792" s="55"/>
      <c r="C792" s="55"/>
      <c r="D792" s="659"/>
      <c r="E792" s="659"/>
      <c r="F792" s="659"/>
      <c r="G792" s="659"/>
      <c r="H792" s="659"/>
      <c r="I792" s="659"/>
      <c r="J792" s="659"/>
      <c r="K792" s="659"/>
      <c r="L792" s="659"/>
      <c r="M792" s="659"/>
      <c r="N792" s="659"/>
      <c r="O792" s="659"/>
      <c r="P792" s="659"/>
    </row>
    <row r="793" spans="2:16" x14ac:dyDescent="0.2">
      <c r="B793" s="55"/>
      <c r="C793" s="55"/>
      <c r="D793" s="659"/>
      <c r="E793" s="659"/>
      <c r="F793" s="659"/>
      <c r="G793" s="659"/>
      <c r="H793" s="659"/>
      <c r="I793" s="659"/>
      <c r="J793" s="659"/>
      <c r="K793" s="659"/>
      <c r="L793" s="659"/>
      <c r="M793" s="659"/>
      <c r="N793" s="659"/>
      <c r="O793" s="659"/>
      <c r="P793" s="659"/>
    </row>
    <row r="794" spans="2:16" x14ac:dyDescent="0.2">
      <c r="B794" s="55"/>
      <c r="C794" s="55"/>
      <c r="D794" s="659"/>
      <c r="E794" s="659"/>
      <c r="F794" s="659"/>
      <c r="G794" s="659"/>
      <c r="H794" s="659"/>
      <c r="I794" s="659"/>
      <c r="J794" s="659"/>
      <c r="K794" s="659"/>
      <c r="L794" s="659"/>
      <c r="M794" s="659"/>
      <c r="N794" s="659"/>
      <c r="O794" s="659"/>
      <c r="P794" s="659"/>
    </row>
    <row r="795" spans="2:16" x14ac:dyDescent="0.2">
      <c r="B795" s="55"/>
      <c r="C795" s="55"/>
      <c r="D795" s="659"/>
      <c r="E795" s="659"/>
      <c r="F795" s="659"/>
      <c r="G795" s="659"/>
      <c r="H795" s="659"/>
      <c r="I795" s="659"/>
      <c r="J795" s="659"/>
      <c r="K795" s="659"/>
      <c r="L795" s="659"/>
      <c r="M795" s="659"/>
      <c r="N795" s="659"/>
      <c r="O795" s="659"/>
      <c r="P795" s="659"/>
    </row>
    <row r="796" spans="2:16" x14ac:dyDescent="0.2">
      <c r="B796" s="55"/>
      <c r="C796" s="55"/>
      <c r="D796" s="659"/>
      <c r="E796" s="659"/>
      <c r="F796" s="659"/>
      <c r="G796" s="659"/>
      <c r="H796" s="659"/>
      <c r="I796" s="659"/>
      <c r="J796" s="659"/>
      <c r="K796" s="659"/>
      <c r="L796" s="659"/>
      <c r="M796" s="659"/>
      <c r="N796" s="659"/>
      <c r="O796" s="659"/>
      <c r="P796" s="659"/>
    </row>
    <row r="797" spans="2:16" x14ac:dyDescent="0.2">
      <c r="B797" s="55"/>
      <c r="C797" s="55"/>
      <c r="D797" s="659"/>
      <c r="E797" s="659"/>
      <c r="F797" s="659"/>
      <c r="G797" s="659"/>
      <c r="H797" s="659"/>
      <c r="I797" s="659"/>
      <c r="J797" s="659"/>
      <c r="K797" s="659"/>
      <c r="L797" s="659"/>
      <c r="M797" s="659"/>
      <c r="N797" s="659"/>
      <c r="O797" s="659"/>
      <c r="P797" s="659"/>
    </row>
    <row r="798" spans="2:16" x14ac:dyDescent="0.2">
      <c r="B798" s="55"/>
      <c r="C798" s="55"/>
      <c r="D798" s="659"/>
      <c r="E798" s="659"/>
      <c r="F798" s="659"/>
      <c r="G798" s="659"/>
      <c r="H798" s="659"/>
      <c r="I798" s="659"/>
      <c r="J798" s="659"/>
      <c r="K798" s="659"/>
      <c r="L798" s="659"/>
      <c r="M798" s="659"/>
      <c r="N798" s="659"/>
      <c r="O798" s="659"/>
      <c r="P798" s="659"/>
    </row>
    <row r="799" spans="2:16" x14ac:dyDescent="0.2">
      <c r="B799" s="55"/>
      <c r="C799" s="55"/>
      <c r="D799" s="659"/>
      <c r="E799" s="659"/>
      <c r="F799" s="659"/>
      <c r="G799" s="659"/>
      <c r="H799" s="659"/>
      <c r="I799" s="659"/>
      <c r="J799" s="659"/>
      <c r="K799" s="659"/>
      <c r="L799" s="659"/>
      <c r="M799" s="659"/>
      <c r="N799" s="659"/>
      <c r="O799" s="659"/>
      <c r="P799" s="659"/>
    </row>
    <row r="800" spans="2:16" x14ac:dyDescent="0.2">
      <c r="B800" s="55"/>
      <c r="C800" s="55"/>
      <c r="D800" s="659"/>
      <c r="E800" s="659"/>
      <c r="F800" s="659"/>
      <c r="G800" s="659"/>
      <c r="H800" s="659"/>
      <c r="I800" s="659"/>
      <c r="J800" s="659"/>
      <c r="K800" s="659"/>
      <c r="L800" s="659"/>
      <c r="M800" s="659"/>
      <c r="N800" s="659"/>
      <c r="O800" s="659"/>
      <c r="P800" s="659"/>
    </row>
    <row r="801" spans="2:16" x14ac:dyDescent="0.2">
      <c r="B801" s="55"/>
      <c r="C801" s="55"/>
      <c r="D801" s="659"/>
      <c r="E801" s="659"/>
      <c r="F801" s="659"/>
      <c r="G801" s="659"/>
      <c r="H801" s="659"/>
      <c r="I801" s="659"/>
      <c r="J801" s="659"/>
      <c r="K801" s="659"/>
      <c r="L801" s="659"/>
      <c r="M801" s="659"/>
      <c r="N801" s="659"/>
      <c r="O801" s="659"/>
      <c r="P801" s="659"/>
    </row>
    <row r="802" spans="2:16" x14ac:dyDescent="0.2">
      <c r="B802" s="55"/>
      <c r="C802" s="55"/>
      <c r="D802" s="659"/>
      <c r="E802" s="659"/>
      <c r="F802" s="659"/>
      <c r="G802" s="659"/>
      <c r="H802" s="659"/>
      <c r="I802" s="659"/>
      <c r="J802" s="659"/>
      <c r="K802" s="659"/>
      <c r="L802" s="659"/>
      <c r="M802" s="659"/>
      <c r="N802" s="659"/>
      <c r="O802" s="659"/>
      <c r="P802" s="659"/>
    </row>
    <row r="803" spans="2:16" x14ac:dyDescent="0.2">
      <c r="B803" s="55"/>
      <c r="C803" s="55"/>
      <c r="D803" s="659"/>
      <c r="E803" s="659"/>
      <c r="F803" s="659"/>
      <c r="G803" s="659"/>
      <c r="H803" s="659"/>
      <c r="I803" s="659"/>
      <c r="J803" s="659"/>
      <c r="K803" s="659"/>
      <c r="L803" s="659"/>
      <c r="M803" s="659"/>
      <c r="N803" s="659"/>
      <c r="O803" s="659"/>
      <c r="P803" s="659"/>
    </row>
    <row r="804" spans="2:16" x14ac:dyDescent="0.2">
      <c r="B804" s="55"/>
      <c r="C804" s="55"/>
      <c r="D804" s="659"/>
      <c r="E804" s="659"/>
      <c r="F804" s="659"/>
      <c r="G804" s="659"/>
      <c r="H804" s="659"/>
      <c r="I804" s="659"/>
      <c r="J804" s="659"/>
      <c r="K804" s="659"/>
      <c r="L804" s="659"/>
      <c r="M804" s="659"/>
      <c r="N804" s="659"/>
      <c r="O804" s="659"/>
      <c r="P804" s="659"/>
    </row>
    <row r="805" spans="2:16" x14ac:dyDescent="0.2">
      <c r="B805" s="55"/>
      <c r="C805" s="55"/>
      <c r="D805" s="659"/>
      <c r="E805" s="659"/>
      <c r="F805" s="659"/>
      <c r="G805" s="659"/>
      <c r="H805" s="659"/>
      <c r="I805" s="659"/>
      <c r="J805" s="659"/>
      <c r="K805" s="659"/>
      <c r="L805" s="659"/>
      <c r="M805" s="659"/>
      <c r="N805" s="659"/>
      <c r="O805" s="659"/>
      <c r="P805" s="659"/>
    </row>
    <row r="806" spans="2:16" x14ac:dyDescent="0.2">
      <c r="B806" s="55"/>
      <c r="C806" s="55"/>
      <c r="D806" s="659"/>
      <c r="E806" s="659"/>
      <c r="F806" s="659"/>
      <c r="G806" s="659"/>
      <c r="H806" s="659"/>
      <c r="I806" s="659"/>
      <c r="J806" s="659"/>
      <c r="K806" s="659"/>
      <c r="L806" s="659"/>
      <c r="M806" s="659"/>
      <c r="N806" s="659"/>
      <c r="O806" s="659"/>
      <c r="P806" s="659"/>
    </row>
    <row r="807" spans="2:16" x14ac:dyDescent="0.2">
      <c r="B807" s="55"/>
      <c r="C807" s="55"/>
      <c r="D807" s="659"/>
      <c r="E807" s="659"/>
      <c r="F807" s="659"/>
      <c r="G807" s="659"/>
      <c r="H807" s="659"/>
      <c r="I807" s="659"/>
      <c r="J807" s="659"/>
      <c r="K807" s="659"/>
      <c r="L807" s="659"/>
      <c r="M807" s="659"/>
      <c r="N807" s="659"/>
      <c r="O807" s="659"/>
      <c r="P807" s="659"/>
    </row>
    <row r="808" spans="2:16" x14ac:dyDescent="0.2">
      <c r="B808" s="55"/>
      <c r="C808" s="55"/>
      <c r="D808" s="659"/>
      <c r="E808" s="659"/>
      <c r="F808" s="659"/>
      <c r="G808" s="659"/>
      <c r="H808" s="659"/>
      <c r="I808" s="659"/>
      <c r="J808" s="659"/>
      <c r="K808" s="659"/>
      <c r="L808" s="659"/>
      <c r="M808" s="659"/>
      <c r="N808" s="659"/>
      <c r="O808" s="659"/>
      <c r="P808" s="659"/>
    </row>
    <row r="809" spans="2:16" x14ac:dyDescent="0.2">
      <c r="B809" s="55"/>
      <c r="C809" s="55"/>
      <c r="D809" s="659"/>
      <c r="E809" s="659"/>
      <c r="F809" s="659"/>
      <c r="G809" s="659"/>
      <c r="H809" s="659"/>
      <c r="I809" s="659"/>
      <c r="J809" s="659"/>
      <c r="K809" s="659"/>
      <c r="L809" s="659"/>
      <c r="M809" s="659"/>
      <c r="N809" s="659"/>
      <c r="O809" s="659"/>
      <c r="P809" s="659"/>
    </row>
    <row r="810" spans="2:16" x14ac:dyDescent="0.2">
      <c r="B810" s="55"/>
      <c r="C810" s="55"/>
      <c r="D810" s="659"/>
      <c r="E810" s="659"/>
      <c r="F810" s="659"/>
      <c r="G810" s="659"/>
      <c r="H810" s="659"/>
      <c r="I810" s="659"/>
      <c r="J810" s="659"/>
      <c r="K810" s="659"/>
      <c r="L810" s="659"/>
      <c r="M810" s="659"/>
      <c r="N810" s="659"/>
      <c r="O810" s="659"/>
      <c r="P810" s="659"/>
    </row>
    <row r="811" spans="2:16" x14ac:dyDescent="0.2">
      <c r="B811" s="55"/>
      <c r="C811" s="55"/>
      <c r="D811" s="659"/>
      <c r="E811" s="659"/>
      <c r="F811" s="659"/>
      <c r="G811" s="659"/>
      <c r="H811" s="659"/>
      <c r="I811" s="659"/>
      <c r="J811" s="659"/>
      <c r="K811" s="659"/>
      <c r="L811" s="659"/>
      <c r="M811" s="659"/>
      <c r="N811" s="659"/>
      <c r="O811" s="659"/>
      <c r="P811" s="659"/>
    </row>
    <row r="812" spans="2:16" x14ac:dyDescent="0.2">
      <c r="B812" s="55"/>
      <c r="C812" s="55"/>
      <c r="D812" s="659"/>
      <c r="E812" s="659"/>
      <c r="F812" s="659"/>
      <c r="G812" s="659"/>
      <c r="H812" s="659"/>
      <c r="I812" s="659"/>
      <c r="J812" s="659"/>
      <c r="K812" s="659"/>
      <c r="L812" s="659"/>
      <c r="M812" s="659"/>
      <c r="N812" s="659"/>
      <c r="O812" s="659"/>
      <c r="P812" s="659"/>
    </row>
    <row r="813" spans="2:16" x14ac:dyDescent="0.2">
      <c r="B813" s="55"/>
      <c r="C813" s="55"/>
      <c r="D813" s="659"/>
      <c r="E813" s="659"/>
      <c r="F813" s="659"/>
      <c r="G813" s="659"/>
      <c r="H813" s="659"/>
      <c r="I813" s="659"/>
      <c r="J813" s="659"/>
      <c r="K813" s="659"/>
      <c r="L813" s="659"/>
      <c r="M813" s="659"/>
      <c r="N813" s="659"/>
      <c r="O813" s="659"/>
      <c r="P813" s="659"/>
    </row>
    <row r="814" spans="2:16" x14ac:dyDescent="0.2">
      <c r="B814" s="55"/>
      <c r="C814" s="55"/>
      <c r="D814" s="659"/>
      <c r="E814" s="659"/>
      <c r="F814" s="659"/>
      <c r="G814" s="659"/>
      <c r="H814" s="659"/>
      <c r="I814" s="659"/>
      <c r="J814" s="659"/>
      <c r="K814" s="659"/>
      <c r="L814" s="659"/>
      <c r="M814" s="659"/>
      <c r="N814" s="659"/>
      <c r="O814" s="659"/>
      <c r="P814" s="659"/>
    </row>
    <row r="815" spans="2:16" x14ac:dyDescent="0.2">
      <c r="B815" s="55"/>
      <c r="C815" s="55"/>
      <c r="D815" s="659"/>
      <c r="E815" s="659"/>
      <c r="F815" s="659"/>
      <c r="G815" s="659"/>
      <c r="H815" s="659"/>
      <c r="I815" s="659"/>
      <c r="J815" s="659"/>
      <c r="K815" s="659"/>
      <c r="L815" s="659"/>
      <c r="M815" s="659"/>
      <c r="N815" s="659"/>
      <c r="O815" s="659"/>
      <c r="P815" s="659"/>
    </row>
    <row r="816" spans="2:16" x14ac:dyDescent="0.2">
      <c r="B816" s="55"/>
      <c r="C816" s="55"/>
      <c r="D816" s="659"/>
      <c r="E816" s="659"/>
      <c r="F816" s="659"/>
      <c r="G816" s="659"/>
      <c r="H816" s="659"/>
      <c r="I816" s="659"/>
      <c r="J816" s="659"/>
      <c r="K816" s="659"/>
      <c r="L816" s="659"/>
      <c r="M816" s="659"/>
      <c r="N816" s="659"/>
      <c r="O816" s="659"/>
      <c r="P816" s="659"/>
    </row>
    <row r="817" spans="2:16" x14ac:dyDescent="0.2">
      <c r="B817" s="55"/>
      <c r="C817" s="55"/>
      <c r="D817" s="659"/>
      <c r="E817" s="659"/>
      <c r="F817" s="659"/>
      <c r="G817" s="659"/>
      <c r="H817" s="659"/>
      <c r="I817" s="659"/>
      <c r="J817" s="659"/>
      <c r="K817" s="659"/>
      <c r="L817" s="659"/>
      <c r="M817" s="659"/>
      <c r="N817" s="659"/>
      <c r="O817" s="659"/>
      <c r="P817" s="659"/>
    </row>
    <row r="818" spans="2:16" x14ac:dyDescent="0.2">
      <c r="B818" s="55"/>
      <c r="C818" s="55"/>
      <c r="D818" s="659"/>
      <c r="E818" s="659"/>
      <c r="F818" s="659"/>
      <c r="G818" s="659"/>
      <c r="H818" s="659"/>
      <c r="I818" s="659"/>
      <c r="J818" s="659"/>
      <c r="K818" s="659"/>
      <c r="L818" s="659"/>
      <c r="M818" s="659"/>
      <c r="N818" s="659"/>
      <c r="O818" s="659"/>
      <c r="P818" s="659"/>
    </row>
    <row r="819" spans="2:16" x14ac:dyDescent="0.2">
      <c r="B819" s="55"/>
      <c r="C819" s="55"/>
      <c r="D819" s="659"/>
      <c r="E819" s="659"/>
      <c r="F819" s="659"/>
      <c r="G819" s="659"/>
      <c r="H819" s="659"/>
      <c r="I819" s="659"/>
      <c r="J819" s="659"/>
      <c r="K819" s="659"/>
      <c r="L819" s="659"/>
      <c r="M819" s="659"/>
      <c r="N819" s="659"/>
      <c r="O819" s="659"/>
      <c r="P819" s="659"/>
    </row>
    <row r="820" spans="2:16" x14ac:dyDescent="0.2">
      <c r="B820" s="55"/>
      <c r="C820" s="55"/>
      <c r="D820" s="659"/>
      <c r="E820" s="659"/>
      <c r="F820" s="659"/>
      <c r="G820" s="659"/>
      <c r="H820" s="659"/>
      <c r="I820" s="659"/>
      <c r="J820" s="659"/>
      <c r="K820" s="659"/>
      <c r="L820" s="659"/>
      <c r="M820" s="659"/>
      <c r="N820" s="659"/>
      <c r="O820" s="659"/>
      <c r="P820" s="659"/>
    </row>
    <row r="821" spans="2:16" x14ac:dyDescent="0.2">
      <c r="B821" s="55"/>
      <c r="C821" s="55"/>
      <c r="D821" s="659"/>
      <c r="E821" s="659"/>
      <c r="F821" s="659"/>
      <c r="G821" s="659"/>
      <c r="H821" s="659"/>
      <c r="I821" s="659"/>
      <c r="J821" s="659"/>
      <c r="K821" s="659"/>
      <c r="L821" s="659"/>
      <c r="M821" s="659"/>
      <c r="N821" s="659"/>
      <c r="O821" s="659"/>
      <c r="P821" s="659"/>
    </row>
    <row r="822" spans="2:16" x14ac:dyDescent="0.2">
      <c r="B822" s="55"/>
      <c r="C822" s="55"/>
      <c r="D822" s="659"/>
      <c r="E822" s="659"/>
      <c r="F822" s="659"/>
      <c r="G822" s="659"/>
      <c r="H822" s="659"/>
      <c r="I822" s="659"/>
      <c r="J822" s="659"/>
      <c r="K822" s="659"/>
      <c r="L822" s="659"/>
      <c r="M822" s="659"/>
      <c r="N822" s="659"/>
      <c r="O822" s="659"/>
      <c r="P822" s="659"/>
    </row>
    <row r="823" spans="2:16" x14ac:dyDescent="0.2">
      <c r="B823" s="55"/>
      <c r="C823" s="55"/>
      <c r="D823" s="659"/>
      <c r="E823" s="659"/>
      <c r="F823" s="659"/>
      <c r="G823" s="659"/>
      <c r="H823" s="659"/>
      <c r="I823" s="659"/>
      <c r="J823" s="659"/>
      <c r="K823" s="659"/>
      <c r="L823" s="659"/>
      <c r="M823" s="659"/>
      <c r="N823" s="659"/>
      <c r="O823" s="659"/>
      <c r="P823" s="659"/>
    </row>
    <row r="824" spans="2:16" x14ac:dyDescent="0.2">
      <c r="B824" s="55"/>
      <c r="C824" s="55"/>
      <c r="D824" s="659"/>
      <c r="E824" s="659"/>
      <c r="F824" s="659"/>
      <c r="G824" s="659"/>
      <c r="H824" s="659"/>
      <c r="I824" s="659"/>
      <c r="J824" s="659"/>
      <c r="K824" s="659"/>
      <c r="L824" s="659"/>
      <c r="M824" s="659"/>
      <c r="N824" s="659"/>
      <c r="O824" s="659"/>
      <c r="P824" s="659"/>
    </row>
    <row r="825" spans="2:16" x14ac:dyDescent="0.2">
      <c r="B825" s="55"/>
      <c r="C825" s="55"/>
      <c r="D825" s="659"/>
      <c r="E825" s="659"/>
      <c r="F825" s="659"/>
      <c r="G825" s="659"/>
      <c r="H825" s="659"/>
      <c r="I825" s="659"/>
      <c r="J825" s="659"/>
      <c r="K825" s="659"/>
      <c r="L825" s="659"/>
      <c r="M825" s="659"/>
      <c r="N825" s="659"/>
      <c r="O825" s="659"/>
      <c r="P825" s="659"/>
    </row>
    <row r="826" spans="2:16" x14ac:dyDescent="0.2">
      <c r="B826" s="55"/>
      <c r="C826" s="55"/>
      <c r="D826" s="659"/>
      <c r="E826" s="659"/>
      <c r="F826" s="659"/>
      <c r="G826" s="659"/>
      <c r="H826" s="659"/>
      <c r="I826" s="659"/>
      <c r="J826" s="659"/>
      <c r="K826" s="659"/>
      <c r="L826" s="659"/>
      <c r="M826" s="659"/>
      <c r="N826" s="659"/>
      <c r="O826" s="659"/>
      <c r="P826" s="659"/>
    </row>
    <row r="827" spans="2:16" x14ac:dyDescent="0.2">
      <c r="B827" s="55"/>
      <c r="C827" s="55"/>
      <c r="D827" s="659"/>
      <c r="E827" s="659"/>
      <c r="F827" s="659"/>
      <c r="G827" s="659"/>
      <c r="H827" s="659"/>
      <c r="I827" s="659"/>
      <c r="J827" s="659"/>
      <c r="K827" s="659"/>
      <c r="L827" s="659"/>
      <c r="M827" s="659"/>
      <c r="N827" s="659"/>
      <c r="O827" s="659"/>
      <c r="P827" s="659"/>
    </row>
    <row r="828" spans="2:16" x14ac:dyDescent="0.2">
      <c r="B828" s="55"/>
      <c r="C828" s="55"/>
      <c r="D828" s="659"/>
      <c r="E828" s="659"/>
      <c r="F828" s="659"/>
      <c r="G828" s="659"/>
      <c r="H828" s="659"/>
      <c r="I828" s="659"/>
      <c r="J828" s="659"/>
      <c r="K828" s="659"/>
      <c r="L828" s="659"/>
      <c r="M828" s="659"/>
      <c r="N828" s="659"/>
      <c r="O828" s="659"/>
      <c r="P828" s="659"/>
    </row>
    <row r="829" spans="2:16" x14ac:dyDescent="0.2">
      <c r="B829" s="55"/>
      <c r="C829" s="55"/>
      <c r="D829" s="659"/>
      <c r="E829" s="659"/>
      <c r="F829" s="659"/>
      <c r="G829" s="659"/>
      <c r="H829" s="659"/>
      <c r="I829" s="659"/>
      <c r="J829" s="659"/>
      <c r="K829" s="659"/>
      <c r="L829" s="659"/>
      <c r="M829" s="659"/>
      <c r="N829" s="659"/>
      <c r="O829" s="659"/>
      <c r="P829" s="659"/>
    </row>
    <row r="830" spans="2:16" x14ac:dyDescent="0.2">
      <c r="B830" s="55"/>
      <c r="C830" s="55"/>
      <c r="D830" s="659"/>
      <c r="E830" s="659"/>
      <c r="F830" s="659"/>
      <c r="G830" s="659"/>
      <c r="H830" s="659"/>
      <c r="I830" s="659"/>
      <c r="J830" s="659"/>
      <c r="K830" s="659"/>
      <c r="L830" s="659"/>
      <c r="M830" s="659"/>
      <c r="N830" s="659"/>
      <c r="O830" s="659"/>
      <c r="P830" s="659"/>
    </row>
    <row r="831" spans="2:16" x14ac:dyDescent="0.2">
      <c r="B831" s="55"/>
      <c r="C831" s="55"/>
      <c r="D831" s="659"/>
      <c r="E831" s="659"/>
      <c r="F831" s="659"/>
      <c r="G831" s="659"/>
      <c r="H831" s="659"/>
      <c r="I831" s="659"/>
      <c r="J831" s="659"/>
      <c r="K831" s="659"/>
      <c r="L831" s="659"/>
      <c r="M831" s="659"/>
      <c r="N831" s="659"/>
      <c r="O831" s="659"/>
      <c r="P831" s="659"/>
    </row>
    <row r="832" spans="2:16" x14ac:dyDescent="0.2">
      <c r="B832" s="55"/>
      <c r="C832" s="55"/>
      <c r="D832" s="659"/>
      <c r="E832" s="659"/>
      <c r="F832" s="659"/>
      <c r="G832" s="659"/>
      <c r="H832" s="659"/>
      <c r="I832" s="659"/>
      <c r="J832" s="659"/>
      <c r="K832" s="659"/>
      <c r="L832" s="659"/>
      <c r="M832" s="659"/>
      <c r="N832" s="659"/>
      <c r="O832" s="659"/>
      <c r="P832" s="659"/>
    </row>
    <row r="833" spans="2:16" x14ac:dyDescent="0.2">
      <c r="B833" s="55"/>
      <c r="C833" s="55"/>
      <c r="D833" s="659"/>
      <c r="E833" s="659"/>
      <c r="F833" s="659"/>
      <c r="G833" s="659"/>
      <c r="H833" s="659"/>
      <c r="I833" s="659"/>
      <c r="J833" s="659"/>
      <c r="K833" s="659"/>
      <c r="L833" s="659"/>
      <c r="M833" s="659"/>
      <c r="N833" s="659"/>
      <c r="O833" s="659"/>
      <c r="P833" s="659"/>
    </row>
    <row r="834" spans="2:16" x14ac:dyDescent="0.2">
      <c r="B834" s="55"/>
      <c r="C834" s="55"/>
      <c r="D834" s="659"/>
      <c r="E834" s="659"/>
      <c r="F834" s="659"/>
      <c r="G834" s="659"/>
      <c r="H834" s="659"/>
      <c r="I834" s="659"/>
      <c r="J834" s="659"/>
      <c r="K834" s="659"/>
      <c r="L834" s="659"/>
      <c r="M834" s="659"/>
      <c r="N834" s="659"/>
      <c r="O834" s="659"/>
      <c r="P834" s="659"/>
    </row>
    <row r="835" spans="2:16" x14ac:dyDescent="0.2">
      <c r="B835" s="55"/>
      <c r="C835" s="55"/>
      <c r="D835" s="659"/>
      <c r="E835" s="659"/>
      <c r="F835" s="659"/>
      <c r="G835" s="659"/>
      <c r="H835" s="659"/>
      <c r="I835" s="659"/>
      <c r="J835" s="659"/>
      <c r="K835" s="659"/>
      <c r="L835" s="659"/>
      <c r="M835" s="659"/>
      <c r="N835" s="659"/>
      <c r="O835" s="659"/>
      <c r="P835" s="659"/>
    </row>
    <row r="836" spans="2:16" x14ac:dyDescent="0.2">
      <c r="B836" s="55"/>
      <c r="C836" s="55"/>
      <c r="D836" s="659"/>
      <c r="E836" s="659"/>
      <c r="F836" s="659"/>
      <c r="G836" s="659"/>
      <c r="H836" s="659"/>
      <c r="I836" s="659"/>
      <c r="J836" s="659"/>
      <c r="K836" s="659"/>
      <c r="L836" s="659"/>
      <c r="M836" s="659"/>
      <c r="N836" s="659"/>
      <c r="O836" s="659"/>
      <c r="P836" s="659"/>
    </row>
    <row r="837" spans="2:16" x14ac:dyDescent="0.2">
      <c r="B837" s="55"/>
      <c r="C837" s="55"/>
      <c r="D837" s="659"/>
      <c r="E837" s="659"/>
      <c r="F837" s="659"/>
      <c r="G837" s="659"/>
      <c r="H837" s="659"/>
      <c r="I837" s="659"/>
      <c r="J837" s="659"/>
      <c r="K837" s="659"/>
      <c r="L837" s="659"/>
      <c r="M837" s="659"/>
      <c r="N837" s="659"/>
      <c r="O837" s="659"/>
      <c r="P837" s="659"/>
    </row>
    <row r="838" spans="2:16" x14ac:dyDescent="0.2">
      <c r="B838" s="55"/>
      <c r="C838" s="55"/>
      <c r="D838" s="659"/>
      <c r="E838" s="659"/>
      <c r="F838" s="659"/>
      <c r="G838" s="659"/>
      <c r="H838" s="659"/>
      <c r="I838" s="659"/>
      <c r="J838" s="659"/>
      <c r="K838" s="659"/>
      <c r="L838" s="659"/>
      <c r="M838" s="659"/>
      <c r="N838" s="659"/>
      <c r="O838" s="659"/>
      <c r="P838" s="659"/>
    </row>
    <row r="839" spans="2:16" x14ac:dyDescent="0.2">
      <c r="B839" s="55"/>
      <c r="C839" s="55"/>
      <c r="D839" s="659"/>
      <c r="E839" s="659"/>
      <c r="F839" s="659"/>
      <c r="G839" s="659"/>
      <c r="H839" s="659"/>
      <c r="I839" s="659"/>
      <c r="J839" s="659"/>
      <c r="K839" s="659"/>
      <c r="L839" s="659"/>
      <c r="M839" s="659"/>
      <c r="N839" s="659"/>
      <c r="O839" s="659"/>
      <c r="P839" s="659"/>
    </row>
    <row r="840" spans="2:16" x14ac:dyDescent="0.2">
      <c r="B840" s="55"/>
      <c r="C840" s="55"/>
      <c r="D840" s="659"/>
      <c r="E840" s="659"/>
      <c r="F840" s="659"/>
      <c r="G840" s="659"/>
      <c r="H840" s="659"/>
      <c r="I840" s="659"/>
      <c r="J840" s="659"/>
      <c r="K840" s="659"/>
      <c r="L840" s="659"/>
      <c r="M840" s="659"/>
      <c r="N840" s="659"/>
      <c r="O840" s="659"/>
      <c r="P840" s="659"/>
    </row>
    <row r="841" spans="2:16" x14ac:dyDescent="0.2">
      <c r="B841" s="55"/>
      <c r="C841" s="55"/>
      <c r="D841" s="659"/>
      <c r="E841" s="659"/>
      <c r="F841" s="659"/>
      <c r="G841" s="659"/>
      <c r="H841" s="659"/>
      <c r="I841" s="659"/>
      <c r="J841" s="659"/>
      <c r="K841" s="659"/>
      <c r="L841" s="659"/>
      <c r="M841" s="659"/>
      <c r="N841" s="659"/>
      <c r="O841" s="659"/>
      <c r="P841" s="659"/>
    </row>
    <row r="842" spans="2:16" x14ac:dyDescent="0.2">
      <c r="B842" s="55"/>
      <c r="C842" s="55"/>
      <c r="D842" s="659"/>
      <c r="E842" s="659"/>
      <c r="F842" s="659"/>
      <c r="G842" s="659"/>
      <c r="H842" s="659"/>
      <c r="I842" s="659"/>
      <c r="J842" s="659"/>
      <c r="K842" s="659"/>
      <c r="L842" s="659"/>
      <c r="M842" s="659"/>
      <c r="N842" s="659"/>
      <c r="O842" s="659"/>
      <c r="P842" s="659"/>
    </row>
    <row r="843" spans="2:16" x14ac:dyDescent="0.2">
      <c r="B843" s="55"/>
      <c r="C843" s="55"/>
      <c r="D843" s="659"/>
      <c r="E843" s="659"/>
      <c r="F843" s="659"/>
      <c r="G843" s="659"/>
      <c r="H843" s="659"/>
      <c r="I843" s="659"/>
      <c r="J843" s="659"/>
      <c r="K843" s="659"/>
      <c r="L843" s="659"/>
      <c r="M843" s="659"/>
      <c r="N843" s="659"/>
      <c r="O843" s="659"/>
      <c r="P843" s="659"/>
    </row>
    <row r="844" spans="2:16" x14ac:dyDescent="0.2">
      <c r="B844" s="55"/>
      <c r="C844" s="55"/>
      <c r="D844" s="659"/>
      <c r="E844" s="659"/>
      <c r="F844" s="659"/>
      <c r="G844" s="659"/>
      <c r="H844" s="659"/>
      <c r="I844" s="659"/>
      <c r="J844" s="659"/>
      <c r="K844" s="659"/>
      <c r="L844" s="659"/>
      <c r="M844" s="659"/>
      <c r="N844" s="659"/>
      <c r="O844" s="659"/>
      <c r="P844" s="659"/>
    </row>
    <row r="845" spans="2:16" x14ac:dyDescent="0.2">
      <c r="B845" s="55"/>
      <c r="C845" s="55"/>
      <c r="D845" s="659"/>
      <c r="E845" s="659"/>
      <c r="F845" s="659"/>
      <c r="G845" s="659"/>
      <c r="H845" s="659"/>
      <c r="I845" s="659"/>
      <c r="J845" s="659"/>
      <c r="K845" s="659"/>
      <c r="L845" s="659"/>
      <c r="M845" s="659"/>
      <c r="N845" s="659"/>
      <c r="O845" s="659"/>
      <c r="P845" s="659"/>
    </row>
    <row r="846" spans="2:16" x14ac:dyDescent="0.2">
      <c r="B846" s="55"/>
      <c r="C846" s="55"/>
      <c r="D846" s="659"/>
      <c r="E846" s="659"/>
      <c r="F846" s="659"/>
      <c r="G846" s="659"/>
      <c r="H846" s="659"/>
      <c r="I846" s="659"/>
      <c r="J846" s="659"/>
      <c r="K846" s="659"/>
      <c r="L846" s="659"/>
      <c r="M846" s="659"/>
      <c r="N846" s="659"/>
      <c r="O846" s="659"/>
      <c r="P846" s="659"/>
    </row>
    <row r="847" spans="2:16" x14ac:dyDescent="0.2">
      <c r="B847" s="55"/>
      <c r="C847" s="55"/>
      <c r="D847" s="659"/>
      <c r="E847" s="659"/>
      <c r="F847" s="659"/>
      <c r="G847" s="659"/>
      <c r="H847" s="659"/>
      <c r="I847" s="659"/>
      <c r="J847" s="659"/>
      <c r="K847" s="659"/>
      <c r="L847" s="659"/>
      <c r="M847" s="659"/>
      <c r="N847" s="659"/>
      <c r="O847" s="659"/>
      <c r="P847" s="659"/>
    </row>
    <row r="848" spans="2:16" x14ac:dyDescent="0.2">
      <c r="B848" s="55"/>
      <c r="C848" s="55"/>
      <c r="D848" s="659"/>
      <c r="E848" s="659"/>
      <c r="F848" s="659"/>
      <c r="G848" s="659"/>
      <c r="H848" s="659"/>
      <c r="I848" s="659"/>
      <c r="J848" s="659"/>
      <c r="K848" s="659"/>
      <c r="L848" s="659"/>
      <c r="M848" s="659"/>
      <c r="N848" s="659"/>
      <c r="O848" s="659"/>
      <c r="P848" s="659"/>
    </row>
    <row r="849" spans="2:16" x14ac:dyDescent="0.2">
      <c r="B849" s="55"/>
      <c r="C849" s="55"/>
      <c r="D849" s="659"/>
      <c r="E849" s="659"/>
      <c r="F849" s="659"/>
      <c r="G849" s="659"/>
      <c r="H849" s="659"/>
      <c r="I849" s="659"/>
      <c r="J849" s="659"/>
      <c r="K849" s="659"/>
      <c r="L849" s="659"/>
      <c r="M849" s="659"/>
      <c r="N849" s="659"/>
      <c r="O849" s="659"/>
      <c r="P849" s="659"/>
    </row>
    <row r="850" spans="2:16" x14ac:dyDescent="0.2">
      <c r="B850" s="55"/>
      <c r="C850" s="55"/>
      <c r="D850" s="659"/>
      <c r="E850" s="659"/>
      <c r="F850" s="659"/>
      <c r="G850" s="659"/>
      <c r="H850" s="659"/>
      <c r="I850" s="659"/>
      <c r="J850" s="659"/>
      <c r="K850" s="659"/>
      <c r="L850" s="659"/>
      <c r="M850" s="659"/>
      <c r="N850" s="659"/>
      <c r="O850" s="659"/>
      <c r="P850" s="659"/>
    </row>
    <row r="851" spans="2:16" x14ac:dyDescent="0.2">
      <c r="B851" s="55"/>
      <c r="C851" s="55"/>
      <c r="D851" s="659"/>
      <c r="E851" s="659"/>
      <c r="F851" s="659"/>
      <c r="G851" s="659"/>
      <c r="H851" s="659"/>
      <c r="I851" s="659"/>
      <c r="J851" s="659"/>
      <c r="K851" s="659"/>
      <c r="L851" s="659"/>
      <c r="M851" s="659"/>
      <c r="N851" s="659"/>
      <c r="O851" s="659"/>
      <c r="P851" s="659"/>
    </row>
    <row r="852" spans="2:16" x14ac:dyDescent="0.2">
      <c r="B852" s="55"/>
      <c r="C852" s="55"/>
      <c r="D852" s="659"/>
      <c r="E852" s="659"/>
      <c r="F852" s="659"/>
      <c r="G852" s="659"/>
      <c r="H852" s="659"/>
      <c r="I852" s="659"/>
      <c r="J852" s="659"/>
      <c r="K852" s="659"/>
      <c r="L852" s="659"/>
      <c r="M852" s="659"/>
      <c r="N852" s="659"/>
      <c r="O852" s="659"/>
      <c r="P852" s="659"/>
    </row>
    <row r="853" spans="2:16" x14ac:dyDescent="0.2">
      <c r="B853" s="55"/>
      <c r="C853" s="55"/>
      <c r="D853" s="659"/>
      <c r="E853" s="659"/>
      <c r="F853" s="659"/>
      <c r="G853" s="659"/>
      <c r="H853" s="659"/>
      <c r="I853" s="659"/>
      <c r="J853" s="659"/>
      <c r="K853" s="659"/>
      <c r="L853" s="659"/>
      <c r="M853" s="659"/>
      <c r="N853" s="659"/>
      <c r="O853" s="659"/>
      <c r="P853" s="659"/>
    </row>
    <row r="854" spans="2:16" x14ac:dyDescent="0.2">
      <c r="B854" s="55"/>
      <c r="C854" s="55"/>
      <c r="D854" s="659"/>
      <c r="E854" s="659"/>
      <c r="F854" s="659"/>
      <c r="G854" s="659"/>
      <c r="H854" s="659"/>
      <c r="I854" s="659"/>
      <c r="J854" s="659"/>
      <c r="K854" s="659"/>
      <c r="L854" s="659"/>
      <c r="M854" s="659"/>
      <c r="N854" s="659"/>
      <c r="O854" s="659"/>
      <c r="P854" s="659"/>
    </row>
    <row r="855" spans="2:16" x14ac:dyDescent="0.2">
      <c r="B855" s="55"/>
      <c r="C855" s="55"/>
      <c r="D855" s="659"/>
      <c r="E855" s="659"/>
      <c r="F855" s="659"/>
      <c r="G855" s="659"/>
      <c r="H855" s="659"/>
      <c r="I855" s="659"/>
      <c r="J855" s="659"/>
      <c r="K855" s="659"/>
      <c r="L855" s="659"/>
      <c r="M855" s="659"/>
      <c r="N855" s="659"/>
      <c r="O855" s="659"/>
      <c r="P855" s="659"/>
    </row>
    <row r="856" spans="2:16" x14ac:dyDescent="0.2">
      <c r="B856" s="55"/>
      <c r="C856" s="55"/>
      <c r="D856" s="659"/>
      <c r="E856" s="659"/>
      <c r="F856" s="659"/>
      <c r="G856" s="659"/>
      <c r="H856" s="659"/>
      <c r="I856" s="659"/>
      <c r="J856" s="659"/>
      <c r="K856" s="659"/>
      <c r="L856" s="659"/>
      <c r="M856" s="659"/>
      <c r="N856" s="659"/>
      <c r="O856" s="659"/>
      <c r="P856" s="659"/>
    </row>
    <row r="857" spans="2:16" x14ac:dyDescent="0.2">
      <c r="B857" s="55"/>
      <c r="C857" s="55"/>
      <c r="D857" s="659"/>
      <c r="E857" s="659"/>
      <c r="F857" s="659"/>
      <c r="G857" s="659"/>
      <c r="H857" s="659"/>
      <c r="I857" s="659"/>
      <c r="J857" s="659"/>
      <c r="K857" s="659"/>
      <c r="L857" s="659"/>
      <c r="M857" s="659"/>
      <c r="N857" s="659"/>
      <c r="O857" s="659"/>
      <c r="P857" s="659"/>
    </row>
    <row r="858" spans="2:16" x14ac:dyDescent="0.2">
      <c r="B858" s="55"/>
      <c r="C858" s="55"/>
      <c r="D858" s="659"/>
      <c r="E858" s="659"/>
      <c r="F858" s="659"/>
      <c r="G858" s="659"/>
      <c r="H858" s="659"/>
      <c r="I858" s="659"/>
      <c r="J858" s="659"/>
      <c r="K858" s="659"/>
      <c r="L858" s="659"/>
      <c r="M858" s="659"/>
      <c r="N858" s="659"/>
      <c r="O858" s="659"/>
      <c r="P858" s="659"/>
    </row>
    <row r="859" spans="2:16" x14ac:dyDescent="0.2">
      <c r="B859" s="55"/>
      <c r="C859" s="55"/>
      <c r="D859" s="659"/>
      <c r="E859" s="659"/>
      <c r="F859" s="659"/>
      <c r="G859" s="659"/>
      <c r="H859" s="659"/>
      <c r="I859" s="659"/>
      <c r="J859" s="659"/>
      <c r="K859" s="659"/>
      <c r="L859" s="659"/>
      <c r="M859" s="659"/>
      <c r="N859" s="659"/>
      <c r="O859" s="659"/>
      <c r="P859" s="659"/>
    </row>
    <row r="860" spans="2:16" x14ac:dyDescent="0.2">
      <c r="B860" s="55"/>
      <c r="C860" s="55"/>
      <c r="D860" s="659"/>
      <c r="E860" s="659"/>
      <c r="F860" s="659"/>
      <c r="G860" s="659"/>
      <c r="H860" s="659"/>
      <c r="I860" s="659"/>
      <c r="J860" s="659"/>
      <c r="K860" s="659"/>
      <c r="L860" s="659"/>
      <c r="M860" s="659"/>
      <c r="N860" s="659"/>
      <c r="O860" s="659"/>
      <c r="P860" s="659"/>
    </row>
    <row r="861" spans="2:16" x14ac:dyDescent="0.2">
      <c r="B861" s="55"/>
      <c r="C861" s="55"/>
      <c r="D861" s="659"/>
      <c r="E861" s="659"/>
      <c r="F861" s="659"/>
      <c r="G861" s="659"/>
      <c r="H861" s="659"/>
      <c r="I861" s="659"/>
      <c r="J861" s="659"/>
      <c r="K861" s="659"/>
      <c r="L861" s="659"/>
      <c r="M861" s="659"/>
      <c r="N861" s="659"/>
      <c r="O861" s="659"/>
      <c r="P861" s="659"/>
    </row>
    <row r="862" spans="2:16" x14ac:dyDescent="0.2">
      <c r="B862" s="55"/>
      <c r="C862" s="55"/>
      <c r="D862" s="659"/>
      <c r="E862" s="659"/>
      <c r="F862" s="659"/>
      <c r="G862" s="659"/>
      <c r="H862" s="659"/>
      <c r="I862" s="659"/>
      <c r="J862" s="659"/>
      <c r="K862" s="659"/>
      <c r="L862" s="659"/>
      <c r="M862" s="659"/>
      <c r="N862" s="659"/>
      <c r="O862" s="659"/>
      <c r="P862" s="659"/>
    </row>
    <row r="863" spans="2:16" x14ac:dyDescent="0.2">
      <c r="B863" s="55"/>
      <c r="C863" s="55"/>
      <c r="D863" s="659"/>
      <c r="E863" s="659"/>
      <c r="F863" s="659"/>
      <c r="G863" s="659"/>
      <c r="H863" s="659"/>
      <c r="I863" s="659"/>
      <c r="J863" s="659"/>
      <c r="K863" s="659"/>
      <c r="L863" s="659"/>
      <c r="M863" s="659"/>
      <c r="N863" s="659"/>
      <c r="O863" s="659"/>
      <c r="P863" s="659"/>
    </row>
    <row r="864" spans="2:16" x14ac:dyDescent="0.2">
      <c r="B864" s="55"/>
      <c r="C864" s="55"/>
      <c r="D864" s="659"/>
      <c r="E864" s="659"/>
      <c r="F864" s="659"/>
      <c r="G864" s="659"/>
      <c r="H864" s="659"/>
      <c r="I864" s="659"/>
      <c r="J864" s="659"/>
      <c r="K864" s="659"/>
      <c r="L864" s="659"/>
      <c r="M864" s="659"/>
      <c r="N864" s="659"/>
      <c r="O864" s="659"/>
      <c r="P864" s="659"/>
    </row>
    <row r="865" spans="2:16" x14ac:dyDescent="0.2">
      <c r="B865" s="55"/>
      <c r="C865" s="55"/>
      <c r="D865" s="659"/>
      <c r="E865" s="659"/>
      <c r="F865" s="659"/>
      <c r="G865" s="659"/>
      <c r="H865" s="659"/>
      <c r="I865" s="659"/>
      <c r="J865" s="659"/>
      <c r="K865" s="659"/>
      <c r="L865" s="659"/>
      <c r="M865" s="659"/>
      <c r="N865" s="659"/>
      <c r="O865" s="659"/>
      <c r="P865" s="659"/>
    </row>
    <row r="866" spans="2:16" x14ac:dyDescent="0.2">
      <c r="B866" s="55"/>
      <c r="C866" s="55"/>
      <c r="D866" s="659"/>
      <c r="E866" s="659"/>
      <c r="F866" s="659"/>
      <c r="G866" s="659"/>
      <c r="H866" s="659"/>
      <c r="I866" s="659"/>
      <c r="J866" s="659"/>
      <c r="K866" s="659"/>
      <c r="L866" s="659"/>
      <c r="M866" s="659"/>
      <c r="N866" s="659"/>
      <c r="O866" s="659"/>
      <c r="P866" s="659"/>
    </row>
    <row r="867" spans="2:16" x14ac:dyDescent="0.2">
      <c r="B867" s="55"/>
      <c r="C867" s="55"/>
      <c r="D867" s="659"/>
      <c r="E867" s="659"/>
      <c r="F867" s="659"/>
      <c r="G867" s="659"/>
      <c r="H867" s="659"/>
      <c r="I867" s="659"/>
      <c r="J867" s="659"/>
      <c r="K867" s="659"/>
      <c r="L867" s="659"/>
      <c r="M867" s="659"/>
      <c r="N867" s="659"/>
      <c r="O867" s="659"/>
      <c r="P867" s="659"/>
    </row>
    <row r="868" spans="2:16" x14ac:dyDescent="0.2">
      <c r="B868" s="55"/>
      <c r="C868" s="55"/>
      <c r="D868" s="659"/>
      <c r="E868" s="659"/>
      <c r="F868" s="659"/>
      <c r="G868" s="659"/>
      <c r="H868" s="659"/>
      <c r="I868" s="659"/>
      <c r="J868" s="659"/>
      <c r="K868" s="659"/>
      <c r="L868" s="659"/>
      <c r="M868" s="659"/>
      <c r="N868" s="659"/>
      <c r="O868" s="659"/>
      <c r="P868" s="659"/>
    </row>
    <row r="869" spans="2:16" x14ac:dyDescent="0.2">
      <c r="B869" s="55"/>
      <c r="C869" s="55"/>
      <c r="D869" s="659"/>
      <c r="E869" s="659"/>
      <c r="F869" s="659"/>
      <c r="G869" s="659"/>
      <c r="H869" s="659"/>
      <c r="I869" s="659"/>
      <c r="J869" s="659"/>
      <c r="K869" s="659"/>
      <c r="L869" s="659"/>
      <c r="M869" s="659"/>
      <c r="N869" s="659"/>
      <c r="O869" s="659"/>
      <c r="P869" s="659"/>
    </row>
    <row r="870" spans="2:16" x14ac:dyDescent="0.2">
      <c r="B870" s="55"/>
      <c r="C870" s="55"/>
      <c r="D870" s="659"/>
      <c r="E870" s="659"/>
      <c r="F870" s="659"/>
      <c r="G870" s="659"/>
      <c r="H870" s="659"/>
      <c r="I870" s="659"/>
      <c r="J870" s="659"/>
      <c r="K870" s="659"/>
      <c r="L870" s="659"/>
      <c r="M870" s="659"/>
      <c r="N870" s="659"/>
      <c r="O870" s="659"/>
      <c r="P870" s="659"/>
    </row>
    <row r="871" spans="2:16" x14ac:dyDescent="0.2">
      <c r="B871" s="55"/>
      <c r="C871" s="55"/>
      <c r="D871" s="659"/>
      <c r="E871" s="659"/>
      <c r="F871" s="659"/>
      <c r="G871" s="659"/>
      <c r="H871" s="659"/>
      <c r="I871" s="659"/>
      <c r="J871" s="659"/>
      <c r="K871" s="659"/>
      <c r="L871" s="659"/>
      <c r="M871" s="659"/>
      <c r="N871" s="659"/>
      <c r="O871" s="659"/>
      <c r="P871" s="659"/>
    </row>
    <row r="872" spans="2:16" x14ac:dyDescent="0.2">
      <c r="B872" s="55"/>
      <c r="C872" s="55"/>
      <c r="D872" s="659"/>
      <c r="E872" s="659"/>
      <c r="F872" s="659"/>
      <c r="G872" s="659"/>
      <c r="H872" s="659"/>
      <c r="I872" s="659"/>
      <c r="J872" s="659"/>
      <c r="K872" s="659"/>
      <c r="L872" s="659"/>
      <c r="M872" s="659"/>
      <c r="N872" s="659"/>
      <c r="O872" s="659"/>
      <c r="P872" s="659"/>
    </row>
    <row r="873" spans="2:16" x14ac:dyDescent="0.2">
      <c r="B873" s="55"/>
      <c r="C873" s="55"/>
      <c r="D873" s="659"/>
      <c r="E873" s="659"/>
      <c r="F873" s="659"/>
      <c r="G873" s="659"/>
      <c r="H873" s="659"/>
      <c r="I873" s="659"/>
      <c r="J873" s="659"/>
      <c r="K873" s="659"/>
      <c r="L873" s="659"/>
      <c r="M873" s="659"/>
      <c r="N873" s="659"/>
      <c r="O873" s="659"/>
      <c r="P873" s="659"/>
    </row>
    <row r="874" spans="2:16" x14ac:dyDescent="0.2">
      <c r="B874" s="55"/>
      <c r="C874" s="55"/>
      <c r="D874" s="659"/>
      <c r="E874" s="659"/>
      <c r="F874" s="659"/>
      <c r="G874" s="659"/>
      <c r="H874" s="659"/>
      <c r="I874" s="659"/>
      <c r="J874" s="659"/>
      <c r="K874" s="659"/>
      <c r="L874" s="659"/>
      <c r="M874" s="659"/>
      <c r="N874" s="659"/>
      <c r="O874" s="659"/>
      <c r="P874" s="659"/>
    </row>
    <row r="875" spans="2:16" x14ac:dyDescent="0.2">
      <c r="B875" s="55"/>
      <c r="C875" s="55"/>
      <c r="D875" s="659"/>
      <c r="E875" s="659"/>
      <c r="F875" s="659"/>
      <c r="G875" s="659"/>
      <c r="H875" s="659"/>
      <c r="I875" s="659"/>
      <c r="J875" s="659"/>
      <c r="K875" s="659"/>
      <c r="L875" s="659"/>
      <c r="M875" s="659"/>
      <c r="N875" s="659"/>
      <c r="O875" s="659"/>
      <c r="P875" s="659"/>
    </row>
    <row r="876" spans="2:16" x14ac:dyDescent="0.2">
      <c r="B876" s="55"/>
      <c r="C876" s="55"/>
      <c r="D876" s="659"/>
      <c r="E876" s="659"/>
      <c r="F876" s="659"/>
      <c r="G876" s="659"/>
      <c r="H876" s="659"/>
      <c r="I876" s="659"/>
      <c r="J876" s="659"/>
      <c r="K876" s="659"/>
      <c r="L876" s="659"/>
      <c r="M876" s="659"/>
      <c r="N876" s="659"/>
      <c r="O876" s="659"/>
      <c r="P876" s="659"/>
    </row>
    <row r="877" spans="2:16" x14ac:dyDescent="0.2">
      <c r="B877" s="55"/>
      <c r="C877" s="55"/>
      <c r="D877" s="659"/>
      <c r="E877" s="659"/>
      <c r="F877" s="659"/>
      <c r="G877" s="659"/>
      <c r="H877" s="659"/>
      <c r="I877" s="659"/>
      <c r="J877" s="659"/>
      <c r="K877" s="659"/>
      <c r="L877" s="659"/>
      <c r="M877" s="659"/>
      <c r="N877" s="659"/>
      <c r="O877" s="659"/>
      <c r="P877" s="659"/>
    </row>
    <row r="878" spans="2:16" x14ac:dyDescent="0.2">
      <c r="B878" s="55"/>
      <c r="C878" s="55"/>
      <c r="D878" s="659"/>
      <c r="E878" s="659"/>
      <c r="F878" s="659"/>
      <c r="G878" s="659"/>
      <c r="H878" s="659"/>
      <c r="I878" s="659"/>
      <c r="J878" s="659"/>
      <c r="K878" s="659"/>
      <c r="L878" s="659"/>
      <c r="M878" s="659"/>
      <c r="N878" s="659"/>
      <c r="O878" s="659"/>
      <c r="P878" s="659"/>
    </row>
    <row r="879" spans="2:16" x14ac:dyDescent="0.2">
      <c r="B879" s="55"/>
      <c r="C879" s="55"/>
      <c r="D879" s="659"/>
      <c r="E879" s="659"/>
      <c r="F879" s="659"/>
      <c r="G879" s="659"/>
      <c r="H879" s="659"/>
      <c r="I879" s="659"/>
      <c r="J879" s="659"/>
      <c r="K879" s="659"/>
      <c r="L879" s="659"/>
      <c r="M879" s="659"/>
      <c r="N879" s="659"/>
      <c r="O879" s="659"/>
      <c r="P879" s="659"/>
    </row>
    <row r="880" spans="2:16" x14ac:dyDescent="0.2">
      <c r="B880" s="55"/>
      <c r="C880" s="55"/>
      <c r="D880" s="659"/>
      <c r="E880" s="659"/>
      <c r="F880" s="659"/>
      <c r="G880" s="659"/>
      <c r="H880" s="659"/>
      <c r="I880" s="659"/>
      <c r="J880" s="659"/>
      <c r="K880" s="659"/>
      <c r="L880" s="659"/>
      <c r="M880" s="659"/>
      <c r="N880" s="659"/>
      <c r="O880" s="659"/>
      <c r="P880" s="659"/>
    </row>
    <row r="881" spans="2:16" x14ac:dyDescent="0.2">
      <c r="B881" s="55"/>
      <c r="C881" s="55"/>
      <c r="D881" s="659"/>
      <c r="E881" s="659"/>
      <c r="F881" s="659"/>
      <c r="G881" s="659"/>
      <c r="H881" s="659"/>
      <c r="I881" s="659"/>
      <c r="J881" s="659"/>
      <c r="K881" s="659"/>
      <c r="L881" s="659"/>
      <c r="M881" s="659"/>
      <c r="N881" s="659"/>
      <c r="O881" s="659"/>
      <c r="P881" s="659"/>
    </row>
    <row r="882" spans="2:16" x14ac:dyDescent="0.2">
      <c r="B882" s="55"/>
      <c r="C882" s="55"/>
      <c r="D882" s="659"/>
      <c r="E882" s="659"/>
      <c r="F882" s="659"/>
      <c r="G882" s="659"/>
      <c r="H882" s="659"/>
      <c r="I882" s="659"/>
      <c r="J882" s="659"/>
      <c r="K882" s="659"/>
      <c r="L882" s="659"/>
      <c r="M882" s="659"/>
      <c r="N882" s="659"/>
      <c r="O882" s="659"/>
      <c r="P882" s="659"/>
    </row>
    <row r="883" spans="2:16" x14ac:dyDescent="0.2">
      <c r="B883" s="55"/>
      <c r="C883" s="55"/>
      <c r="D883" s="659"/>
      <c r="E883" s="659"/>
      <c r="F883" s="659"/>
      <c r="G883" s="659"/>
      <c r="H883" s="659"/>
      <c r="I883" s="659"/>
      <c r="J883" s="659"/>
      <c r="K883" s="659"/>
      <c r="L883" s="659"/>
      <c r="M883" s="659"/>
      <c r="N883" s="659"/>
      <c r="O883" s="659"/>
      <c r="P883" s="659"/>
    </row>
    <row r="884" spans="2:16" x14ac:dyDescent="0.2">
      <c r="B884" s="55"/>
      <c r="C884" s="55"/>
      <c r="D884" s="659"/>
      <c r="E884" s="659"/>
      <c r="F884" s="659"/>
      <c r="G884" s="659"/>
      <c r="H884" s="659"/>
      <c r="I884" s="659"/>
      <c r="J884" s="659"/>
      <c r="K884" s="659"/>
      <c r="L884" s="659"/>
      <c r="M884" s="659"/>
      <c r="N884" s="659"/>
      <c r="O884" s="659"/>
      <c r="P884" s="659"/>
    </row>
    <row r="885" spans="2:16" x14ac:dyDescent="0.2">
      <c r="B885" s="55"/>
      <c r="C885" s="55"/>
      <c r="D885" s="659"/>
      <c r="E885" s="659"/>
      <c r="F885" s="659"/>
      <c r="G885" s="659"/>
      <c r="H885" s="659"/>
      <c r="I885" s="659"/>
      <c r="J885" s="659"/>
      <c r="K885" s="659"/>
      <c r="L885" s="659"/>
      <c r="M885" s="659"/>
      <c r="N885" s="659"/>
      <c r="O885" s="659"/>
      <c r="P885" s="659"/>
    </row>
    <row r="886" spans="2:16" x14ac:dyDescent="0.2">
      <c r="B886" s="55"/>
      <c r="C886" s="55"/>
      <c r="D886" s="659"/>
      <c r="E886" s="659"/>
      <c r="F886" s="659"/>
      <c r="G886" s="659"/>
      <c r="H886" s="659"/>
      <c r="I886" s="659"/>
      <c r="J886" s="659"/>
      <c r="K886" s="659"/>
      <c r="L886" s="659"/>
      <c r="M886" s="659"/>
      <c r="N886" s="659"/>
      <c r="O886" s="659"/>
      <c r="P886" s="659"/>
    </row>
    <row r="887" spans="2:16" x14ac:dyDescent="0.2">
      <c r="B887" s="55"/>
      <c r="C887" s="55"/>
      <c r="D887" s="659"/>
      <c r="E887" s="659"/>
      <c r="F887" s="659"/>
      <c r="G887" s="659"/>
      <c r="H887" s="659"/>
      <c r="I887" s="659"/>
      <c r="J887" s="659"/>
      <c r="K887" s="659"/>
      <c r="L887" s="659"/>
      <c r="M887" s="659"/>
      <c r="N887" s="659"/>
      <c r="O887" s="659"/>
      <c r="P887" s="659"/>
    </row>
    <row r="888" spans="2:16" x14ac:dyDescent="0.2">
      <c r="B888" s="55"/>
      <c r="C888" s="55"/>
      <c r="D888" s="659"/>
      <c r="E888" s="659"/>
      <c r="F888" s="659"/>
      <c r="G888" s="659"/>
      <c r="H888" s="659"/>
      <c r="I888" s="659"/>
      <c r="J888" s="659"/>
      <c r="K888" s="659"/>
      <c r="L888" s="659"/>
      <c r="M888" s="659"/>
      <c r="N888" s="659"/>
      <c r="O888" s="659"/>
      <c r="P888" s="659"/>
    </row>
    <row r="889" spans="2:16" x14ac:dyDescent="0.2">
      <c r="B889" s="55"/>
      <c r="C889" s="55"/>
      <c r="D889" s="659"/>
      <c r="E889" s="659"/>
      <c r="F889" s="659"/>
      <c r="G889" s="659"/>
      <c r="H889" s="659"/>
      <c r="I889" s="659"/>
      <c r="J889" s="659"/>
      <c r="K889" s="659"/>
      <c r="L889" s="659"/>
      <c r="M889" s="659"/>
      <c r="N889" s="659"/>
      <c r="O889" s="659"/>
      <c r="P889" s="659"/>
    </row>
    <row r="890" spans="2:16" x14ac:dyDescent="0.2">
      <c r="B890" s="55"/>
      <c r="C890" s="55"/>
      <c r="D890" s="659"/>
      <c r="E890" s="659"/>
      <c r="F890" s="659"/>
      <c r="G890" s="659"/>
      <c r="H890" s="659"/>
      <c r="I890" s="659"/>
      <c r="J890" s="659"/>
      <c r="K890" s="659"/>
      <c r="L890" s="659"/>
      <c r="M890" s="659"/>
      <c r="N890" s="659"/>
      <c r="O890" s="659"/>
      <c r="P890" s="659"/>
    </row>
    <row r="891" spans="2:16" x14ac:dyDescent="0.2">
      <c r="B891" s="55"/>
      <c r="C891" s="55"/>
      <c r="D891" s="659"/>
      <c r="E891" s="659"/>
      <c r="F891" s="659"/>
      <c r="G891" s="659"/>
      <c r="H891" s="659"/>
      <c r="I891" s="659"/>
      <c r="J891" s="659"/>
      <c r="K891" s="659"/>
      <c r="L891" s="659"/>
      <c r="M891" s="659"/>
      <c r="N891" s="659"/>
      <c r="O891" s="659"/>
      <c r="P891" s="659"/>
    </row>
    <row r="892" spans="2:16" x14ac:dyDescent="0.2">
      <c r="B892" s="55"/>
      <c r="C892" s="55"/>
      <c r="D892" s="659"/>
      <c r="E892" s="659"/>
      <c r="F892" s="659"/>
      <c r="G892" s="659"/>
      <c r="H892" s="659"/>
      <c r="I892" s="659"/>
      <c r="J892" s="659"/>
      <c r="K892" s="659"/>
      <c r="L892" s="659"/>
      <c r="M892" s="659"/>
      <c r="N892" s="659"/>
      <c r="O892" s="659"/>
      <c r="P892" s="659"/>
    </row>
    <row r="893" spans="2:16" x14ac:dyDescent="0.2">
      <c r="B893" s="55"/>
      <c r="C893" s="55"/>
      <c r="D893" s="659"/>
      <c r="E893" s="659"/>
      <c r="F893" s="659"/>
      <c r="G893" s="659"/>
      <c r="H893" s="659"/>
      <c r="I893" s="659"/>
      <c r="J893" s="659"/>
      <c r="K893" s="659"/>
      <c r="L893" s="659"/>
      <c r="M893" s="659"/>
      <c r="N893" s="659"/>
      <c r="O893" s="659"/>
      <c r="P893" s="659"/>
    </row>
    <row r="894" spans="2:16" x14ac:dyDescent="0.2">
      <c r="B894" s="55"/>
      <c r="C894" s="55"/>
      <c r="D894" s="659"/>
      <c r="E894" s="659"/>
      <c r="F894" s="659"/>
      <c r="G894" s="659"/>
      <c r="H894" s="659"/>
      <c r="I894" s="659"/>
      <c r="J894" s="659"/>
      <c r="K894" s="659"/>
      <c r="L894" s="659"/>
      <c r="M894" s="659"/>
      <c r="N894" s="659"/>
      <c r="O894" s="659"/>
      <c r="P894" s="659"/>
    </row>
    <row r="895" spans="2:16" x14ac:dyDescent="0.2">
      <c r="B895" s="55"/>
      <c r="C895" s="55"/>
      <c r="D895" s="659"/>
      <c r="E895" s="659"/>
      <c r="F895" s="659"/>
      <c r="G895" s="659"/>
      <c r="H895" s="659"/>
      <c r="I895" s="659"/>
      <c r="J895" s="659"/>
      <c r="K895" s="659"/>
      <c r="L895" s="659"/>
      <c r="M895" s="659"/>
      <c r="N895" s="659"/>
      <c r="O895" s="659"/>
      <c r="P895" s="659"/>
    </row>
    <row r="896" spans="2:16" x14ac:dyDescent="0.2">
      <c r="B896" s="55"/>
      <c r="C896" s="55"/>
      <c r="D896" s="659"/>
      <c r="E896" s="659"/>
      <c r="F896" s="659"/>
      <c r="G896" s="659"/>
      <c r="H896" s="659"/>
      <c r="I896" s="659"/>
      <c r="J896" s="659"/>
      <c r="K896" s="659"/>
      <c r="L896" s="659"/>
      <c r="M896" s="659"/>
      <c r="N896" s="659"/>
      <c r="O896" s="659"/>
      <c r="P896" s="659"/>
    </row>
    <row r="897" spans="2:16" x14ac:dyDescent="0.2">
      <c r="B897" s="55"/>
      <c r="C897" s="55"/>
      <c r="D897" s="659"/>
      <c r="E897" s="659"/>
      <c r="F897" s="659"/>
      <c r="G897" s="659"/>
      <c r="H897" s="659"/>
      <c r="I897" s="659"/>
      <c r="J897" s="659"/>
      <c r="K897" s="659"/>
      <c r="L897" s="659"/>
      <c r="M897" s="659"/>
      <c r="N897" s="659"/>
      <c r="O897" s="659"/>
      <c r="P897" s="659"/>
    </row>
    <row r="898" spans="2:16" x14ac:dyDescent="0.2">
      <c r="B898" s="55"/>
      <c r="C898" s="55"/>
      <c r="D898" s="659"/>
      <c r="E898" s="659"/>
      <c r="F898" s="659"/>
      <c r="G898" s="659"/>
      <c r="H898" s="659"/>
      <c r="I898" s="659"/>
      <c r="J898" s="659"/>
      <c r="K898" s="659"/>
      <c r="L898" s="659"/>
      <c r="M898" s="659"/>
      <c r="N898" s="659"/>
      <c r="O898" s="659"/>
      <c r="P898" s="659"/>
    </row>
    <row r="899" spans="2:16" x14ac:dyDescent="0.2">
      <c r="B899" s="55"/>
      <c r="C899" s="55"/>
      <c r="D899" s="659"/>
      <c r="E899" s="659"/>
      <c r="F899" s="659"/>
      <c r="G899" s="659"/>
      <c r="H899" s="659"/>
      <c r="I899" s="659"/>
      <c r="J899" s="659"/>
      <c r="K899" s="659"/>
      <c r="L899" s="659"/>
      <c r="M899" s="659"/>
      <c r="N899" s="659"/>
      <c r="O899" s="659"/>
      <c r="P899" s="659"/>
    </row>
    <row r="900" spans="2:16" x14ac:dyDescent="0.2">
      <c r="B900" s="55"/>
      <c r="C900" s="55"/>
      <c r="D900" s="659"/>
      <c r="E900" s="659"/>
      <c r="F900" s="659"/>
      <c r="G900" s="659"/>
      <c r="H900" s="659"/>
      <c r="I900" s="659"/>
      <c r="J900" s="659"/>
      <c r="K900" s="659"/>
      <c r="L900" s="659"/>
      <c r="M900" s="659"/>
      <c r="N900" s="659"/>
      <c r="O900" s="659"/>
      <c r="P900" s="659"/>
    </row>
    <row r="901" spans="2:16" x14ac:dyDescent="0.2">
      <c r="B901" s="55"/>
      <c r="C901" s="55"/>
      <c r="D901" s="659"/>
      <c r="E901" s="659"/>
      <c r="F901" s="659"/>
      <c r="G901" s="659"/>
      <c r="H901" s="659"/>
      <c r="I901" s="659"/>
      <c r="J901" s="659"/>
      <c r="K901" s="659"/>
      <c r="L901" s="659"/>
      <c r="M901" s="659"/>
      <c r="N901" s="659"/>
      <c r="O901" s="659"/>
      <c r="P901" s="659"/>
    </row>
    <row r="902" spans="2:16" x14ac:dyDescent="0.2">
      <c r="B902" s="55"/>
      <c r="C902" s="55"/>
      <c r="D902" s="659"/>
      <c r="E902" s="659"/>
      <c r="F902" s="659"/>
      <c r="G902" s="659"/>
      <c r="H902" s="659"/>
      <c r="I902" s="659"/>
      <c r="J902" s="659"/>
      <c r="K902" s="659"/>
      <c r="L902" s="659"/>
      <c r="M902" s="659"/>
      <c r="N902" s="659"/>
      <c r="O902" s="659"/>
      <c r="P902" s="659"/>
    </row>
    <row r="903" spans="2:16" x14ac:dyDescent="0.2">
      <c r="B903" s="55"/>
      <c r="C903" s="55"/>
      <c r="D903" s="659"/>
      <c r="E903" s="659"/>
      <c r="F903" s="659"/>
      <c r="G903" s="659"/>
      <c r="H903" s="659"/>
      <c r="I903" s="659"/>
      <c r="J903" s="659"/>
      <c r="K903" s="659"/>
      <c r="L903" s="659"/>
      <c r="M903" s="659"/>
      <c r="N903" s="659"/>
      <c r="O903" s="659"/>
      <c r="P903" s="659"/>
    </row>
    <row r="904" spans="2:16" x14ac:dyDescent="0.2">
      <c r="B904" s="55"/>
      <c r="C904" s="55"/>
      <c r="D904" s="659"/>
      <c r="E904" s="659"/>
      <c r="F904" s="659"/>
      <c r="G904" s="659"/>
      <c r="H904" s="659"/>
      <c r="I904" s="659"/>
      <c r="J904" s="659"/>
      <c r="K904" s="659"/>
      <c r="L904" s="659"/>
      <c r="M904" s="659"/>
      <c r="N904" s="659"/>
      <c r="O904" s="659"/>
      <c r="P904" s="659"/>
    </row>
    <row r="905" spans="2:16" x14ac:dyDescent="0.2">
      <c r="B905" s="55"/>
      <c r="C905" s="55"/>
      <c r="D905" s="659"/>
      <c r="E905" s="659"/>
      <c r="F905" s="659"/>
      <c r="G905" s="659"/>
      <c r="H905" s="659"/>
      <c r="I905" s="659"/>
      <c r="J905" s="659"/>
      <c r="K905" s="659"/>
      <c r="L905" s="659"/>
      <c r="M905" s="659"/>
      <c r="N905" s="659"/>
      <c r="O905" s="659"/>
      <c r="P905" s="659"/>
    </row>
    <row r="906" spans="2:16" x14ac:dyDescent="0.2">
      <c r="B906" s="55"/>
      <c r="C906" s="55"/>
      <c r="D906" s="659"/>
      <c r="E906" s="659"/>
      <c r="F906" s="659"/>
      <c r="G906" s="659"/>
      <c r="H906" s="659"/>
      <c r="I906" s="659"/>
      <c r="J906" s="659"/>
      <c r="K906" s="659"/>
      <c r="L906" s="659"/>
      <c r="M906" s="659"/>
      <c r="N906" s="659"/>
      <c r="O906" s="659"/>
      <c r="P906" s="659"/>
    </row>
    <row r="907" spans="2:16" x14ac:dyDescent="0.2">
      <c r="B907" s="55"/>
      <c r="C907" s="55"/>
      <c r="D907" s="659"/>
      <c r="E907" s="659"/>
      <c r="F907" s="659"/>
      <c r="G907" s="659"/>
      <c r="H907" s="659"/>
      <c r="I907" s="659"/>
      <c r="J907" s="659"/>
      <c r="K907" s="659"/>
      <c r="L907" s="659"/>
      <c r="M907" s="659"/>
      <c r="N907" s="659"/>
      <c r="O907" s="659"/>
      <c r="P907" s="659"/>
    </row>
    <row r="908" spans="2:16" x14ac:dyDescent="0.2">
      <c r="B908" s="55"/>
      <c r="C908" s="55"/>
      <c r="D908" s="659"/>
      <c r="E908" s="659"/>
      <c r="F908" s="659"/>
      <c r="G908" s="659"/>
      <c r="H908" s="659"/>
      <c r="I908" s="659"/>
      <c r="J908" s="659"/>
      <c r="K908" s="659"/>
      <c r="L908" s="659"/>
      <c r="M908" s="659"/>
      <c r="N908" s="659"/>
      <c r="O908" s="659"/>
      <c r="P908" s="659"/>
    </row>
    <row r="909" spans="2:16" x14ac:dyDescent="0.2">
      <c r="B909" s="55"/>
      <c r="C909" s="55"/>
      <c r="D909" s="659"/>
      <c r="E909" s="659"/>
      <c r="F909" s="659"/>
      <c r="G909" s="659"/>
      <c r="H909" s="659"/>
      <c r="I909" s="659"/>
      <c r="J909" s="659"/>
      <c r="K909" s="659"/>
      <c r="L909" s="659"/>
      <c r="M909" s="659"/>
      <c r="N909" s="659"/>
      <c r="O909" s="659"/>
      <c r="P909" s="659"/>
    </row>
    <row r="910" spans="2:16" x14ac:dyDescent="0.2">
      <c r="B910" s="55"/>
      <c r="C910" s="55"/>
      <c r="D910" s="659"/>
      <c r="E910" s="659"/>
      <c r="F910" s="659"/>
      <c r="G910" s="659"/>
      <c r="H910" s="659"/>
      <c r="I910" s="659"/>
      <c r="J910" s="659"/>
      <c r="K910" s="659"/>
      <c r="L910" s="659"/>
      <c r="M910" s="659"/>
      <c r="N910" s="659"/>
      <c r="O910" s="659"/>
      <c r="P910" s="659"/>
    </row>
    <row r="911" spans="2:16" x14ac:dyDescent="0.2">
      <c r="B911" s="55"/>
      <c r="C911" s="55"/>
      <c r="D911" s="659"/>
      <c r="E911" s="659"/>
      <c r="F911" s="659"/>
      <c r="G911" s="659"/>
      <c r="H911" s="659"/>
      <c r="I911" s="659"/>
      <c r="J911" s="659"/>
      <c r="K911" s="659"/>
      <c r="L911" s="659"/>
      <c r="M911" s="659"/>
      <c r="N911" s="659"/>
      <c r="O911" s="659"/>
      <c r="P911" s="659"/>
    </row>
    <row r="912" spans="2:16" x14ac:dyDescent="0.2">
      <c r="B912" s="55"/>
      <c r="C912" s="55"/>
      <c r="D912" s="659"/>
      <c r="E912" s="659"/>
      <c r="F912" s="659"/>
      <c r="G912" s="659"/>
      <c r="H912" s="659"/>
      <c r="I912" s="659"/>
      <c r="J912" s="659"/>
      <c r="K912" s="659"/>
      <c r="L912" s="659"/>
      <c r="M912" s="659"/>
      <c r="N912" s="659"/>
      <c r="O912" s="659"/>
      <c r="P912" s="659"/>
    </row>
    <row r="913" spans="2:16" x14ac:dyDescent="0.2">
      <c r="B913" s="55"/>
      <c r="C913" s="55"/>
      <c r="D913" s="659"/>
      <c r="E913" s="659"/>
      <c r="F913" s="659"/>
      <c r="G913" s="659"/>
      <c r="H913" s="659"/>
      <c r="I913" s="659"/>
      <c r="J913" s="659"/>
      <c r="K913" s="659"/>
      <c r="L913" s="659"/>
      <c r="M913" s="659"/>
      <c r="N913" s="659"/>
      <c r="O913" s="659"/>
      <c r="P913" s="659"/>
    </row>
    <row r="914" spans="2:16" x14ac:dyDescent="0.2">
      <c r="B914" s="55"/>
      <c r="C914" s="55"/>
      <c r="D914" s="659"/>
      <c r="E914" s="659"/>
      <c r="F914" s="659"/>
      <c r="G914" s="659"/>
      <c r="H914" s="659"/>
      <c r="I914" s="659"/>
      <c r="J914" s="659"/>
      <c r="K914" s="659"/>
      <c r="L914" s="659"/>
      <c r="M914" s="659"/>
      <c r="N914" s="659"/>
      <c r="O914" s="659"/>
      <c r="P914" s="659"/>
    </row>
    <row r="915" spans="2:16" x14ac:dyDescent="0.2">
      <c r="B915" s="55"/>
      <c r="C915" s="55"/>
      <c r="D915" s="659"/>
      <c r="E915" s="659"/>
      <c r="F915" s="659"/>
      <c r="G915" s="659"/>
      <c r="H915" s="659"/>
      <c r="I915" s="659"/>
      <c r="J915" s="659"/>
      <c r="K915" s="659"/>
      <c r="L915" s="659"/>
      <c r="M915" s="659"/>
      <c r="N915" s="659"/>
      <c r="O915" s="659"/>
      <c r="P915" s="659"/>
    </row>
    <row r="916" spans="2:16" x14ac:dyDescent="0.2">
      <c r="B916" s="55"/>
      <c r="C916" s="55"/>
      <c r="D916" s="659"/>
      <c r="E916" s="659"/>
      <c r="F916" s="659"/>
      <c r="G916" s="659"/>
      <c r="H916" s="659"/>
      <c r="I916" s="659"/>
      <c r="J916" s="659"/>
      <c r="K916" s="659"/>
      <c r="L916" s="659"/>
      <c r="M916" s="659"/>
      <c r="N916" s="659"/>
      <c r="O916" s="659"/>
      <c r="P916" s="659"/>
    </row>
    <row r="917" spans="2:16" x14ac:dyDescent="0.2">
      <c r="B917" s="55"/>
      <c r="C917" s="55"/>
      <c r="D917" s="659"/>
      <c r="E917" s="659"/>
      <c r="F917" s="659"/>
      <c r="G917" s="659"/>
      <c r="H917" s="659"/>
      <c r="I917" s="659"/>
      <c r="J917" s="659"/>
      <c r="K917" s="659"/>
      <c r="L917" s="659"/>
      <c r="M917" s="659"/>
      <c r="N917" s="659"/>
      <c r="O917" s="659"/>
      <c r="P917" s="659"/>
    </row>
    <row r="918" spans="2:16" x14ac:dyDescent="0.2">
      <c r="I918" s="659"/>
      <c r="J918" s="659"/>
      <c r="K918" s="659"/>
      <c r="L918" s="659"/>
      <c r="M918" s="659"/>
      <c r="N918" s="659"/>
      <c r="O918" s="659"/>
      <c r="P918" s="659"/>
    </row>
    <row r="919" spans="2:16" x14ac:dyDescent="0.2">
      <c r="I919" s="659"/>
      <c r="J919" s="659"/>
      <c r="K919" s="659"/>
      <c r="L919" s="659"/>
      <c r="M919" s="659"/>
      <c r="N919" s="659"/>
      <c r="O919" s="659"/>
      <c r="P919" s="659"/>
    </row>
    <row r="920" spans="2:16" x14ac:dyDescent="0.2">
      <c r="I920" s="659"/>
      <c r="J920" s="659"/>
      <c r="K920" s="659"/>
      <c r="L920" s="659"/>
      <c r="M920" s="659"/>
      <c r="N920" s="659"/>
      <c r="O920" s="659"/>
      <c r="P920" s="659"/>
    </row>
    <row r="921" spans="2:16" x14ac:dyDescent="0.2">
      <c r="I921" s="659"/>
      <c r="J921" s="659"/>
      <c r="K921" s="659"/>
      <c r="L921" s="659"/>
      <c r="M921" s="659"/>
      <c r="N921" s="659"/>
      <c r="O921" s="659"/>
      <c r="P921" s="659"/>
    </row>
    <row r="922" spans="2:16" x14ac:dyDescent="0.2">
      <c r="I922" s="659"/>
      <c r="J922" s="659"/>
      <c r="K922" s="659"/>
      <c r="L922" s="659"/>
      <c r="M922" s="659"/>
      <c r="N922" s="659"/>
      <c r="O922" s="659"/>
      <c r="P922" s="659"/>
    </row>
    <row r="923" spans="2:16" x14ac:dyDescent="0.2">
      <c r="I923" s="659"/>
      <c r="J923" s="659"/>
      <c r="K923" s="659"/>
      <c r="L923" s="659"/>
      <c r="M923" s="659"/>
      <c r="N923" s="659"/>
      <c r="O923" s="659"/>
      <c r="P923" s="659"/>
    </row>
    <row r="924" spans="2:16" x14ac:dyDescent="0.2">
      <c r="I924" s="659"/>
      <c r="J924" s="659"/>
      <c r="K924" s="659"/>
      <c r="L924" s="659"/>
      <c r="M924" s="659"/>
      <c r="N924" s="659"/>
      <c r="O924" s="659"/>
      <c r="P924" s="659"/>
    </row>
    <row r="925" spans="2:16" x14ac:dyDescent="0.2">
      <c r="I925" s="659"/>
      <c r="J925" s="659"/>
      <c r="K925" s="659"/>
      <c r="L925" s="659"/>
      <c r="M925" s="659"/>
      <c r="N925" s="659"/>
      <c r="O925" s="659"/>
      <c r="P925" s="659"/>
    </row>
  </sheetData>
  <sheetProtection algorithmName="SHA-512" hashValue="vinmgwqPqA+62nhlFf3yi2T7P8SC0Uwc54QpM9A/arqJ13BabL+M48YfsiQsRBadOmcNTWDysxQO71iBhwcsgA==" saltValue="Siiza4btfLGdRF54u7CB0A==" spinCount="100000" sheet="1" objects="1" scenarios="1"/>
  <mergeCells count="2">
    <mergeCell ref="B74:P78"/>
    <mergeCell ref="J54:P54"/>
  </mergeCells>
  <phoneticPr fontId="0" type="noConversion"/>
  <conditionalFormatting sqref="E65:H65">
    <cfRule type="cellIs" dxfId="328" priority="21" stopIfTrue="1" operator="greaterThan">
      <formula>0</formula>
    </cfRule>
  </conditionalFormatting>
  <conditionalFormatting sqref="E50:H50">
    <cfRule type="cellIs" dxfId="327" priority="8" stopIfTrue="1" operator="greaterThan">
      <formula>0</formula>
    </cfRule>
  </conditionalFormatting>
  <conditionalFormatting sqref="E51:H51">
    <cfRule type="cellIs" dxfId="326" priority="7" stopIfTrue="1" operator="greaterThan">
      <formula>0</formula>
    </cfRule>
  </conditionalFormatting>
  <conditionalFormatting sqref="S65">
    <cfRule type="notContainsBlanks" dxfId="325" priority="6" stopIfTrue="1">
      <formula>LEN(TRIM(S65))&gt;0</formula>
    </cfRule>
  </conditionalFormatting>
  <conditionalFormatting sqref="S49">
    <cfRule type="notContainsBlanks" dxfId="324" priority="5" stopIfTrue="1">
      <formula>LEN(TRIM(S49))&gt;0</formula>
    </cfRule>
  </conditionalFormatting>
  <conditionalFormatting sqref="S50">
    <cfRule type="notContainsBlanks" dxfId="323" priority="4" stopIfTrue="1">
      <formula>LEN(TRIM(S50))&gt;0</formula>
    </cfRule>
  </conditionalFormatting>
  <conditionalFormatting sqref="S31">
    <cfRule type="notContainsBlanks" dxfId="322" priority="3" stopIfTrue="1">
      <formula>LEN(TRIM(S31))&gt;0</formula>
    </cfRule>
  </conditionalFormatting>
  <conditionalFormatting sqref="S17">
    <cfRule type="notContainsBlanks" dxfId="321" priority="2" stopIfTrue="1">
      <formula>LEN(TRIM(S17))&gt;0</formula>
    </cfRule>
  </conditionalFormatting>
  <conditionalFormatting sqref="S16">
    <cfRule type="notContainsBlanks" dxfId="320" priority="1" stopIfTrue="1">
      <formula>LEN(TRIM(S16))&gt;0</formula>
    </cfRule>
  </conditionalFormatting>
  <dataValidations disablePrompts="1" count="1">
    <dataValidation type="list" allowBlank="1" showInputMessage="1" showErrorMessage="1" sqref="F3">
      <formula1>$L$2:$P$2</formula1>
    </dataValidation>
  </dataValidations>
  <printOptions horizontalCentered="1"/>
  <pageMargins left="0.62992125984251968" right="0.62992125984251968" top="0.51181102362204722" bottom="0.51181102362204722" header="0.31496062992125984" footer="0.31496062992125984"/>
  <pageSetup paperSize="9" scale="44" orientation="landscape" r:id="rId1"/>
  <headerFooter>
    <oddFooter>&amp;L&amp;"Verdana,Standard"&amp;9&amp;A&amp;C&amp;"Verdana,Standard"&amp;9&amp;F&amp;R&amp;"Verdana,Standard"&amp;9© 2017 www.Kindermanns.de
Jürgen Erlewein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11</vt:i4>
      </vt:variant>
      <vt:variant>
        <vt:lpstr>Benannte Bereiche</vt:lpstr>
      </vt:variant>
      <vt:variant>
        <vt:i4>23</vt:i4>
      </vt:variant>
    </vt:vector>
  </HeadingPairs>
  <TitlesOfParts>
    <vt:vector size="34" baseType="lpstr">
      <vt:lpstr>Deckblatt|Cover</vt:lpstr>
      <vt:lpstr>Vorwort|Preface</vt:lpstr>
      <vt:lpstr>Deckblatt Gruender|Data Founder</vt:lpstr>
      <vt:lpstr>1 Pers.Ausgaben|Pers Expenses</vt:lpstr>
      <vt:lpstr>2 Umsatz|Sales</vt:lpstr>
      <vt:lpstr>3 Anschaffungen|Investment</vt:lpstr>
      <vt:lpstr>4 Betriebskosten|Operation Ex</vt:lpstr>
      <vt:lpstr>5 Rentabilitaet|Profit</vt:lpstr>
      <vt:lpstr>6 Liquiditaet|Liquidity</vt:lpstr>
      <vt:lpstr>7 Finanzierung|Financing</vt:lpstr>
      <vt:lpstr>Cockpit-Chart</vt:lpstr>
      <vt:lpstr>'Vorwort|Preface'!_ftn1</vt:lpstr>
      <vt:lpstr>'Vorwort|Preface'!_ftnref1</vt:lpstr>
      <vt:lpstr>'1 Pers.Ausgaben|Pers Expenses'!Druckbereich</vt:lpstr>
      <vt:lpstr>'2 Umsatz|Sales'!Druckbereich</vt:lpstr>
      <vt:lpstr>'3 Anschaffungen|Investment'!Druckbereich</vt:lpstr>
      <vt:lpstr>'4 Betriebskosten|Operation Ex'!Druckbereich</vt:lpstr>
      <vt:lpstr>'5 Rentabilitaet|Profit'!Druckbereich</vt:lpstr>
      <vt:lpstr>'6 Liquiditaet|Liquidity'!Druckbereich</vt:lpstr>
      <vt:lpstr>'7 Finanzierung|Financing'!Druckbereich</vt:lpstr>
      <vt:lpstr>'Cockpit-Chart'!Druckbereich</vt:lpstr>
      <vt:lpstr>'Deckblatt Gruender|Data Founder'!Druckbereich</vt:lpstr>
      <vt:lpstr>'Deckblatt|Cover'!Druckbereich</vt:lpstr>
      <vt:lpstr>'Vorwort|Preface'!Druckbereich</vt:lpstr>
      <vt:lpstr>'1 Pers.Ausgaben|Pers Expenses'!Drucktitel</vt:lpstr>
      <vt:lpstr>'2 Umsatz|Sales'!Drucktitel</vt:lpstr>
      <vt:lpstr>'3 Anschaffungen|Investment'!Drucktitel</vt:lpstr>
      <vt:lpstr>'4 Betriebskosten|Operation Ex'!Drucktitel</vt:lpstr>
      <vt:lpstr>'5 Rentabilitaet|Profit'!Drucktitel</vt:lpstr>
      <vt:lpstr>'6 Liquiditaet|Liquidity'!Drucktitel</vt:lpstr>
      <vt:lpstr>'7 Finanzierung|Financing'!Drucktitel</vt:lpstr>
      <vt:lpstr>'Cockpit-Chart'!Drucktitel</vt:lpstr>
      <vt:lpstr>'Deckblatt Gruender|Data Founder'!Drucktitel</vt:lpstr>
      <vt:lpstr>'Vorwort|Preface'!Drucktitel</vt:lpstr>
    </vt:vector>
  </TitlesOfParts>
  <LinksUpToDate>false</LinksUpToDate>
  <SharedDoc>false</SharedDoc>
  <HyperlinkBase>www.kindermanns.de</HyperlinkBase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Finanzplanung für Gründer leicht gemacht!</dc:title>
  <dc:subject>Von der Umsatzprognose bis zum Liquiditätsplan</dc:subject>
  <dc:creator>Jürgen Erlewein</dc:creator>
  <cp:keywords>Gründer, Finanzplanung, Umsatzprognose, Liquiditätsplan</cp:keywords>
  <dc:description>Abschreibungen im 2.Planjahr auf Monate verteilt; Aufbau Lagerbestand als Investition ohne Abschreibung eingeführt</dc:description>
  <cp:lastModifiedBy>Jürgen Erlewein</cp:lastModifiedBy>
  <cp:lastPrinted>2017-09-19T14:43:13Z</cp:lastPrinted>
  <dcterms:created xsi:type="dcterms:W3CDTF">2010-05-05T17:18:59Z</dcterms:created>
  <dcterms:modified xsi:type="dcterms:W3CDTF">2017-11-22T15:57:14Z</dcterms:modified>
</cp:coreProperties>
</file>